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IB'!$C$1:$C$75</definedName>
    <definedName name="_xlnm._FilterDatabase" localSheetId="8" hidden="1">'Table IIE'!$A$1:$T$62</definedName>
    <definedName name="_xlnm._FilterDatabase" localSheetId="9" hidden="1">'Table IIF'!$A$1:$M$49</definedName>
    <definedName name="_xlnm._FilterDatabase" localSheetId="10" hidden="1">'Table IIG'!$A$1:$BS$56</definedName>
    <definedName name="_xlnm._FilterDatabase" localSheetId="16" hidden="1">'Table VIB'!$A$3:$H$59</definedName>
    <definedName name="_xlnm._FilterDatabase" localSheetId="25" hidden="1">'Table XIIA'!$BD$1:$BE$217</definedName>
    <definedName name="_xlnm._FilterDatabase" localSheetId="4" hidden="1">TableIIA!$A$1:$P$59</definedName>
    <definedName name="_xlnm._FilterDatabase" localSheetId="23" hidden="1">TableX!$A$3:$J$51</definedName>
    <definedName name="_xlnm._FilterDatabase" localSheetId="27" hidden="1">TableXIII!$M$47:$M$48</definedName>
    <definedName name="_xlnm._FilterDatabase" localSheetId="33" hidden="1">TableXIX!$A$1:$U$54</definedName>
    <definedName name="_xlnm._FilterDatabase" localSheetId="35" hidden="1">TableXXI!$A$1:$AJ$45</definedName>
    <definedName name="_xlnm.Print_Area" localSheetId="15">'Table VIA'!$A$1:$K$55</definedName>
    <definedName name="_xlnm.Print_Area" localSheetId="16">'Table VIB'!$A$1:$H$60</definedName>
    <definedName name="_xlnm.Print_Area" localSheetId="18">'Table VIII'!$A$1:$U$46</definedName>
    <definedName name="_xlnm.Print_Area" localSheetId="26">'Table XIIB'!$A$1:$V$49</definedName>
    <definedName name="_xlnm.Print_Area" localSheetId="38">'Table XXIV'!$A$1:$S$50</definedName>
    <definedName name="_xlnm.Print_Area" localSheetId="43">'Table XXIX'!$A$1:$W$37</definedName>
    <definedName name="_xlnm.Print_Area" localSheetId="42">'Table XXVIII'!$A$1:$T$51</definedName>
    <definedName name="_xlnm.Print_Area" localSheetId="21">TableIXC!$A$1:$AL$60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IB'!$C$1:$C$75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AJ48" i="57"/>
  <c r="AA47"/>
  <c r="I39"/>
  <c r="R37"/>
  <c r="I28"/>
  <c r="BB10"/>
  <c r="Q53" i="41" l="1"/>
  <c r="P53"/>
  <c r="P52"/>
  <c r="Q52" s="1"/>
  <c r="Q51"/>
  <c r="P51"/>
  <c r="Q50"/>
  <c r="P50"/>
  <c r="Q49"/>
  <c r="P49"/>
  <c r="P48"/>
  <c r="Q48" s="1"/>
  <c r="Q47"/>
  <c r="P47"/>
  <c r="Q46"/>
  <c r="P46"/>
  <c r="Q45"/>
  <c r="P45"/>
  <c r="P43"/>
  <c r="Q43" s="1"/>
  <c r="Q31" s="1"/>
  <c r="Q42"/>
  <c r="P42"/>
  <c r="Q41"/>
  <c r="P41"/>
  <c r="Q40"/>
  <c r="P40"/>
  <c r="P39"/>
  <c r="Q39" s="1"/>
  <c r="Q38"/>
  <c r="P38"/>
  <c r="Q37"/>
  <c r="P37"/>
  <c r="Q36"/>
  <c r="P36"/>
  <c r="P35"/>
  <c r="Q35" s="1"/>
  <c r="Q34"/>
  <c r="P34"/>
  <c r="Q33"/>
  <c r="P33"/>
  <c r="Q32"/>
  <c r="P32"/>
  <c r="P31"/>
  <c r="O31"/>
  <c r="N31"/>
  <c r="M31"/>
  <c r="L31"/>
  <c r="K31"/>
  <c r="J31"/>
  <c r="I31"/>
  <c r="H31"/>
  <c r="G31"/>
  <c r="F31"/>
  <c r="E31"/>
  <c r="D31"/>
  <c r="C31"/>
  <c r="B31"/>
  <c r="P30"/>
  <c r="Q30" s="1"/>
  <c r="Q18" s="1"/>
  <c r="Q29"/>
  <c r="P29"/>
  <c r="Q28"/>
  <c r="P28"/>
  <c r="Q27"/>
  <c r="P27"/>
  <c r="P26"/>
  <c r="Q26" s="1"/>
  <c r="Q25"/>
  <c r="P25"/>
  <c r="Q24"/>
  <c r="P24"/>
  <c r="Q23"/>
  <c r="P23"/>
  <c r="P22"/>
  <c r="Q22" s="1"/>
  <c r="Q21"/>
  <c r="P21"/>
  <c r="Q20"/>
  <c r="P20"/>
  <c r="Q19"/>
  <c r="P19"/>
  <c r="P18"/>
  <c r="O18"/>
  <c r="N18"/>
  <c r="M18"/>
  <c r="L18"/>
  <c r="K18"/>
  <c r="J18"/>
  <c r="I18"/>
  <c r="H18"/>
  <c r="G18"/>
  <c r="F18"/>
  <c r="E18"/>
  <c r="D18"/>
  <c r="C18"/>
  <c r="B18"/>
  <c r="E47" i="40"/>
  <c r="D47"/>
  <c r="E46"/>
  <c r="D46"/>
  <c r="E45"/>
  <c r="D45"/>
  <c r="E44"/>
  <c r="D44"/>
  <c r="E43"/>
  <c r="D43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C29"/>
  <c r="B29"/>
  <c r="E28"/>
  <c r="D28"/>
  <c r="E27"/>
  <c r="D27"/>
  <c r="E26"/>
  <c r="D26"/>
  <c r="E25"/>
  <c r="D25"/>
  <c r="E22"/>
  <c r="D22"/>
  <c r="E21"/>
  <c r="D21"/>
  <c r="E20"/>
  <c r="D20"/>
  <c r="E19"/>
  <c r="D19"/>
  <c r="E18"/>
  <c r="D18"/>
  <c r="E17"/>
  <c r="E16"/>
  <c r="D16"/>
  <c r="C16"/>
  <c r="B16"/>
  <c r="I51" i="2" l="1"/>
  <c r="I52"/>
  <c r="BA53" i="1" l="1"/>
  <c r="AV53"/>
  <c r="AV54" l="1"/>
  <c r="BA54" l="1"/>
  <c r="AM52" i="7" l="1"/>
  <c r="O52"/>
  <c r="AN52" s="1"/>
  <c r="AO52" s="1"/>
  <c r="L52"/>
  <c r="G52"/>
  <c r="F52"/>
  <c r="E52"/>
  <c r="D52"/>
  <c r="C52"/>
  <c r="B52"/>
  <c r="AM51"/>
  <c r="AN51" s="1"/>
  <c r="O51"/>
  <c r="L51"/>
  <c r="G51"/>
  <c r="F51"/>
  <c r="E51"/>
  <c r="D51"/>
  <c r="C51"/>
  <c r="B51"/>
  <c r="AM50"/>
  <c r="O50"/>
  <c r="AN50" s="1"/>
  <c r="AO50" s="1"/>
  <c r="L50"/>
  <c r="G50"/>
  <c r="F50"/>
  <c r="E50"/>
  <c r="D50"/>
  <c r="C50"/>
  <c r="B50"/>
  <c r="AN49"/>
  <c r="AM49"/>
  <c r="O49"/>
  <c r="L49"/>
  <c r="G49"/>
  <c r="F49"/>
  <c r="E49"/>
  <c r="D49"/>
  <c r="C49"/>
  <c r="B49"/>
  <c r="AM48"/>
  <c r="O48"/>
  <c r="AN48" s="1"/>
  <c r="AO48" s="1"/>
  <c r="K48"/>
  <c r="AM47"/>
  <c r="O47"/>
  <c r="AN47" s="1"/>
  <c r="AO47" s="1"/>
  <c r="L47"/>
  <c r="G47"/>
  <c r="F47"/>
  <c r="E47"/>
  <c r="D47"/>
  <c r="C47"/>
  <c r="B47"/>
  <c r="AN46"/>
  <c r="AM46"/>
  <c r="O46"/>
  <c r="L46"/>
  <c r="G46"/>
  <c r="F46"/>
  <c r="E46"/>
  <c r="C46"/>
  <c r="B46"/>
  <c r="AM45"/>
  <c r="O45"/>
  <c r="L45"/>
  <c r="G45"/>
  <c r="F45"/>
  <c r="E45"/>
  <c r="D45"/>
  <c r="C45"/>
  <c r="B45"/>
  <c r="AM43"/>
  <c r="O43"/>
  <c r="L43"/>
  <c r="G43"/>
  <c r="F43"/>
  <c r="E43"/>
  <c r="D43"/>
  <c r="C43"/>
  <c r="B43"/>
  <c r="AM42"/>
  <c r="AN42" s="1"/>
  <c r="O42"/>
  <c r="L42"/>
  <c r="G42"/>
  <c r="F42"/>
  <c r="E42"/>
  <c r="D42"/>
  <c r="C42"/>
  <c r="B42"/>
  <c r="AM41"/>
  <c r="O41"/>
  <c r="L41"/>
  <c r="G41"/>
  <c r="F41"/>
  <c r="E41"/>
  <c r="D41"/>
  <c r="C41"/>
  <c r="B41"/>
  <c r="AM40"/>
  <c r="O40"/>
  <c r="L40"/>
  <c r="G40"/>
  <c r="F40"/>
  <c r="E40"/>
  <c r="D40"/>
  <c r="C40"/>
  <c r="B40"/>
  <c r="AM39"/>
  <c r="O39"/>
  <c r="AN39" s="1"/>
  <c r="L39"/>
  <c r="K39" s="1"/>
  <c r="G39"/>
  <c r="F39"/>
  <c r="E39"/>
  <c r="D39"/>
  <c r="C39"/>
  <c r="B39"/>
  <c r="AM38"/>
  <c r="O38"/>
  <c r="L38"/>
  <c r="G38"/>
  <c r="F38"/>
  <c r="E38"/>
  <c r="D38"/>
  <c r="C38"/>
  <c r="B38"/>
  <c r="AM37"/>
  <c r="O37"/>
  <c r="L37"/>
  <c r="G37"/>
  <c r="F37"/>
  <c r="E37"/>
  <c r="D37"/>
  <c r="C37"/>
  <c r="B37"/>
  <c r="AM36"/>
  <c r="O36"/>
  <c r="L36"/>
  <c r="G36"/>
  <c r="F36"/>
  <c r="E36"/>
  <c r="D36"/>
  <c r="C36"/>
  <c r="B36"/>
  <c r="AM35"/>
  <c r="AM31" s="1"/>
  <c r="O35"/>
  <c r="L35"/>
  <c r="G35"/>
  <c r="F35"/>
  <c r="E35"/>
  <c r="D35"/>
  <c r="C35"/>
  <c r="B35"/>
  <c r="AM34"/>
  <c r="AN34" s="1"/>
  <c r="O34"/>
  <c r="L34"/>
  <c r="G34"/>
  <c r="F34"/>
  <c r="E34"/>
  <c r="D34"/>
  <c r="C34"/>
  <c r="B34"/>
  <c r="AM33"/>
  <c r="O33"/>
  <c r="L33"/>
  <c r="G33"/>
  <c r="F33"/>
  <c r="E33"/>
  <c r="D33"/>
  <c r="C33"/>
  <c r="B33"/>
  <c r="AM32"/>
  <c r="AN32" s="1"/>
  <c r="O32"/>
  <c r="L32"/>
  <c r="AO32" s="1"/>
  <c r="G32"/>
  <c r="F32"/>
  <c r="E32"/>
  <c r="D32"/>
  <c r="C32"/>
  <c r="B32"/>
  <c r="AL31"/>
  <c r="AK31"/>
  <c r="AJ31"/>
  <c r="AI31"/>
  <c r="AH31"/>
  <c r="AG31"/>
  <c r="AF31"/>
  <c r="AE31"/>
  <c r="AD31"/>
  <c r="AC31"/>
  <c r="AB31"/>
  <c r="AA31"/>
  <c r="Z31"/>
  <c r="Y31"/>
  <c r="X31"/>
  <c r="W31"/>
  <c r="T31"/>
  <c r="S31"/>
  <c r="R31"/>
  <c r="Q31"/>
  <c r="P31"/>
  <c r="O31"/>
  <c r="N31"/>
  <c r="M31"/>
  <c r="J31"/>
  <c r="I31"/>
  <c r="H31"/>
  <c r="G31"/>
  <c r="D31"/>
  <c r="B31"/>
  <c r="AM30"/>
  <c r="AN30" s="1"/>
  <c r="O30"/>
  <c r="L30"/>
  <c r="G30"/>
  <c r="F30"/>
  <c r="E30"/>
  <c r="D30"/>
  <c r="C30"/>
  <c r="B30"/>
  <c r="AM29"/>
  <c r="O29"/>
  <c r="AN29" s="1"/>
  <c r="AO29" s="1"/>
  <c r="L29"/>
  <c r="G29"/>
  <c r="F29"/>
  <c r="E29"/>
  <c r="D29"/>
  <c r="C29"/>
  <c r="B29"/>
  <c r="AM28"/>
  <c r="AN28" s="1"/>
  <c r="O28"/>
  <c r="L28"/>
  <c r="G28"/>
  <c r="F28"/>
  <c r="E28"/>
  <c r="D28"/>
  <c r="C28"/>
  <c r="B28"/>
  <c r="AM27"/>
  <c r="O27"/>
  <c r="AN27" s="1"/>
  <c r="AO27" s="1"/>
  <c r="L27"/>
  <c r="G27"/>
  <c r="F27"/>
  <c r="E27"/>
  <c r="C27"/>
  <c r="B27"/>
  <c r="AM26"/>
  <c r="O26"/>
  <c r="L26"/>
  <c r="G26"/>
  <c r="F26"/>
  <c r="E26"/>
  <c r="K26" s="1"/>
  <c r="C26"/>
  <c r="AM25"/>
  <c r="AN25" s="1"/>
  <c r="O25"/>
  <c r="L25"/>
  <c r="G25"/>
  <c r="F25"/>
  <c r="E25"/>
  <c r="D25"/>
  <c r="C25"/>
  <c r="B25"/>
  <c r="AM24"/>
  <c r="O24"/>
  <c r="L24"/>
  <c r="G24"/>
  <c r="F24"/>
  <c r="E24"/>
  <c r="D24"/>
  <c r="C24"/>
  <c r="B24"/>
  <c r="K24" s="1"/>
  <c r="AM23"/>
  <c r="O23"/>
  <c r="AN23" s="1"/>
  <c r="L23"/>
  <c r="G23"/>
  <c r="F23"/>
  <c r="E23"/>
  <c r="D23"/>
  <c r="C23"/>
  <c r="B23"/>
  <c r="AM22"/>
  <c r="O22"/>
  <c r="L22"/>
  <c r="G22"/>
  <c r="F22"/>
  <c r="E22"/>
  <c r="D22"/>
  <c r="K22" s="1"/>
  <c r="C22"/>
  <c r="B22"/>
  <c r="AM21"/>
  <c r="O21"/>
  <c r="AN21" s="1"/>
  <c r="L21"/>
  <c r="G21"/>
  <c r="F21"/>
  <c r="E21"/>
  <c r="D21"/>
  <c r="C21"/>
  <c r="B21"/>
  <c r="AM20"/>
  <c r="O20"/>
  <c r="L20"/>
  <c r="G20"/>
  <c r="F20"/>
  <c r="E20"/>
  <c r="D20"/>
  <c r="C20"/>
  <c r="C18" s="1"/>
  <c r="B20"/>
  <c r="K20" s="1"/>
  <c r="AM19"/>
  <c r="O19"/>
  <c r="O18" s="1"/>
  <c r="L19"/>
  <c r="G19"/>
  <c r="F19"/>
  <c r="E19"/>
  <c r="D19"/>
  <c r="D18" s="1"/>
  <c r="C19"/>
  <c r="B19"/>
  <c r="AL18"/>
  <c r="AK18"/>
  <c r="AJ18"/>
  <c r="AI18"/>
  <c r="AH18"/>
  <c r="AG18"/>
  <c r="AF18"/>
  <c r="AE18"/>
  <c r="AD18"/>
  <c r="AC18"/>
  <c r="AB18"/>
  <c r="AA18"/>
  <c r="Z18"/>
  <c r="Y18"/>
  <c r="X18"/>
  <c r="W18"/>
  <c r="T18"/>
  <c r="S18"/>
  <c r="R18"/>
  <c r="Q18"/>
  <c r="P18"/>
  <c r="N18"/>
  <c r="M18"/>
  <c r="L18"/>
  <c r="J18"/>
  <c r="I18"/>
  <c r="H18"/>
  <c r="E18"/>
  <c r="B18"/>
  <c r="AO15"/>
  <c r="AO14"/>
  <c r="AO13"/>
  <c r="AO12"/>
  <c r="AO11"/>
  <c r="AO10"/>
  <c r="AO9"/>
  <c r="AO8"/>
  <c r="AO7"/>
  <c r="V49" i="6"/>
  <c r="U49"/>
  <c r="N49"/>
  <c r="M49"/>
  <c r="U48"/>
  <c r="N48"/>
  <c r="V48" s="1"/>
  <c r="M48"/>
  <c r="V47"/>
  <c r="U47"/>
  <c r="N47"/>
  <c r="M47"/>
  <c r="U46"/>
  <c r="N46"/>
  <c r="V46" s="1"/>
  <c r="M46"/>
  <c r="V45"/>
  <c r="U45"/>
  <c r="N45"/>
  <c r="M45"/>
  <c r="U44"/>
  <c r="N44"/>
  <c r="V44" s="1"/>
  <c r="M44"/>
  <c r="V43"/>
  <c r="U43"/>
  <c r="N43"/>
  <c r="M43"/>
  <c r="U41"/>
  <c r="M41"/>
  <c r="J41"/>
  <c r="G41"/>
  <c r="D41"/>
  <c r="N41" s="1"/>
  <c r="V41" s="1"/>
  <c r="U40"/>
  <c r="M40"/>
  <c r="J40"/>
  <c r="G40"/>
  <c r="G37" s="1"/>
  <c r="D40"/>
  <c r="N40" s="1"/>
  <c r="V40" s="1"/>
  <c r="U39"/>
  <c r="M39"/>
  <c r="J39"/>
  <c r="G39"/>
  <c r="D39"/>
  <c r="N39" s="1"/>
  <c r="V39" s="1"/>
  <c r="U38"/>
  <c r="M38"/>
  <c r="J38"/>
  <c r="N38" s="1"/>
  <c r="G38"/>
  <c r="D38"/>
  <c r="U37"/>
  <c r="T37"/>
  <c r="S37"/>
  <c r="R37"/>
  <c r="Q37"/>
  <c r="P37"/>
  <c r="M37"/>
  <c r="L37"/>
  <c r="K37"/>
  <c r="I37"/>
  <c r="H37"/>
  <c r="F37"/>
  <c r="E37"/>
  <c r="C37"/>
  <c r="B37"/>
  <c r="U36"/>
  <c r="M36"/>
  <c r="J36"/>
  <c r="G36"/>
  <c r="D36"/>
  <c r="N36" s="1"/>
  <c r="V36" s="1"/>
  <c r="U35"/>
  <c r="M35"/>
  <c r="J35"/>
  <c r="G35"/>
  <c r="G32" s="1"/>
  <c r="D35"/>
  <c r="N35" s="1"/>
  <c r="V35" s="1"/>
  <c r="U34"/>
  <c r="M34"/>
  <c r="J34"/>
  <c r="G34"/>
  <c r="D34"/>
  <c r="N34" s="1"/>
  <c r="V34" s="1"/>
  <c r="U33"/>
  <c r="M33"/>
  <c r="J33"/>
  <c r="N33" s="1"/>
  <c r="G33"/>
  <c r="D33"/>
  <c r="U32"/>
  <c r="T32"/>
  <c r="S32"/>
  <c r="R32"/>
  <c r="Q32"/>
  <c r="P32"/>
  <c r="M32"/>
  <c r="L32"/>
  <c r="K32"/>
  <c r="I32"/>
  <c r="H32"/>
  <c r="F32"/>
  <c r="E32"/>
  <c r="C32"/>
  <c r="B32"/>
  <c r="U31"/>
  <c r="M31"/>
  <c r="J31"/>
  <c r="G31"/>
  <c r="D31"/>
  <c r="N31" s="1"/>
  <c r="V31" s="1"/>
  <c r="U30"/>
  <c r="M30"/>
  <c r="J30"/>
  <c r="G30"/>
  <c r="G27" s="1"/>
  <c r="D30"/>
  <c r="N30" s="1"/>
  <c r="V30" s="1"/>
  <c r="U29"/>
  <c r="M29"/>
  <c r="J29"/>
  <c r="G29"/>
  <c r="D29"/>
  <c r="D27" s="1"/>
  <c r="U28"/>
  <c r="M28"/>
  <c r="J28"/>
  <c r="N28" s="1"/>
  <c r="G28"/>
  <c r="D28"/>
  <c r="U27"/>
  <c r="T27"/>
  <c r="S27"/>
  <c r="R27"/>
  <c r="Q27"/>
  <c r="P27"/>
  <c r="M27"/>
  <c r="L27"/>
  <c r="K27"/>
  <c r="I27"/>
  <c r="H27"/>
  <c r="F27"/>
  <c r="E27"/>
  <c r="C27"/>
  <c r="B27"/>
  <c r="U26"/>
  <c r="M26"/>
  <c r="J26"/>
  <c r="G26"/>
  <c r="D26"/>
  <c r="N26" s="1"/>
  <c r="V26" s="1"/>
  <c r="U25"/>
  <c r="M25"/>
  <c r="J25"/>
  <c r="G25"/>
  <c r="G22" s="1"/>
  <c r="D25"/>
  <c r="N25" s="1"/>
  <c r="V25" s="1"/>
  <c r="U24"/>
  <c r="M24"/>
  <c r="J24"/>
  <c r="G24"/>
  <c r="D24"/>
  <c r="N24" s="1"/>
  <c r="V24" s="1"/>
  <c r="U23"/>
  <c r="M23"/>
  <c r="J23"/>
  <c r="N23" s="1"/>
  <c r="G23"/>
  <c r="D23"/>
  <c r="U22"/>
  <c r="T22"/>
  <c r="S22"/>
  <c r="R22"/>
  <c r="Q22"/>
  <c r="P22"/>
  <c r="M22"/>
  <c r="L22"/>
  <c r="K22"/>
  <c r="I22"/>
  <c r="H22"/>
  <c r="F22"/>
  <c r="E22"/>
  <c r="C22"/>
  <c r="B22"/>
  <c r="U21"/>
  <c r="M21"/>
  <c r="J21"/>
  <c r="G21"/>
  <c r="D21"/>
  <c r="N21" s="1"/>
  <c r="V21" s="1"/>
  <c r="U20"/>
  <c r="M20"/>
  <c r="J20"/>
  <c r="G20"/>
  <c r="G17" s="1"/>
  <c r="D20"/>
  <c r="N20" s="1"/>
  <c r="V20" s="1"/>
  <c r="U19"/>
  <c r="M19"/>
  <c r="J19"/>
  <c r="G19"/>
  <c r="D19"/>
  <c r="N19" s="1"/>
  <c r="V19" s="1"/>
  <c r="U18"/>
  <c r="M18"/>
  <c r="J18"/>
  <c r="N18" s="1"/>
  <c r="G18"/>
  <c r="D18"/>
  <c r="U17"/>
  <c r="T17"/>
  <c r="S17"/>
  <c r="R17"/>
  <c r="Q17"/>
  <c r="P17"/>
  <c r="M17"/>
  <c r="L17"/>
  <c r="K17"/>
  <c r="I17"/>
  <c r="H17"/>
  <c r="F17"/>
  <c r="E17"/>
  <c r="C17"/>
  <c r="B17"/>
  <c r="U6"/>
  <c r="V6" s="1"/>
  <c r="BW32" i="58"/>
  <c r="BV32"/>
  <c r="BU32"/>
  <c r="BT32"/>
  <c r="BS32"/>
  <c r="BR32"/>
  <c r="BQ32"/>
  <c r="BP32"/>
  <c r="BO32"/>
  <c r="BN32"/>
  <c r="BM32"/>
  <c r="BL32"/>
  <c r="BK32"/>
  <c r="BJ32"/>
  <c r="BH32"/>
  <c r="BG32"/>
  <c r="BF32"/>
  <c r="BE32"/>
  <c r="BD32"/>
  <c r="BC32"/>
  <c r="BB32"/>
  <c r="BA32"/>
  <c r="AZ32"/>
  <c r="AY32"/>
  <c r="AX32"/>
  <c r="AW32"/>
  <c r="AV32"/>
  <c r="AU32"/>
  <c r="AS32"/>
  <c r="AR32"/>
  <c r="AQ32"/>
  <c r="AP32"/>
  <c r="AO32"/>
  <c r="AN32"/>
  <c r="AM32"/>
  <c r="AL32"/>
  <c r="AK32"/>
  <c r="AJ32"/>
  <c r="AI32"/>
  <c r="AH32"/>
  <c r="AG32"/>
  <c r="AF32"/>
  <c r="AD32"/>
  <c r="AC32"/>
  <c r="AB32"/>
  <c r="AA32"/>
  <c r="Z32"/>
  <c r="Y32"/>
  <c r="X32"/>
  <c r="W32"/>
  <c r="V32"/>
  <c r="U32"/>
  <c r="T32"/>
  <c r="S32"/>
  <c r="R32"/>
  <c r="Q32"/>
  <c r="O32"/>
  <c r="N32"/>
  <c r="M32"/>
  <c r="L32"/>
  <c r="K32"/>
  <c r="J32"/>
  <c r="I32"/>
  <c r="H32"/>
  <c r="G32"/>
  <c r="F32"/>
  <c r="E32"/>
  <c r="D32"/>
  <c r="C32"/>
  <c r="B32"/>
  <c r="BW19"/>
  <c r="BV19"/>
  <c r="BU19"/>
  <c r="BT19"/>
  <c r="BS19"/>
  <c r="BR19"/>
  <c r="BQ19"/>
  <c r="BP19"/>
  <c r="BO19"/>
  <c r="BN19"/>
  <c r="BM19"/>
  <c r="BL19"/>
  <c r="BK19"/>
  <c r="BJ19"/>
  <c r="BH19"/>
  <c r="BG19"/>
  <c r="BF19"/>
  <c r="BE19"/>
  <c r="BD19"/>
  <c r="BC19"/>
  <c r="BB19"/>
  <c r="BA19"/>
  <c r="AZ19"/>
  <c r="AY19"/>
  <c r="AX19"/>
  <c r="AW19"/>
  <c r="AV19"/>
  <c r="AU19"/>
  <c r="AS19"/>
  <c r="AR19"/>
  <c r="AQ19"/>
  <c r="AP19"/>
  <c r="AO19"/>
  <c r="AN19"/>
  <c r="AM19"/>
  <c r="AL19"/>
  <c r="AK19"/>
  <c r="AJ19"/>
  <c r="AI19"/>
  <c r="AH19"/>
  <c r="AG19"/>
  <c r="AF19"/>
  <c r="AD19"/>
  <c r="AC19"/>
  <c r="AB19"/>
  <c r="AA19"/>
  <c r="Z19"/>
  <c r="Y19"/>
  <c r="X19"/>
  <c r="W19"/>
  <c r="V19"/>
  <c r="U19"/>
  <c r="T19"/>
  <c r="S19"/>
  <c r="R19"/>
  <c r="Q19"/>
  <c r="O19"/>
  <c r="N19"/>
  <c r="M19"/>
  <c r="L19"/>
  <c r="K19"/>
  <c r="J19"/>
  <c r="I19"/>
  <c r="H19"/>
  <c r="G19"/>
  <c r="F19"/>
  <c r="E19"/>
  <c r="D19"/>
  <c r="C19"/>
  <c r="B19"/>
  <c r="K27" i="7" l="1"/>
  <c r="K33"/>
  <c r="K41"/>
  <c r="AN20"/>
  <c r="AO20" s="1"/>
  <c r="AO21"/>
  <c r="AN24"/>
  <c r="AO24" s="1"/>
  <c r="AO25"/>
  <c r="G18"/>
  <c r="AO30"/>
  <c r="AN38"/>
  <c r="AO38" s="1"/>
  <c r="AO39"/>
  <c r="AO40"/>
  <c r="K47"/>
  <c r="AN19"/>
  <c r="AO19" s="1"/>
  <c r="AO18" s="1"/>
  <c r="K52"/>
  <c r="F31"/>
  <c r="E31"/>
  <c r="AN36"/>
  <c r="AO36" s="1"/>
  <c r="AN37"/>
  <c r="AO37" s="1"/>
  <c r="AN45"/>
  <c r="AO45" s="1"/>
  <c r="K29"/>
  <c r="K37"/>
  <c r="AO51"/>
  <c r="F18"/>
  <c r="AN22"/>
  <c r="AO22" s="1"/>
  <c r="AO23"/>
  <c r="C31"/>
  <c r="AN35"/>
  <c r="AO35" s="1"/>
  <c r="AN43"/>
  <c r="AO43" s="1"/>
  <c r="K46"/>
  <c r="K50"/>
  <c r="K35"/>
  <c r="K43"/>
  <c r="AN26"/>
  <c r="AO26" s="1"/>
  <c r="AN33"/>
  <c r="AO33" s="1"/>
  <c r="AN40"/>
  <c r="AN41"/>
  <c r="AO41" s="1"/>
  <c r="AO49"/>
  <c r="AO28"/>
  <c r="AO34"/>
  <c r="AO42"/>
  <c r="K32"/>
  <c r="K34"/>
  <c r="K36"/>
  <c r="K38"/>
  <c r="K40"/>
  <c r="K42"/>
  <c r="K45"/>
  <c r="AO46"/>
  <c r="K49"/>
  <c r="K51"/>
  <c r="K28"/>
  <c r="K30"/>
  <c r="L31"/>
  <c r="K19"/>
  <c r="K21"/>
  <c r="K23"/>
  <c r="K25"/>
  <c r="AM18"/>
  <c r="N37" i="6"/>
  <c r="V38"/>
  <c r="V37" s="1"/>
  <c r="N22"/>
  <c r="V23"/>
  <c r="V22" s="1"/>
  <c r="N32"/>
  <c r="V33"/>
  <c r="V32" s="1"/>
  <c r="N17"/>
  <c r="V18"/>
  <c r="V17" s="1"/>
  <c r="V28"/>
  <c r="V27" s="1"/>
  <c r="D22"/>
  <c r="D32"/>
  <c r="D37"/>
  <c r="D17"/>
  <c r="J17"/>
  <c r="J22"/>
  <c r="J27"/>
  <c r="J32"/>
  <c r="J37"/>
  <c r="N29"/>
  <c r="V29" s="1"/>
  <c r="K31" i="7" l="1"/>
  <c r="AN31"/>
  <c r="AO31"/>
  <c r="AN18"/>
  <c r="K18"/>
  <c r="N27" i="6"/>
  <c r="I52" i="50" l="1"/>
  <c r="E52"/>
  <c r="F52" i="59" l="1"/>
  <c r="J47" i="35"/>
  <c r="J50"/>
  <c r="N54" i="1"/>
  <c r="W54" l="1"/>
  <c r="X54" s="1"/>
  <c r="K52" i="33" l="1"/>
  <c r="J52"/>
  <c r="I50" i="35"/>
  <c r="K50" s="1"/>
  <c r="F50"/>
  <c r="I52" i="36" l="1"/>
  <c r="F52"/>
  <c r="K52" l="1"/>
  <c r="G43" i="4" l="1"/>
  <c r="J50" i="51"/>
  <c r="I50"/>
  <c r="G50"/>
  <c r="O53" i="5" l="1"/>
  <c r="O54"/>
  <c r="O55"/>
  <c r="O56"/>
  <c r="E55" l="1"/>
  <c r="G52" i="59" l="1"/>
  <c r="BF52"/>
  <c r="E56" i="5" l="1"/>
  <c r="I56"/>
  <c r="L56"/>
  <c r="G56" i="4"/>
  <c r="J56" i="3"/>
  <c r="G56"/>
  <c r="D56"/>
  <c r="CE54" i="1"/>
  <c r="CB54"/>
  <c r="BX54"/>
  <c r="BT54"/>
  <c r="BH54"/>
  <c r="BC54"/>
  <c r="AX54"/>
  <c r="AO54"/>
  <c r="AL54"/>
  <c r="AM54"/>
  <c r="AN54"/>
  <c r="AH54"/>
  <c r="S54"/>
  <c r="L54"/>
  <c r="K59" i="39"/>
  <c r="I59"/>
  <c r="H59"/>
  <c r="F59"/>
  <c r="E59"/>
  <c r="D59"/>
  <c r="C59"/>
  <c r="B59"/>
  <c r="W58"/>
  <c r="U58"/>
  <c r="Q58"/>
  <c r="L58"/>
  <c r="J58"/>
  <c r="G58"/>
  <c r="W46" i="38"/>
  <c r="U46"/>
  <c r="T46"/>
  <c r="S46"/>
  <c r="R46"/>
  <c r="Q46"/>
  <c r="O46"/>
  <c r="M46"/>
  <c r="L46"/>
  <c r="K46"/>
  <c r="J46"/>
  <c r="I46"/>
  <c r="G46"/>
  <c r="E46"/>
  <c r="D46"/>
  <c r="C46"/>
  <c r="B46"/>
  <c r="Y45"/>
  <c r="W45"/>
  <c r="P46" s="1"/>
  <c r="U43"/>
  <c r="W43" s="1"/>
  <c r="U42"/>
  <c r="M42"/>
  <c r="E42"/>
  <c r="W41"/>
  <c r="Q42" s="1"/>
  <c r="U41"/>
  <c r="U39"/>
  <c r="U37"/>
  <c r="W35"/>
  <c r="T36" s="1"/>
  <c r="U35"/>
  <c r="U36" s="1"/>
  <c r="U33"/>
  <c r="R32"/>
  <c r="J32"/>
  <c r="B32"/>
  <c r="W31"/>
  <c r="V32" s="1"/>
  <c r="U31"/>
  <c r="V30"/>
  <c r="T30"/>
  <c r="S30"/>
  <c r="R30"/>
  <c r="Q30"/>
  <c r="N30"/>
  <c r="L30"/>
  <c r="K30"/>
  <c r="J30"/>
  <c r="I30"/>
  <c r="F30"/>
  <c r="D30"/>
  <c r="C30"/>
  <c r="B30"/>
  <c r="Y29"/>
  <c r="W29"/>
  <c r="W30" s="1"/>
  <c r="U29"/>
  <c r="U30" s="1"/>
  <c r="U27"/>
  <c r="W27" s="1"/>
  <c r="V25"/>
  <c r="U25"/>
  <c r="T25"/>
  <c r="S25"/>
  <c r="N25"/>
  <c r="M25"/>
  <c r="L25"/>
  <c r="K25"/>
  <c r="F25"/>
  <c r="E25"/>
  <c r="D25"/>
  <c r="C25"/>
  <c r="W24"/>
  <c r="Q25" s="1"/>
  <c r="V23"/>
  <c r="U23"/>
  <c r="T23"/>
  <c r="S23"/>
  <c r="N23"/>
  <c r="M23"/>
  <c r="L23"/>
  <c r="K23"/>
  <c r="F23"/>
  <c r="E23"/>
  <c r="D23"/>
  <c r="C23"/>
  <c r="W22"/>
  <c r="Q23" s="1"/>
  <c r="V21"/>
  <c r="U21"/>
  <c r="T21"/>
  <c r="S21"/>
  <c r="N21"/>
  <c r="M21"/>
  <c r="L21"/>
  <c r="K21"/>
  <c r="F21"/>
  <c r="E21"/>
  <c r="D21"/>
  <c r="C21"/>
  <c r="W20"/>
  <c r="Q21" s="1"/>
  <c r="U20"/>
  <c r="U18"/>
  <c r="U16"/>
  <c r="W14"/>
  <c r="T15" s="1"/>
  <c r="U14"/>
  <c r="U15" s="1"/>
  <c r="U12"/>
  <c r="R11"/>
  <c r="K11"/>
  <c r="J11"/>
  <c r="I11"/>
  <c r="C11"/>
  <c r="B11"/>
  <c r="Y10"/>
  <c r="W10"/>
  <c r="V11" s="1"/>
  <c r="U10"/>
  <c r="V9"/>
  <c r="T9"/>
  <c r="S9"/>
  <c r="R9"/>
  <c r="Q9"/>
  <c r="N9"/>
  <c r="L9"/>
  <c r="K9"/>
  <c r="J9"/>
  <c r="I9"/>
  <c r="F9"/>
  <c r="D9"/>
  <c r="C9"/>
  <c r="B9"/>
  <c r="Y8"/>
  <c r="W8"/>
  <c r="W9" s="1"/>
  <c r="U8"/>
  <c r="U9" s="1"/>
  <c r="U6"/>
  <c r="W6" s="1"/>
  <c r="L56" i="3" l="1"/>
  <c r="BV54" i="1"/>
  <c r="AY54"/>
  <c r="AP54"/>
  <c r="BU54" s="1"/>
  <c r="T54"/>
  <c r="P56" i="5"/>
  <c r="R56" s="1"/>
  <c r="S56" s="1"/>
  <c r="P44" i="38"/>
  <c r="H44"/>
  <c r="Q44"/>
  <c r="I44"/>
  <c r="Y43"/>
  <c r="R44"/>
  <c r="J44"/>
  <c r="B44"/>
  <c r="T44"/>
  <c r="S44"/>
  <c r="K44"/>
  <c r="C44"/>
  <c r="L44"/>
  <c r="M44"/>
  <c r="E44"/>
  <c r="D44"/>
  <c r="V44"/>
  <c r="N44"/>
  <c r="F44"/>
  <c r="W44"/>
  <c r="O44"/>
  <c r="G44"/>
  <c r="P7"/>
  <c r="H7"/>
  <c r="I7"/>
  <c r="J7"/>
  <c r="Q7"/>
  <c r="Y6"/>
  <c r="B7"/>
  <c r="T7"/>
  <c r="R7"/>
  <c r="L7"/>
  <c r="S7"/>
  <c r="K7"/>
  <c r="C7"/>
  <c r="U7"/>
  <c r="M7"/>
  <c r="E7"/>
  <c r="V7"/>
  <c r="N7"/>
  <c r="F7"/>
  <c r="W7"/>
  <c r="O7"/>
  <c r="G7"/>
  <c r="D7"/>
  <c r="P28"/>
  <c r="H28"/>
  <c r="I28"/>
  <c r="Y27"/>
  <c r="L28"/>
  <c r="Q28"/>
  <c r="T28"/>
  <c r="R28"/>
  <c r="J28"/>
  <c r="B28"/>
  <c r="D28"/>
  <c r="S28"/>
  <c r="K28"/>
  <c r="C28"/>
  <c r="U28"/>
  <c r="M28"/>
  <c r="E28"/>
  <c r="V28"/>
  <c r="N28"/>
  <c r="F28"/>
  <c r="W28"/>
  <c r="O28"/>
  <c r="G28"/>
  <c r="U13"/>
  <c r="U40"/>
  <c r="U17"/>
  <c r="E11"/>
  <c r="M11"/>
  <c r="U11"/>
  <c r="C15"/>
  <c r="K15"/>
  <c r="S15"/>
  <c r="H21"/>
  <c r="P21"/>
  <c r="H23"/>
  <c r="P23"/>
  <c r="H25"/>
  <c r="P25"/>
  <c r="E32"/>
  <c r="M32"/>
  <c r="U32"/>
  <c r="C36"/>
  <c r="K36"/>
  <c r="S36"/>
  <c r="H42"/>
  <c r="P42"/>
  <c r="E9"/>
  <c r="M9"/>
  <c r="D11"/>
  <c r="L11"/>
  <c r="T11"/>
  <c r="B15"/>
  <c r="J15"/>
  <c r="R15"/>
  <c r="W18"/>
  <c r="G21"/>
  <c r="O21"/>
  <c r="W21"/>
  <c r="G23"/>
  <c r="O23"/>
  <c r="W23"/>
  <c r="G25"/>
  <c r="O25"/>
  <c r="W25"/>
  <c r="E30"/>
  <c r="M30"/>
  <c r="D32"/>
  <c r="L32"/>
  <c r="T32"/>
  <c r="B36"/>
  <c r="J36"/>
  <c r="R36"/>
  <c r="W39"/>
  <c r="G42"/>
  <c r="O42"/>
  <c r="W42"/>
  <c r="F46"/>
  <c r="N46"/>
  <c r="V46"/>
  <c r="S11"/>
  <c r="Y14"/>
  <c r="I15"/>
  <c r="Q15"/>
  <c r="W16"/>
  <c r="C32"/>
  <c r="K32"/>
  <c r="S32"/>
  <c r="Y35"/>
  <c r="I36"/>
  <c r="Q36"/>
  <c r="W37"/>
  <c r="F42"/>
  <c r="N42"/>
  <c r="V42"/>
  <c r="U44"/>
  <c r="Q11"/>
  <c r="W12"/>
  <c r="G15"/>
  <c r="O15"/>
  <c r="W15"/>
  <c r="Y31"/>
  <c r="I32"/>
  <c r="Q32"/>
  <c r="W33"/>
  <c r="G36"/>
  <c r="O36"/>
  <c r="W36"/>
  <c r="D42"/>
  <c r="L42"/>
  <c r="T42"/>
  <c r="H15"/>
  <c r="P15"/>
  <c r="H36"/>
  <c r="P11"/>
  <c r="N15"/>
  <c r="V15"/>
  <c r="H32"/>
  <c r="P32"/>
  <c r="F36"/>
  <c r="N36"/>
  <c r="V36"/>
  <c r="C42"/>
  <c r="K42"/>
  <c r="S42"/>
  <c r="P36"/>
  <c r="H9"/>
  <c r="P9"/>
  <c r="O11"/>
  <c r="E15"/>
  <c r="J21"/>
  <c r="B23"/>
  <c r="R23"/>
  <c r="R25"/>
  <c r="G32"/>
  <c r="O32"/>
  <c r="E36"/>
  <c r="M36"/>
  <c r="B42"/>
  <c r="R42"/>
  <c r="H11"/>
  <c r="F15"/>
  <c r="G11"/>
  <c r="W11"/>
  <c r="M15"/>
  <c r="B21"/>
  <c r="R21"/>
  <c r="J23"/>
  <c r="B25"/>
  <c r="J25"/>
  <c r="H30"/>
  <c r="P30"/>
  <c r="W32"/>
  <c r="J42"/>
  <c r="G9"/>
  <c r="O9"/>
  <c r="F11"/>
  <c r="N11"/>
  <c r="D15"/>
  <c r="L15"/>
  <c r="Y20"/>
  <c r="I21"/>
  <c r="Y22"/>
  <c r="I23"/>
  <c r="Y24"/>
  <c r="I25"/>
  <c r="G30"/>
  <c r="O30"/>
  <c r="F32"/>
  <c r="N32"/>
  <c r="D36"/>
  <c r="L36"/>
  <c r="Y41"/>
  <c r="I42"/>
  <c r="H46"/>
  <c r="N56" i="3" l="1"/>
  <c r="AZ54" i="1"/>
  <c r="BW54"/>
  <c r="S38" i="38"/>
  <c r="K38"/>
  <c r="C38"/>
  <c r="T38"/>
  <c r="L38"/>
  <c r="D38"/>
  <c r="W38"/>
  <c r="M38"/>
  <c r="E38"/>
  <c r="O38"/>
  <c r="V38"/>
  <c r="N38"/>
  <c r="F38"/>
  <c r="P38"/>
  <c r="H38"/>
  <c r="Q38"/>
  <c r="I38"/>
  <c r="Y37"/>
  <c r="R38"/>
  <c r="J38"/>
  <c r="B38"/>
  <c r="G38"/>
  <c r="S17"/>
  <c r="K17"/>
  <c r="C17"/>
  <c r="L17"/>
  <c r="D17"/>
  <c r="W17"/>
  <c r="T17"/>
  <c r="M17"/>
  <c r="E17"/>
  <c r="G17"/>
  <c r="V17"/>
  <c r="N17"/>
  <c r="F17"/>
  <c r="P17"/>
  <c r="H17"/>
  <c r="Q17"/>
  <c r="I17"/>
  <c r="Y16"/>
  <c r="R17"/>
  <c r="J17"/>
  <c r="B17"/>
  <c r="O17"/>
  <c r="R19"/>
  <c r="J19"/>
  <c r="B19"/>
  <c r="K19"/>
  <c r="C19"/>
  <c r="S19"/>
  <c r="L19"/>
  <c r="V19"/>
  <c r="T19"/>
  <c r="D19"/>
  <c r="N19"/>
  <c r="M19"/>
  <c r="E19"/>
  <c r="W19"/>
  <c r="O19"/>
  <c r="G19"/>
  <c r="F19"/>
  <c r="P19"/>
  <c r="H19"/>
  <c r="Q19"/>
  <c r="I19"/>
  <c r="Y18"/>
  <c r="M34"/>
  <c r="E34"/>
  <c r="V34"/>
  <c r="N34"/>
  <c r="F34"/>
  <c r="Q34"/>
  <c r="W34"/>
  <c r="O34"/>
  <c r="G34"/>
  <c r="P34"/>
  <c r="H34"/>
  <c r="R34"/>
  <c r="J34"/>
  <c r="B34"/>
  <c r="Y33"/>
  <c r="S34"/>
  <c r="K34"/>
  <c r="C34"/>
  <c r="T34"/>
  <c r="L34"/>
  <c r="D34"/>
  <c r="I34"/>
  <c r="M13"/>
  <c r="E13"/>
  <c r="V13"/>
  <c r="F13"/>
  <c r="G13"/>
  <c r="Q13"/>
  <c r="N13"/>
  <c r="Y12"/>
  <c r="W13"/>
  <c r="O13"/>
  <c r="I13"/>
  <c r="P13"/>
  <c r="H13"/>
  <c r="R13"/>
  <c r="J13"/>
  <c r="B13"/>
  <c r="S13"/>
  <c r="K13"/>
  <c r="C13"/>
  <c r="T13"/>
  <c r="L13"/>
  <c r="D13"/>
  <c r="R40"/>
  <c r="J40"/>
  <c r="B40"/>
  <c r="N40"/>
  <c r="S40"/>
  <c r="K40"/>
  <c r="C40"/>
  <c r="T40"/>
  <c r="L40"/>
  <c r="D40"/>
  <c r="V40"/>
  <c r="F40"/>
  <c r="M40"/>
  <c r="E40"/>
  <c r="W40"/>
  <c r="O40"/>
  <c r="G40"/>
  <c r="P40"/>
  <c r="H40"/>
  <c r="Q40"/>
  <c r="I40"/>
  <c r="Y39"/>
  <c r="U38"/>
  <c r="U19"/>
  <c r="U34"/>
  <c r="O56" i="3" l="1"/>
  <c r="I51" i="50"/>
  <c r="E51"/>
  <c r="I49"/>
  <c r="E49"/>
  <c r="I48"/>
  <c r="E48"/>
  <c r="I47"/>
  <c r="E47"/>
  <c r="I46"/>
  <c r="E46"/>
  <c r="E45" s="1"/>
  <c r="H45"/>
  <c r="G45"/>
  <c r="F45"/>
  <c r="I45" s="1"/>
  <c r="D45"/>
  <c r="C45"/>
  <c r="B45"/>
  <c r="I44"/>
  <c r="E44"/>
  <c r="I43"/>
  <c r="E43"/>
  <c r="I42"/>
  <c r="E42"/>
  <c r="I41"/>
  <c r="E41"/>
  <c r="H40"/>
  <c r="I40" s="1"/>
  <c r="G40"/>
  <c r="F40"/>
  <c r="D40"/>
  <c r="C40"/>
  <c r="B40"/>
  <c r="I39"/>
  <c r="E39"/>
  <c r="I38"/>
  <c r="E38"/>
  <c r="I37"/>
  <c r="E37"/>
  <c r="I36"/>
  <c r="E36"/>
  <c r="H35"/>
  <c r="G35"/>
  <c r="I35" s="1"/>
  <c r="F35"/>
  <c r="D35"/>
  <c r="C35"/>
  <c r="B35"/>
  <c r="I34"/>
  <c r="E34"/>
  <c r="I33"/>
  <c r="E33"/>
  <c r="I32"/>
  <c r="E32"/>
  <c r="I31"/>
  <c r="E31"/>
  <c r="E30" s="1"/>
  <c r="I30"/>
  <c r="H30"/>
  <c r="G30"/>
  <c r="F30"/>
  <c r="D30"/>
  <c r="C30"/>
  <c r="B30"/>
  <c r="I29"/>
  <c r="E29"/>
  <c r="I28"/>
  <c r="E28"/>
  <c r="I27"/>
  <c r="E27"/>
  <c r="I26"/>
  <c r="E26"/>
  <c r="E25" s="1"/>
  <c r="H25"/>
  <c r="G25"/>
  <c r="F25"/>
  <c r="I25" s="1"/>
  <c r="D25"/>
  <c r="C25"/>
  <c r="B25"/>
  <c r="I24"/>
  <c r="E24"/>
  <c r="I23"/>
  <c r="E23"/>
  <c r="I22"/>
  <c r="E22"/>
  <c r="I21"/>
  <c r="E21"/>
  <c r="I20"/>
  <c r="H20"/>
  <c r="G20"/>
  <c r="F20"/>
  <c r="D20"/>
  <c r="C20"/>
  <c r="B20"/>
  <c r="I19"/>
  <c r="E19"/>
  <c r="I18"/>
  <c r="E18"/>
  <c r="I17"/>
  <c r="E17"/>
  <c r="I16"/>
  <c r="E16"/>
  <c r="E15" s="1"/>
  <c r="I15"/>
  <c r="H15"/>
  <c r="G15"/>
  <c r="F15"/>
  <c r="D15"/>
  <c r="C15"/>
  <c r="B15"/>
  <c r="E35" l="1"/>
  <c r="E40"/>
  <c r="E20"/>
  <c r="BF51" i="59" l="1"/>
  <c r="J45" i="33"/>
  <c r="J46"/>
  <c r="J47"/>
  <c r="J48"/>
  <c r="J51"/>
  <c r="K51" s="1"/>
  <c r="J49" i="35"/>
  <c r="I49"/>
  <c r="F49"/>
  <c r="K49" l="1"/>
  <c r="G55" i="51"/>
  <c r="I55" s="1"/>
  <c r="J55" s="1"/>
  <c r="L53" i="1" l="1"/>
  <c r="F51" i="59" l="1"/>
  <c r="G51"/>
  <c r="L55" i="5"/>
  <c r="I55"/>
  <c r="G55" i="4"/>
  <c r="J55" i="3"/>
  <c r="G55"/>
  <c r="D55"/>
  <c r="CE53" i="1"/>
  <c r="CB53"/>
  <c r="BX53"/>
  <c r="BV53"/>
  <c r="BT53"/>
  <c r="BH53"/>
  <c r="AY53"/>
  <c r="AX53"/>
  <c r="AO53"/>
  <c r="AN53"/>
  <c r="AM53"/>
  <c r="AL53"/>
  <c r="AH53"/>
  <c r="T53"/>
  <c r="S53"/>
  <c r="N53"/>
  <c r="J50" i="33"/>
  <c r="K50" s="1"/>
  <c r="J49"/>
  <c r="K49" s="1"/>
  <c r="K48"/>
  <c r="K47"/>
  <c r="K46"/>
  <c r="K45"/>
  <c r="J43"/>
  <c r="K43" s="1"/>
  <c r="J42"/>
  <c r="K42" s="1"/>
  <c r="J41"/>
  <c r="K41" s="1"/>
  <c r="J40"/>
  <c r="K40" s="1"/>
  <c r="K39"/>
  <c r="J39"/>
  <c r="K38"/>
  <c r="J38"/>
  <c r="J37"/>
  <c r="K37" s="1"/>
  <c r="K36"/>
  <c r="J36"/>
  <c r="J35"/>
  <c r="K35" s="1"/>
  <c r="K34"/>
  <c r="J34"/>
  <c r="J33"/>
  <c r="K33" s="1"/>
  <c r="J32"/>
  <c r="K32" s="1"/>
  <c r="I31"/>
  <c r="H31"/>
  <c r="G31"/>
  <c r="F31"/>
  <c r="E31"/>
  <c r="D31"/>
  <c r="C31"/>
  <c r="B31"/>
  <c r="J30"/>
  <c r="K30" s="1"/>
  <c r="J29"/>
  <c r="K29" s="1"/>
  <c r="J28"/>
  <c r="K28" s="1"/>
  <c r="K27"/>
  <c r="J27"/>
  <c r="J26"/>
  <c r="K26" s="1"/>
  <c r="J25"/>
  <c r="K25" s="1"/>
  <c r="J24"/>
  <c r="K24" s="1"/>
  <c r="K23"/>
  <c r="J23"/>
  <c r="K22"/>
  <c r="J22"/>
  <c r="J21"/>
  <c r="K21" s="1"/>
  <c r="J20"/>
  <c r="K20" s="1"/>
  <c r="J19"/>
  <c r="K19" s="1"/>
  <c r="O18"/>
  <c r="N18"/>
  <c r="M18"/>
  <c r="L18"/>
  <c r="I18"/>
  <c r="H18"/>
  <c r="G18"/>
  <c r="F18"/>
  <c r="E18"/>
  <c r="D18"/>
  <c r="C18"/>
  <c r="B18"/>
  <c r="J18" l="1"/>
  <c r="AZ53" i="1"/>
  <c r="L55" i="3"/>
  <c r="AP53" i="1"/>
  <c r="W53"/>
  <c r="BC53"/>
  <c r="P55" i="5"/>
  <c r="K31" i="33"/>
  <c r="K18"/>
  <c r="J31"/>
  <c r="N55" i="3" l="1"/>
  <c r="BU53" i="1"/>
  <c r="BW53"/>
  <c r="X53"/>
  <c r="R55" i="5"/>
  <c r="O55" i="3" l="1"/>
  <c r="S55" i="5"/>
  <c r="M45" i="64" l="1"/>
  <c r="I45"/>
  <c r="F45"/>
  <c r="N45"/>
  <c r="O45" l="1"/>
  <c r="R45" s="1"/>
  <c r="BF46" i="59"/>
  <c r="BF47"/>
  <c r="BF48"/>
  <c r="BF49"/>
  <c r="BF50"/>
  <c r="F48"/>
  <c r="G48"/>
  <c r="F49"/>
  <c r="G49"/>
  <c r="F50"/>
  <c r="G50"/>
  <c r="F44" i="66" l="1"/>
  <c r="I49" i="2"/>
  <c r="I50"/>
  <c r="I50" i="36" l="1"/>
  <c r="I51"/>
  <c r="K51" s="1"/>
  <c r="F50"/>
  <c r="F51"/>
  <c r="J48" i="35"/>
  <c r="K50" i="36" l="1"/>
  <c r="I48" i="35"/>
  <c r="F48"/>
  <c r="K48" l="1"/>
  <c r="K54" i="3" l="1"/>
  <c r="K53"/>
  <c r="BA52" i="1"/>
  <c r="AV52" l="1"/>
  <c r="AX52" s="1"/>
  <c r="L54" i="5" l="1"/>
  <c r="I54"/>
  <c r="E54"/>
  <c r="L44" i="61"/>
  <c r="F44"/>
  <c r="P54" i="5" l="1"/>
  <c r="R54" s="1"/>
  <c r="S54" s="1"/>
  <c r="G54" i="51"/>
  <c r="I54" s="1"/>
  <c r="J54" s="1"/>
  <c r="G54" i="4"/>
  <c r="J54" i="3"/>
  <c r="G54"/>
  <c r="D54"/>
  <c r="CE52" i="1"/>
  <c r="CB52"/>
  <c r="BX52"/>
  <c r="BT52"/>
  <c r="BV52" s="1"/>
  <c r="L54" i="3" l="1"/>
  <c r="N54" s="1"/>
  <c r="O54" s="1"/>
  <c r="S52" i="1"/>
  <c r="T52" s="1"/>
  <c r="AY52"/>
  <c r="AZ52" s="1"/>
  <c r="BH52"/>
  <c r="AM52"/>
  <c r="AN52"/>
  <c r="AO52"/>
  <c r="AL52"/>
  <c r="AH52"/>
  <c r="AD52"/>
  <c r="AP52" s="1"/>
  <c r="N52"/>
  <c r="W52" s="1"/>
  <c r="X52" s="1"/>
  <c r="L52"/>
  <c r="BC52" s="1"/>
  <c r="G42" i="44"/>
  <c r="F42"/>
  <c r="E42"/>
  <c r="D42"/>
  <c r="C42"/>
  <c r="B42"/>
  <c r="B29"/>
  <c r="AH58" i="68"/>
  <c r="AJ58" s="1"/>
  <c r="AG58"/>
  <c r="Z58"/>
  <c r="O58"/>
  <c r="Q58" s="1"/>
  <c r="N58"/>
  <c r="G58"/>
  <c r="AG56"/>
  <c r="Z56"/>
  <c r="AH56" s="1"/>
  <c r="AJ56" s="1"/>
  <c r="O56"/>
  <c r="Q56" s="1"/>
  <c r="N56"/>
  <c r="G56"/>
  <c r="AG55"/>
  <c r="Z55"/>
  <c r="AH55" s="1"/>
  <c r="AJ55" s="1"/>
  <c r="N55"/>
  <c r="G55"/>
  <c r="O55" s="1"/>
  <c r="Q55" s="1"/>
  <c r="AH54"/>
  <c r="AJ54" s="1"/>
  <c r="AG54"/>
  <c r="Z54"/>
  <c r="Q54"/>
  <c r="O54"/>
  <c r="N54"/>
  <c r="G54"/>
  <c r="AH53"/>
  <c r="AJ53" s="1"/>
  <c r="AG53"/>
  <c r="Z53"/>
  <c r="O53"/>
  <c r="Q53" s="1"/>
  <c r="N53"/>
  <c r="G53"/>
  <c r="BW52" i="1" l="1"/>
  <c r="BU52"/>
  <c r="BH51"/>
  <c r="B32" i="2"/>
  <c r="J33" i="1"/>
  <c r="U50" i="45" l="1"/>
  <c r="BA50" i="1" l="1"/>
  <c r="AV50"/>
  <c r="AV51"/>
  <c r="BA51" l="1"/>
  <c r="I47" i="35" l="1"/>
  <c r="F47"/>
  <c r="BA49" i="1"/>
  <c r="L43" i="61"/>
  <c r="F43"/>
  <c r="N44" i="64"/>
  <c r="M44"/>
  <c r="I44"/>
  <c r="F44"/>
  <c r="L53" i="5"/>
  <c r="I53"/>
  <c r="E53"/>
  <c r="F49" i="36"/>
  <c r="I49"/>
  <c r="G53" i="51"/>
  <c r="I53" s="1"/>
  <c r="J53" s="1"/>
  <c r="G53" i="4"/>
  <c r="D53" i="3"/>
  <c r="J53"/>
  <c r="G53"/>
  <c r="L51" i="1"/>
  <c r="N51" s="1"/>
  <c r="W51" s="1"/>
  <c r="X51" s="1"/>
  <c r="S51"/>
  <c r="T51" s="1"/>
  <c r="CE51"/>
  <c r="CB51"/>
  <c r="BT51"/>
  <c r="AM51"/>
  <c r="AN51"/>
  <c r="AO51"/>
  <c r="AL51"/>
  <c r="AH51"/>
  <c r="AD51"/>
  <c r="I8" i="5"/>
  <c r="L8"/>
  <c r="O44" i="64" l="1"/>
  <c r="R44" s="1"/>
  <c r="BC51" i="1"/>
  <c r="K49" i="36"/>
  <c r="K47" i="35"/>
  <c r="P53" i="5"/>
  <c r="R53" s="1"/>
  <c r="S53" s="1"/>
  <c r="BX51" i="1"/>
  <c r="BV51"/>
  <c r="AX51"/>
  <c r="AY51" s="1"/>
  <c r="AZ51" s="1"/>
  <c r="AP51"/>
  <c r="BU51" s="1"/>
  <c r="L53" i="3"/>
  <c r="N53" s="1"/>
  <c r="O53" s="1"/>
  <c r="P8" i="5"/>
  <c r="R8" s="1"/>
  <c r="S8" s="1"/>
  <c r="BW51" i="1" l="1"/>
  <c r="CE50"/>
  <c r="CB50"/>
  <c r="BT50"/>
  <c r="BV50" s="1"/>
  <c r="BH50"/>
  <c r="AX50"/>
  <c r="AY50" s="1"/>
  <c r="AO50"/>
  <c r="AN50"/>
  <c r="AM50"/>
  <c r="AL50"/>
  <c r="AH50"/>
  <c r="AD50"/>
  <c r="T50"/>
  <c r="S50"/>
  <c r="L50"/>
  <c r="BC50" s="1"/>
  <c r="N50" l="1"/>
  <c r="W50" s="1"/>
  <c r="X50" s="1"/>
  <c r="AZ50"/>
  <c r="BX50"/>
  <c r="AP50"/>
  <c r="BU50" s="1"/>
  <c r="BW50" l="1"/>
  <c r="U48" i="45"/>
  <c r="U49"/>
  <c r="J22" i="13"/>
  <c r="I22"/>
  <c r="G22"/>
  <c r="F22"/>
  <c r="D22"/>
  <c r="C22"/>
  <c r="J9"/>
  <c r="G9"/>
  <c r="B44" i="66"/>
  <c r="D44"/>
  <c r="C44"/>
  <c r="H31"/>
  <c r="G31"/>
  <c r="F31"/>
  <c r="E31"/>
  <c r="D31"/>
  <c r="C31"/>
  <c r="B31"/>
  <c r="H18"/>
  <c r="G18"/>
  <c r="F18"/>
  <c r="E18"/>
  <c r="D18"/>
  <c r="C18"/>
  <c r="B18"/>
  <c r="I48" i="10"/>
  <c r="I47"/>
  <c r="I46"/>
  <c r="I44"/>
  <c r="I43"/>
  <c r="I42"/>
  <c r="I41"/>
  <c r="I40"/>
  <c r="I39"/>
  <c r="I38"/>
  <c r="I37"/>
  <c r="I36"/>
  <c r="I35"/>
  <c r="I34"/>
  <c r="I33"/>
  <c r="K32"/>
  <c r="J32"/>
  <c r="H32"/>
  <c r="G32"/>
  <c r="F32"/>
  <c r="E32"/>
  <c r="D32"/>
  <c r="C32"/>
  <c r="B32"/>
  <c r="I24"/>
  <c r="I19" s="1"/>
  <c r="I23"/>
  <c r="I22"/>
  <c r="I21"/>
  <c r="I20"/>
  <c r="K19"/>
  <c r="J19"/>
  <c r="H19"/>
  <c r="G19"/>
  <c r="F19"/>
  <c r="E19"/>
  <c r="D19"/>
  <c r="C19"/>
  <c r="B19"/>
  <c r="G47" i="59"/>
  <c r="F47"/>
  <c r="G46"/>
  <c r="F46"/>
  <c r="BF45"/>
  <c r="G45"/>
  <c r="F45"/>
  <c r="BF43"/>
  <c r="BF31" s="1"/>
  <c r="G43"/>
  <c r="F43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F33"/>
  <c r="BF32"/>
  <c r="G32"/>
  <c r="F32"/>
  <c r="BS31"/>
  <c r="BR31"/>
  <c r="BQ31"/>
  <c r="BP31"/>
  <c r="BO31"/>
  <c r="BN31"/>
  <c r="BM31"/>
  <c r="BL31"/>
  <c r="BK31"/>
  <c r="BJ31"/>
  <c r="BI31"/>
  <c r="BH31"/>
  <c r="BG31"/>
  <c r="BE31"/>
  <c r="BD31"/>
  <c r="BC31"/>
  <c r="BB31"/>
  <c r="BA31"/>
  <c r="AZ31"/>
  <c r="AY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X31"/>
  <c r="W31"/>
  <c r="V31"/>
  <c r="U31"/>
  <c r="T31"/>
  <c r="S31"/>
  <c r="R31"/>
  <c r="Q31"/>
  <c r="P31"/>
  <c r="O31"/>
  <c r="N31"/>
  <c r="M31"/>
  <c r="L31"/>
  <c r="K31"/>
  <c r="J31"/>
  <c r="I31"/>
  <c r="H31"/>
  <c r="E31"/>
  <c r="D31"/>
  <c r="C31"/>
  <c r="B31"/>
  <c r="BF30"/>
  <c r="BF18" s="1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BF22"/>
  <c r="G22"/>
  <c r="BF21"/>
  <c r="G21"/>
  <c r="F21"/>
  <c r="BF20"/>
  <c r="G20"/>
  <c r="F20"/>
  <c r="BF19"/>
  <c r="G19"/>
  <c r="F19"/>
  <c r="BS18"/>
  <c r="BR18"/>
  <c r="BQ18"/>
  <c r="BP18"/>
  <c r="BO18"/>
  <c r="BN18"/>
  <c r="BM18"/>
  <c r="BL18"/>
  <c r="BK18"/>
  <c r="BJ18"/>
  <c r="BI18"/>
  <c r="BH18"/>
  <c r="BG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B18"/>
  <c r="I32" i="10" l="1"/>
  <c r="F18" i="59"/>
  <c r="G18"/>
  <c r="G31"/>
  <c r="F31"/>
  <c r="I52" i="51" l="1"/>
  <c r="J52" s="1"/>
  <c r="G52"/>
  <c r="G51"/>
  <c r="I51" s="1"/>
  <c r="J51" s="1"/>
  <c r="G49"/>
  <c r="I49" s="1"/>
  <c r="J49" s="1"/>
  <c r="I47"/>
  <c r="I35" s="1"/>
  <c r="G47"/>
  <c r="G35" s="1"/>
  <c r="G46"/>
  <c r="I46" s="1"/>
  <c r="J46" s="1"/>
  <c r="G45"/>
  <c r="I45" s="1"/>
  <c r="J45" s="1"/>
  <c r="I44"/>
  <c r="J44" s="1"/>
  <c r="G44"/>
  <c r="G43"/>
  <c r="I43" s="1"/>
  <c r="J43" s="1"/>
  <c r="G42"/>
  <c r="I42" s="1"/>
  <c r="J42" s="1"/>
  <c r="J41"/>
  <c r="I41"/>
  <c r="G41"/>
  <c r="G40"/>
  <c r="I40" s="1"/>
  <c r="J40" s="1"/>
  <c r="G39"/>
  <c r="I39" s="1"/>
  <c r="J39" s="1"/>
  <c r="I38"/>
  <c r="J38" s="1"/>
  <c r="G38"/>
  <c r="I37"/>
  <c r="J37" s="1"/>
  <c r="G37"/>
  <c r="I36"/>
  <c r="J36" s="1"/>
  <c r="G36"/>
  <c r="H35"/>
  <c r="F35"/>
  <c r="E35"/>
  <c r="D35"/>
  <c r="C35"/>
  <c r="B35"/>
  <c r="G34"/>
  <c r="G22" s="1"/>
  <c r="G33"/>
  <c r="I33" s="1"/>
  <c r="J33" s="1"/>
  <c r="G32"/>
  <c r="I32" s="1"/>
  <c r="J32" s="1"/>
  <c r="G31"/>
  <c r="I31" s="1"/>
  <c r="J31" s="1"/>
  <c r="J30"/>
  <c r="I30"/>
  <c r="G30"/>
  <c r="G29"/>
  <c r="I29" s="1"/>
  <c r="J29" s="1"/>
  <c r="G28"/>
  <c r="I28" s="1"/>
  <c r="J28" s="1"/>
  <c r="G27"/>
  <c r="I27" s="1"/>
  <c r="J27" s="1"/>
  <c r="G26"/>
  <c r="I26" s="1"/>
  <c r="J26" s="1"/>
  <c r="G25"/>
  <c r="I25" s="1"/>
  <c r="J25" s="1"/>
  <c r="G24"/>
  <c r="I24" s="1"/>
  <c r="J24" s="1"/>
  <c r="G23"/>
  <c r="I23" s="1"/>
  <c r="J23" s="1"/>
  <c r="H22"/>
  <c r="F22"/>
  <c r="E22"/>
  <c r="D22"/>
  <c r="C22"/>
  <c r="B22"/>
  <c r="I10"/>
  <c r="J10" s="1"/>
  <c r="G10"/>
  <c r="G9"/>
  <c r="I9" s="1"/>
  <c r="J9" s="1"/>
  <c r="G8"/>
  <c r="I8" s="1"/>
  <c r="J8" s="1"/>
  <c r="G52" i="4"/>
  <c r="G51"/>
  <c r="G50"/>
  <c r="G49"/>
  <c r="G47"/>
  <c r="G35" s="1"/>
  <c r="G46"/>
  <c r="G45"/>
  <c r="G44"/>
  <c r="G42"/>
  <c r="G41"/>
  <c r="G40"/>
  <c r="G39"/>
  <c r="G38"/>
  <c r="G37"/>
  <c r="G36"/>
  <c r="F35"/>
  <c r="E35"/>
  <c r="D35"/>
  <c r="C35"/>
  <c r="B35"/>
  <c r="G34"/>
  <c r="G22" s="1"/>
  <c r="G33"/>
  <c r="G32"/>
  <c r="G31"/>
  <c r="G30"/>
  <c r="G29"/>
  <c r="G28"/>
  <c r="G27"/>
  <c r="G26"/>
  <c r="G25"/>
  <c r="G24"/>
  <c r="G23"/>
  <c r="F22"/>
  <c r="E22"/>
  <c r="D22"/>
  <c r="C22"/>
  <c r="B22"/>
  <c r="G8"/>
  <c r="D52" i="3"/>
  <c r="G52"/>
  <c r="J52"/>
  <c r="K52"/>
  <c r="I34" i="51" l="1"/>
  <c r="J47"/>
  <c r="J35" s="1"/>
  <c r="L52" i="3"/>
  <c r="N52" s="1"/>
  <c r="O52" s="1"/>
  <c r="M52" i="5"/>
  <c r="O52" s="1"/>
  <c r="J52"/>
  <c r="L52" s="1"/>
  <c r="I52"/>
  <c r="E52"/>
  <c r="I22" i="51" l="1"/>
  <c r="J34"/>
  <c r="J22" s="1"/>
  <c r="P52" i="5"/>
  <c r="R52" s="1"/>
  <c r="S52" s="1"/>
  <c r="J46" i="35" l="1"/>
  <c r="I46"/>
  <c r="F46"/>
  <c r="K46" l="1"/>
  <c r="I47" i="2" l="1"/>
  <c r="I48"/>
  <c r="N43" i="64" l="1"/>
  <c r="J43" i="60"/>
  <c r="E43"/>
  <c r="M43" i="64" l="1"/>
  <c r="I43"/>
  <c r="F43"/>
  <c r="BT49" i="1"/>
  <c r="O43" i="64" l="1"/>
  <c r="R43" s="1"/>
  <c r="N42"/>
  <c r="M42"/>
  <c r="I42"/>
  <c r="F42"/>
  <c r="N41"/>
  <c r="M41"/>
  <c r="I41"/>
  <c r="F41"/>
  <c r="N40"/>
  <c r="M40"/>
  <c r="I40"/>
  <c r="F40"/>
  <c r="N38"/>
  <c r="M38"/>
  <c r="I38"/>
  <c r="F38"/>
  <c r="N37"/>
  <c r="M37"/>
  <c r="I37"/>
  <c r="F37"/>
  <c r="N36"/>
  <c r="M36"/>
  <c r="I36"/>
  <c r="F36"/>
  <c r="N35"/>
  <c r="M35"/>
  <c r="I35"/>
  <c r="F35"/>
  <c r="N34"/>
  <c r="M34"/>
  <c r="I34"/>
  <c r="F34"/>
  <c r="O34" s="1"/>
  <c r="R34" s="1"/>
  <c r="N33"/>
  <c r="M33"/>
  <c r="I33"/>
  <c r="F33"/>
  <c r="N32"/>
  <c r="M32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Q26"/>
  <c r="P26"/>
  <c r="L26"/>
  <c r="K26"/>
  <c r="J26"/>
  <c r="H26"/>
  <c r="G26"/>
  <c r="E26"/>
  <c r="D26"/>
  <c r="C26"/>
  <c r="B26"/>
  <c r="N25"/>
  <c r="M25"/>
  <c r="I25"/>
  <c r="F25"/>
  <c r="N24"/>
  <c r="M24"/>
  <c r="I24"/>
  <c r="F24"/>
  <c r="N23"/>
  <c r="M23"/>
  <c r="I23"/>
  <c r="F23"/>
  <c r="N22"/>
  <c r="M22"/>
  <c r="I22"/>
  <c r="F22"/>
  <c r="N21"/>
  <c r="M21"/>
  <c r="I21"/>
  <c r="F21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Q13"/>
  <c r="P13"/>
  <c r="L13"/>
  <c r="K13"/>
  <c r="J13"/>
  <c r="H13"/>
  <c r="G13"/>
  <c r="E13"/>
  <c r="D13"/>
  <c r="C13"/>
  <c r="B13"/>
  <c r="N7"/>
  <c r="M7"/>
  <c r="I7"/>
  <c r="F7"/>
  <c r="J42" i="60"/>
  <c r="E42"/>
  <c r="J41"/>
  <c r="E41"/>
  <c r="J40"/>
  <c r="E40"/>
  <c r="J38"/>
  <c r="J26" s="1"/>
  <c r="E38"/>
  <c r="E26" s="1"/>
  <c r="J37"/>
  <c r="E37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Q26"/>
  <c r="P26"/>
  <c r="O26"/>
  <c r="N26"/>
  <c r="M26"/>
  <c r="L26"/>
  <c r="K26"/>
  <c r="I26"/>
  <c r="H26"/>
  <c r="G26"/>
  <c r="F26"/>
  <c r="D26"/>
  <c r="C26"/>
  <c r="B26"/>
  <c r="J25"/>
  <c r="E25"/>
  <c r="E13" s="1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Q13"/>
  <c r="P13"/>
  <c r="O13"/>
  <c r="N13"/>
  <c r="M13"/>
  <c r="L13"/>
  <c r="K13"/>
  <c r="J13"/>
  <c r="I13"/>
  <c r="H13"/>
  <c r="G13"/>
  <c r="F13"/>
  <c r="D13"/>
  <c r="C13"/>
  <c r="B13"/>
  <c r="L42" i="61"/>
  <c r="F42"/>
  <c r="L41"/>
  <c r="F41"/>
  <c r="L40"/>
  <c r="F40"/>
  <c r="L39"/>
  <c r="F39"/>
  <c r="L37"/>
  <c r="L25" s="1"/>
  <c r="F37"/>
  <c r="F25" s="1"/>
  <c r="L36"/>
  <c r="F36"/>
  <c r="L35"/>
  <c r="F35"/>
  <c r="L34"/>
  <c r="F34"/>
  <c r="L33"/>
  <c r="F33"/>
  <c r="L32"/>
  <c r="F32"/>
  <c r="L31"/>
  <c r="F31"/>
  <c r="L30"/>
  <c r="F30"/>
  <c r="L29"/>
  <c r="F29"/>
  <c r="L28"/>
  <c r="F28"/>
  <c r="L27"/>
  <c r="F27"/>
  <c r="L26"/>
  <c r="F26"/>
  <c r="S25"/>
  <c r="R25"/>
  <c r="Q25"/>
  <c r="P25"/>
  <c r="O25"/>
  <c r="N25"/>
  <c r="M25"/>
  <c r="K25"/>
  <c r="J25"/>
  <c r="I25"/>
  <c r="H25"/>
  <c r="G25"/>
  <c r="E25"/>
  <c r="D25"/>
  <c r="C25"/>
  <c r="B25"/>
  <c r="L24"/>
  <c r="L12" s="1"/>
  <c r="F24"/>
  <c r="F12" s="1"/>
  <c r="L23"/>
  <c r="F23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S12"/>
  <c r="R12"/>
  <c r="Q12"/>
  <c r="P12"/>
  <c r="O12"/>
  <c r="N12"/>
  <c r="M12"/>
  <c r="K12"/>
  <c r="J12"/>
  <c r="I12"/>
  <c r="H12"/>
  <c r="G12"/>
  <c r="E12"/>
  <c r="D12"/>
  <c r="C12"/>
  <c r="B12"/>
  <c r="O27" i="64" l="1"/>
  <c r="R27" s="1"/>
  <c r="S27" s="1"/>
  <c r="O14"/>
  <c r="R14" s="1"/>
  <c r="O16"/>
  <c r="R16" s="1"/>
  <c r="O22"/>
  <c r="R22" s="1"/>
  <c r="O42"/>
  <c r="R42" s="1"/>
  <c r="N26"/>
  <c r="O35"/>
  <c r="R35" s="1"/>
  <c r="O15"/>
  <c r="R15" s="1"/>
  <c r="O33"/>
  <c r="R33" s="1"/>
  <c r="O40"/>
  <c r="R40" s="1"/>
  <c r="O17"/>
  <c r="R17" s="1"/>
  <c r="O19"/>
  <c r="R19" s="1"/>
  <c r="O21"/>
  <c r="R21" s="1"/>
  <c r="O23"/>
  <c r="R23" s="1"/>
  <c r="O24"/>
  <c r="R24" s="1"/>
  <c r="O36"/>
  <c r="R36" s="1"/>
  <c r="O38"/>
  <c r="R38" s="1"/>
  <c r="O20"/>
  <c r="R20" s="1"/>
  <c r="M26"/>
  <c r="O25"/>
  <c r="R25" s="1"/>
  <c r="O31"/>
  <c r="R31" s="1"/>
  <c r="F13"/>
  <c r="O37"/>
  <c r="R37" s="1"/>
  <c r="O30"/>
  <c r="R30" s="1"/>
  <c r="O41"/>
  <c r="R41" s="1"/>
  <c r="O7"/>
  <c r="N13"/>
  <c r="I26"/>
  <c r="M13"/>
  <c r="O29"/>
  <c r="R29" s="1"/>
  <c r="I13"/>
  <c r="O32"/>
  <c r="R32" s="1"/>
  <c r="F26"/>
  <c r="S14"/>
  <c r="O18"/>
  <c r="R18" s="1"/>
  <c r="O28"/>
  <c r="R28" s="1"/>
  <c r="S15" l="1"/>
  <c r="S16" s="1"/>
  <c r="S17" s="1"/>
  <c r="S18" s="1"/>
  <c r="S19" s="1"/>
  <c r="S20" s="1"/>
  <c r="S21" s="1"/>
  <c r="S22" s="1"/>
  <c r="S23" s="1"/>
  <c r="S24" s="1"/>
  <c r="S25" s="1"/>
  <c r="S13" s="1"/>
  <c r="O13"/>
  <c r="R13"/>
  <c r="S28"/>
  <c r="S29" s="1"/>
  <c r="S30" s="1"/>
  <c r="S31" s="1"/>
  <c r="S32" s="1"/>
  <c r="S33" s="1"/>
  <c r="S34" s="1"/>
  <c r="S35" s="1"/>
  <c r="S36" s="1"/>
  <c r="S37" s="1"/>
  <c r="S38" s="1"/>
  <c r="R26"/>
  <c r="O26"/>
  <c r="S26" l="1"/>
  <c r="S40"/>
  <c r="S41" s="1"/>
  <c r="S42" s="1"/>
  <c r="S43" s="1"/>
  <c r="S44" s="1"/>
  <c r="S45" s="1"/>
  <c r="AV49" i="1" l="1"/>
  <c r="M51" i="5" l="1"/>
  <c r="O51" s="1"/>
  <c r="J51"/>
  <c r="L51" s="1"/>
  <c r="F51"/>
  <c r="I51" s="1"/>
  <c r="E51"/>
  <c r="B51"/>
  <c r="P51" l="1"/>
  <c r="R51" s="1"/>
  <c r="S51" s="1"/>
  <c r="I45" i="35"/>
  <c r="F45"/>
  <c r="K46" i="36"/>
  <c r="F46"/>
  <c r="I46"/>
  <c r="I48"/>
  <c r="I47"/>
  <c r="F48"/>
  <c r="F47"/>
  <c r="K48" l="1"/>
  <c r="K47"/>
  <c r="K45" i="35"/>
  <c r="K51" i="3" l="1"/>
  <c r="J51"/>
  <c r="G51"/>
  <c r="D51"/>
  <c r="CE49" i="1"/>
  <c r="CB49"/>
  <c r="BV49"/>
  <c r="BX49"/>
  <c r="BH49"/>
  <c r="AX49"/>
  <c r="AY49" s="1"/>
  <c r="AL49"/>
  <c r="AO49"/>
  <c r="AN49"/>
  <c r="AM49"/>
  <c r="AH49"/>
  <c r="AD49"/>
  <c r="S49"/>
  <c r="T49" s="1"/>
  <c r="L49"/>
  <c r="BC49" s="1"/>
  <c r="BA48"/>
  <c r="L51" i="3" l="1"/>
  <c r="N51" s="1"/>
  <c r="O51" s="1"/>
  <c r="N49" i="1"/>
  <c r="W49" s="1"/>
  <c r="X49" s="1"/>
  <c r="AP49"/>
  <c r="AZ49"/>
  <c r="AV48"/>
  <c r="BU49" l="1"/>
  <c r="BW49"/>
  <c r="AI52" i="68"/>
  <c r="AF52"/>
  <c r="AE52"/>
  <c r="AD52"/>
  <c r="AC52"/>
  <c r="AB52"/>
  <c r="AA52"/>
  <c r="Y52"/>
  <c r="X52"/>
  <c r="Z52" s="1"/>
  <c r="W52"/>
  <c r="V52"/>
  <c r="U52"/>
  <c r="P52"/>
  <c r="N52"/>
  <c r="M52"/>
  <c r="L52"/>
  <c r="K52"/>
  <c r="J52"/>
  <c r="I52"/>
  <c r="H52"/>
  <c r="G52"/>
  <c r="F52"/>
  <c r="E52"/>
  <c r="D52"/>
  <c r="C52"/>
  <c r="B52"/>
  <c r="O52" l="1"/>
  <c r="Q52" s="1"/>
  <c r="AG52"/>
  <c r="AH52" s="1"/>
  <c r="AJ52" s="1"/>
  <c r="M50" i="5" l="1"/>
  <c r="J50"/>
  <c r="F50"/>
  <c r="B50"/>
  <c r="O50" l="1"/>
  <c r="L50"/>
  <c r="I50"/>
  <c r="E50"/>
  <c r="I44" i="35"/>
  <c r="F44"/>
  <c r="P50" i="5" l="1"/>
  <c r="R50" s="1"/>
  <c r="S50" s="1"/>
  <c r="K44" i="35"/>
  <c r="I46" i="2" l="1"/>
  <c r="U47" i="45" l="1"/>
  <c r="K50" i="3" l="1"/>
  <c r="J50"/>
  <c r="G50"/>
  <c r="D50"/>
  <c r="CE48" i="1"/>
  <c r="CB48"/>
  <c r="BT48"/>
  <c r="BX48"/>
  <c r="BH48"/>
  <c r="BB48"/>
  <c r="AX48"/>
  <c r="AY48" s="1"/>
  <c r="AL48"/>
  <c r="AO48"/>
  <c r="AN48"/>
  <c r="AM48"/>
  <c r="AH48"/>
  <c r="AD48"/>
  <c r="S48"/>
  <c r="T48" s="1"/>
  <c r="L48"/>
  <c r="BC48" s="1"/>
  <c r="AP48" l="1"/>
  <c r="BU48" s="1"/>
  <c r="N48"/>
  <c r="W48" s="1"/>
  <c r="X48" s="1"/>
  <c r="AZ48"/>
  <c r="L50" i="3"/>
  <c r="N50" s="1"/>
  <c r="O50" s="1"/>
  <c r="BV48" i="1"/>
  <c r="BT47"/>
  <c r="BW48" l="1"/>
  <c r="U40" i="45"/>
  <c r="U41"/>
  <c r="U42"/>
  <c r="U43"/>
  <c r="U45"/>
  <c r="U46"/>
  <c r="M49" i="5" l="1"/>
  <c r="F49"/>
  <c r="J49"/>
  <c r="B49"/>
  <c r="O49" l="1"/>
  <c r="L49"/>
  <c r="I49"/>
  <c r="E49"/>
  <c r="M47"/>
  <c r="M35" s="1"/>
  <c r="J47"/>
  <c r="J35" s="1"/>
  <c r="F47"/>
  <c r="F35" s="1"/>
  <c r="B47"/>
  <c r="E47" s="1"/>
  <c r="E35" s="1"/>
  <c r="O46"/>
  <c r="M46"/>
  <c r="J46"/>
  <c r="L46" s="1"/>
  <c r="I46"/>
  <c r="F46"/>
  <c r="B46"/>
  <c r="E46" s="1"/>
  <c r="M45"/>
  <c r="O45" s="1"/>
  <c r="J45"/>
  <c r="L45" s="1"/>
  <c r="F45"/>
  <c r="I45" s="1"/>
  <c r="B45"/>
  <c r="E45" s="1"/>
  <c r="M44"/>
  <c r="O44" s="1"/>
  <c r="L44"/>
  <c r="J44"/>
  <c r="I44"/>
  <c r="F44"/>
  <c r="B44"/>
  <c r="E44" s="1"/>
  <c r="M43"/>
  <c r="O43" s="1"/>
  <c r="J43"/>
  <c r="L43" s="1"/>
  <c r="I43"/>
  <c r="F43"/>
  <c r="B43"/>
  <c r="E43" s="1"/>
  <c r="M42"/>
  <c r="O42" s="1"/>
  <c r="J42"/>
  <c r="L42" s="1"/>
  <c r="F42"/>
  <c r="I42" s="1"/>
  <c r="B42"/>
  <c r="E42" s="1"/>
  <c r="M41"/>
  <c r="O41" s="1"/>
  <c r="J41"/>
  <c r="L41" s="1"/>
  <c r="F41"/>
  <c r="I41" s="1"/>
  <c r="B41"/>
  <c r="E41" s="1"/>
  <c r="M40"/>
  <c r="O40" s="1"/>
  <c r="J40"/>
  <c r="L40" s="1"/>
  <c r="F40"/>
  <c r="I40" s="1"/>
  <c r="B40"/>
  <c r="E40" s="1"/>
  <c r="M39"/>
  <c r="O39" s="1"/>
  <c r="J39"/>
  <c r="L39" s="1"/>
  <c r="I39"/>
  <c r="F39"/>
  <c r="B39"/>
  <c r="E39" s="1"/>
  <c r="O38"/>
  <c r="M38"/>
  <c r="J38"/>
  <c r="L38" s="1"/>
  <c r="F38"/>
  <c r="I38" s="1"/>
  <c r="B38"/>
  <c r="E38" s="1"/>
  <c r="M37"/>
  <c r="O37" s="1"/>
  <c r="J37"/>
  <c r="L37" s="1"/>
  <c r="F37"/>
  <c r="I37" s="1"/>
  <c r="B37"/>
  <c r="E37" s="1"/>
  <c r="M36"/>
  <c r="O36" s="1"/>
  <c r="J36"/>
  <c r="L36" s="1"/>
  <c r="F36"/>
  <c r="I36" s="1"/>
  <c r="E36"/>
  <c r="B36"/>
  <c r="Q35"/>
  <c r="N35"/>
  <c r="K35"/>
  <c r="H35"/>
  <c r="G35"/>
  <c r="D35"/>
  <c r="C35"/>
  <c r="M34"/>
  <c r="M22" s="1"/>
  <c r="J34"/>
  <c r="J22" s="1"/>
  <c r="F34"/>
  <c r="I34" s="1"/>
  <c r="B34"/>
  <c r="B22" s="1"/>
  <c r="M33"/>
  <c r="O33" s="1"/>
  <c r="J33"/>
  <c r="L33" s="1"/>
  <c r="F33"/>
  <c r="I33" s="1"/>
  <c r="B33"/>
  <c r="E33" s="1"/>
  <c r="O32"/>
  <c r="M32"/>
  <c r="J32"/>
  <c r="L32" s="1"/>
  <c r="I32"/>
  <c r="F32"/>
  <c r="B32"/>
  <c r="E32" s="1"/>
  <c r="M31"/>
  <c r="O31" s="1"/>
  <c r="J31"/>
  <c r="L31" s="1"/>
  <c r="I31"/>
  <c r="F31"/>
  <c r="B31"/>
  <c r="E31" s="1"/>
  <c r="M30"/>
  <c r="O30" s="1"/>
  <c r="J30"/>
  <c r="L30" s="1"/>
  <c r="F30"/>
  <c r="I30" s="1"/>
  <c r="E30"/>
  <c r="B30"/>
  <c r="M29"/>
  <c r="O29" s="1"/>
  <c r="J29"/>
  <c r="L29" s="1"/>
  <c r="F29"/>
  <c r="I29" s="1"/>
  <c r="B29"/>
  <c r="E29" s="1"/>
  <c r="M28"/>
  <c r="O28" s="1"/>
  <c r="J28"/>
  <c r="L28" s="1"/>
  <c r="I28"/>
  <c r="F28"/>
  <c r="E28"/>
  <c r="B28"/>
  <c r="M27"/>
  <c r="O27" s="1"/>
  <c r="L27"/>
  <c r="J27"/>
  <c r="F27"/>
  <c r="I27" s="1"/>
  <c r="B27"/>
  <c r="E27" s="1"/>
  <c r="O26"/>
  <c r="M26"/>
  <c r="J26"/>
  <c r="L26" s="1"/>
  <c r="F26"/>
  <c r="I26" s="1"/>
  <c r="B26"/>
  <c r="E26" s="1"/>
  <c r="M25"/>
  <c r="O25" s="1"/>
  <c r="L25"/>
  <c r="J25"/>
  <c r="F25"/>
  <c r="I25" s="1"/>
  <c r="E25"/>
  <c r="B25"/>
  <c r="M24"/>
  <c r="O24" s="1"/>
  <c r="J24"/>
  <c r="L24" s="1"/>
  <c r="I24"/>
  <c r="F24"/>
  <c r="B24"/>
  <c r="E24" s="1"/>
  <c r="M23"/>
  <c r="O23" s="1"/>
  <c r="J23"/>
  <c r="L23" s="1"/>
  <c r="F23"/>
  <c r="I23" s="1"/>
  <c r="B23"/>
  <c r="E23" s="1"/>
  <c r="Q22"/>
  <c r="N22"/>
  <c r="K22"/>
  <c r="H22"/>
  <c r="G22"/>
  <c r="D22"/>
  <c r="C22"/>
  <c r="P10"/>
  <c r="R10" s="1"/>
  <c r="S10" s="1"/>
  <c r="L10"/>
  <c r="I10"/>
  <c r="L9"/>
  <c r="I9"/>
  <c r="L34" l="1"/>
  <c r="L22" s="1"/>
  <c r="O34"/>
  <c r="O22" s="1"/>
  <c r="P49"/>
  <c r="R49" s="1"/>
  <c r="S49" s="1"/>
  <c r="P24"/>
  <c r="R24" s="1"/>
  <c r="S24" s="1"/>
  <c r="P43"/>
  <c r="R43" s="1"/>
  <c r="S43" s="1"/>
  <c r="I47"/>
  <c r="I35" s="1"/>
  <c r="B35"/>
  <c r="P32"/>
  <c r="R32" s="1"/>
  <c r="S32" s="1"/>
  <c r="E34"/>
  <c r="E22" s="1"/>
  <c r="O47"/>
  <c r="O35" s="1"/>
  <c r="P38"/>
  <c r="R38" s="1"/>
  <c r="S38" s="1"/>
  <c r="P25"/>
  <c r="R25" s="1"/>
  <c r="S25" s="1"/>
  <c r="P40"/>
  <c r="R40" s="1"/>
  <c r="S40" s="1"/>
  <c r="P36"/>
  <c r="R36" s="1"/>
  <c r="S36" s="1"/>
  <c r="P30"/>
  <c r="R30" s="1"/>
  <c r="S30" s="1"/>
  <c r="P31"/>
  <c r="R31" s="1"/>
  <c r="P33"/>
  <c r="R33" s="1"/>
  <c r="S33" s="1"/>
  <c r="P45"/>
  <c r="R45" s="1"/>
  <c r="S45" s="1"/>
  <c r="P9"/>
  <c r="R9" s="1"/>
  <c r="S9" s="1"/>
  <c r="P37"/>
  <c r="R37" s="1"/>
  <c r="S37" s="1"/>
  <c r="P26"/>
  <c r="R26" s="1"/>
  <c r="S26" s="1"/>
  <c r="P27"/>
  <c r="R27" s="1"/>
  <c r="S27" s="1"/>
  <c r="F22"/>
  <c r="P23"/>
  <c r="R23" s="1"/>
  <c r="S23" s="1"/>
  <c r="I22"/>
  <c r="P29"/>
  <c r="R29" s="1"/>
  <c r="S29" s="1"/>
  <c r="P42"/>
  <c r="R42" s="1"/>
  <c r="S42" s="1"/>
  <c r="P44"/>
  <c r="R44" s="1"/>
  <c r="S44" s="1"/>
  <c r="S31"/>
  <c r="P39"/>
  <c r="R39" s="1"/>
  <c r="S39" s="1"/>
  <c r="P28"/>
  <c r="R28" s="1"/>
  <c r="S28" s="1"/>
  <c r="P46"/>
  <c r="R46" s="1"/>
  <c r="S46" s="1"/>
  <c r="P41"/>
  <c r="R41" s="1"/>
  <c r="S41" s="1"/>
  <c r="L47"/>
  <c r="L35" s="1"/>
  <c r="P34" l="1"/>
  <c r="R34" s="1"/>
  <c r="P47"/>
  <c r="R47" s="1"/>
  <c r="P22" l="1"/>
  <c r="P35"/>
  <c r="R22"/>
  <c r="S34"/>
  <c r="S22" s="1"/>
  <c r="R35"/>
  <c r="S47"/>
  <c r="S35" s="1"/>
  <c r="H32" i="36" l="1"/>
  <c r="G32"/>
  <c r="E32"/>
  <c r="D32"/>
  <c r="C32"/>
  <c r="B32"/>
  <c r="J44"/>
  <c r="J32" s="1"/>
  <c r="I44"/>
  <c r="I32" s="1"/>
  <c r="F44"/>
  <c r="F32" s="1"/>
  <c r="K44" l="1"/>
  <c r="K32" s="1"/>
  <c r="V33" i="65" l="1"/>
  <c r="V32"/>
  <c r="N33"/>
  <c r="R33" s="1"/>
  <c r="N32"/>
  <c r="R32" s="1"/>
  <c r="I33"/>
  <c r="I32"/>
  <c r="D33"/>
  <c r="F33" s="1"/>
  <c r="D32"/>
  <c r="F32" s="1"/>
  <c r="S32" l="1"/>
  <c r="S33"/>
  <c r="F43" i="35"/>
  <c r="I43"/>
  <c r="K43" l="1"/>
  <c r="K49" i="3"/>
  <c r="K47"/>
  <c r="J49"/>
  <c r="G49"/>
  <c r="D49"/>
  <c r="CE47" i="1"/>
  <c r="CB47"/>
  <c r="BH47"/>
  <c r="BA47"/>
  <c r="L49" i="3" l="1"/>
  <c r="N49" s="1"/>
  <c r="O49" s="1"/>
  <c r="BA45" i="1"/>
  <c r="AX47"/>
  <c r="AY47" s="1"/>
  <c r="AZ47" s="1"/>
  <c r="AV47"/>
  <c r="BX47" l="1"/>
  <c r="BV47"/>
  <c r="AV45"/>
  <c r="AO47"/>
  <c r="AN47"/>
  <c r="AM47"/>
  <c r="AL47"/>
  <c r="AH47"/>
  <c r="AD47"/>
  <c r="AP47" s="1"/>
  <c r="T47"/>
  <c r="S47"/>
  <c r="L47"/>
  <c r="BC47" s="1"/>
  <c r="BU47" l="1"/>
  <c r="BW47"/>
  <c r="N47"/>
  <c r="W47" s="1"/>
  <c r="X47" s="1"/>
  <c r="H32" i="2"/>
  <c r="G32"/>
  <c r="F32"/>
  <c r="I44"/>
  <c r="I32" l="1"/>
  <c r="B31" i="28" l="1"/>
  <c r="I43" i="2" l="1"/>
  <c r="J29" i="35" l="1"/>
  <c r="H29"/>
  <c r="G29"/>
  <c r="E29"/>
  <c r="D29"/>
  <c r="C29"/>
  <c r="B29"/>
  <c r="I41"/>
  <c r="F41"/>
  <c r="F29" s="1"/>
  <c r="K41" l="1"/>
  <c r="K29" s="1"/>
  <c r="I29"/>
  <c r="BO33" i="1"/>
  <c r="K35" i="3"/>
  <c r="J47"/>
  <c r="J35" s="1"/>
  <c r="G47"/>
  <c r="G35" s="1"/>
  <c r="D47"/>
  <c r="D35" s="1"/>
  <c r="M35"/>
  <c r="I35"/>
  <c r="H35"/>
  <c r="F35"/>
  <c r="E35"/>
  <c r="C35"/>
  <c r="B35"/>
  <c r="CE45" i="1"/>
  <c r="CE33" s="1"/>
  <c r="CB45"/>
  <c r="CB33" s="1"/>
  <c r="BX45"/>
  <c r="BX33" s="1"/>
  <c r="BT45"/>
  <c r="BH45"/>
  <c r="BH33" s="1"/>
  <c r="BA33"/>
  <c r="AX45"/>
  <c r="AY45" s="1"/>
  <c r="AV33"/>
  <c r="AL45"/>
  <c r="AM45"/>
  <c r="AM33" s="1"/>
  <c r="AN45"/>
  <c r="AN33" s="1"/>
  <c r="AO45"/>
  <c r="AO33" s="1"/>
  <c r="AH45"/>
  <c r="AH33" s="1"/>
  <c r="AD45"/>
  <c r="AD33" s="1"/>
  <c r="S45"/>
  <c r="S33" s="1"/>
  <c r="L45"/>
  <c r="L33" s="1"/>
  <c r="CD33"/>
  <c r="CC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K33"/>
  <c r="AJ33"/>
  <c r="AI33"/>
  <c r="AG33"/>
  <c r="AF33"/>
  <c r="AE33"/>
  <c r="AC33"/>
  <c r="AB33"/>
  <c r="AA33"/>
  <c r="Y33"/>
  <c r="V33"/>
  <c r="U33"/>
  <c r="R33"/>
  <c r="Q33"/>
  <c r="P33"/>
  <c r="O33"/>
  <c r="M33"/>
  <c r="K33"/>
  <c r="AY33" l="1"/>
  <c r="AZ45"/>
  <c r="AZ33" s="1"/>
  <c r="L47" i="3"/>
  <c r="N47" s="1"/>
  <c r="N35" s="1"/>
  <c r="AP45" i="1"/>
  <c r="BC45"/>
  <c r="BC33" s="1"/>
  <c r="BV45"/>
  <c r="BV33" s="1"/>
  <c r="BT33"/>
  <c r="AX33"/>
  <c r="AL33"/>
  <c r="N45"/>
  <c r="T45"/>
  <c r="T33" s="1"/>
  <c r="I43" i="36"/>
  <c r="F43"/>
  <c r="K43" l="1"/>
  <c r="L35" i="3"/>
  <c r="O47"/>
  <c r="O35" s="1"/>
  <c r="AP33" i="1"/>
  <c r="BU45"/>
  <c r="BU33" s="1"/>
  <c r="BW45"/>
  <c r="BW33" s="1"/>
  <c r="N33"/>
  <c r="W45"/>
  <c r="W33" l="1"/>
  <c r="X45"/>
  <c r="X33" s="1"/>
  <c r="BA44" l="1"/>
  <c r="BA43" l="1"/>
  <c r="AV44" l="1"/>
  <c r="AV43" l="1"/>
  <c r="AX44" l="1"/>
  <c r="AY44" s="1"/>
  <c r="AZ44" s="1"/>
  <c r="AL44"/>
  <c r="AM44"/>
  <c r="AN44"/>
  <c r="AO44"/>
  <c r="AH44"/>
  <c r="AD44"/>
  <c r="S44"/>
  <c r="T44" s="1"/>
  <c r="L44"/>
  <c r="BC44" s="1"/>
  <c r="BH44"/>
  <c r="BX44"/>
  <c r="CE44"/>
  <c r="CB44"/>
  <c r="BT44"/>
  <c r="N44" l="1"/>
  <c r="W44" s="1"/>
  <c r="X44" s="1"/>
  <c r="BV44"/>
  <c r="AP44"/>
  <c r="BW44" s="1"/>
  <c r="I42" i="2"/>
  <c r="BU44" i="1" l="1"/>
  <c r="O32" i="2"/>
  <c r="N32"/>
  <c r="M32"/>
  <c r="L32"/>
  <c r="J32"/>
  <c r="D32"/>
  <c r="L46" i="3" l="1"/>
  <c r="N46" s="1"/>
  <c r="O46" s="1"/>
  <c r="J46"/>
  <c r="G46"/>
  <c r="D46"/>
  <c r="I40" i="35" l="1"/>
  <c r="K40" s="1"/>
  <c r="F40"/>
  <c r="J41" i="36" l="1"/>
  <c r="J40"/>
  <c r="J39"/>
  <c r="I42"/>
  <c r="F42"/>
  <c r="J35"/>
  <c r="D31" i="28"/>
  <c r="C31"/>
  <c r="C31" i="45"/>
  <c r="B31"/>
  <c r="T31"/>
  <c r="S31"/>
  <c r="R31"/>
  <c r="Q31"/>
  <c r="P31"/>
  <c r="O31"/>
  <c r="N31"/>
  <c r="M31"/>
  <c r="L31"/>
  <c r="K31"/>
  <c r="J31"/>
  <c r="I31"/>
  <c r="H31"/>
  <c r="G31"/>
  <c r="F31"/>
  <c r="E31"/>
  <c r="D31"/>
  <c r="U31" l="1"/>
  <c r="K42" i="36"/>
  <c r="I39" i="35"/>
  <c r="F39"/>
  <c r="K39" l="1"/>
  <c r="J44" i="3" l="1"/>
  <c r="J45"/>
  <c r="G44"/>
  <c r="G45"/>
  <c r="D44"/>
  <c r="D45"/>
  <c r="L44" l="1"/>
  <c r="N44" s="1"/>
  <c r="O44" s="1"/>
  <c r="L45"/>
  <c r="N45" s="1"/>
  <c r="O45" s="1"/>
  <c r="I9" i="2"/>
  <c r="I10"/>
  <c r="I11"/>
  <c r="I8"/>
  <c r="I20"/>
  <c r="I21"/>
  <c r="I22"/>
  <c r="I23"/>
  <c r="I24"/>
  <c r="I25"/>
  <c r="I26"/>
  <c r="I27"/>
  <c r="I28"/>
  <c r="I29"/>
  <c r="I30"/>
  <c r="I31"/>
  <c r="I33"/>
  <c r="I34"/>
  <c r="I35"/>
  <c r="I36"/>
  <c r="I37"/>
  <c r="I38"/>
  <c r="I39"/>
  <c r="I40"/>
  <c r="I41"/>
  <c r="I13"/>
  <c r="I14"/>
  <c r="I15"/>
  <c r="I16"/>
  <c r="I12"/>
  <c r="CE43" i="1" l="1"/>
  <c r="CB43"/>
  <c r="BT43"/>
  <c r="BX43"/>
  <c r="BH43"/>
  <c r="AX43"/>
  <c r="AY43" s="1"/>
  <c r="AL43"/>
  <c r="AM43"/>
  <c r="AN43"/>
  <c r="AO43"/>
  <c r="AH43"/>
  <c r="AD43"/>
  <c r="S42"/>
  <c r="T42" s="1"/>
  <c r="S43"/>
  <c r="T43" s="1"/>
  <c r="L42"/>
  <c r="N42" s="1"/>
  <c r="W42" s="1"/>
  <c r="X42" s="1"/>
  <c r="L43"/>
  <c r="BC43" s="1"/>
  <c r="AD42"/>
  <c r="AH42"/>
  <c r="AL42"/>
  <c r="AM42"/>
  <c r="AN42"/>
  <c r="AO42"/>
  <c r="AV42"/>
  <c r="AX42" s="1"/>
  <c r="AY42" s="1"/>
  <c r="BA42"/>
  <c r="BH42"/>
  <c r="BT42"/>
  <c r="CB42"/>
  <c r="CE42"/>
  <c r="BW43" l="1"/>
  <c r="AP43"/>
  <c r="BU43" s="1"/>
  <c r="N43"/>
  <c r="W43" s="1"/>
  <c r="X43" s="1"/>
  <c r="AZ42"/>
  <c r="BC42"/>
  <c r="BV42"/>
  <c r="BV43"/>
  <c r="AZ43"/>
  <c r="AP42"/>
  <c r="BU42" s="1"/>
  <c r="BX42"/>
  <c r="BW42" l="1"/>
  <c r="I41" i="36" l="1"/>
  <c r="F41"/>
  <c r="I38" i="35"/>
  <c r="F38"/>
  <c r="I40" i="36"/>
  <c r="F40"/>
  <c r="F37" i="35"/>
  <c r="I37"/>
  <c r="K40" i="36" l="1"/>
  <c r="K41"/>
  <c r="K38" i="35"/>
  <c r="K37"/>
  <c r="BA41" i="1" l="1"/>
  <c r="BA40"/>
  <c r="BA39"/>
  <c r="AV41"/>
  <c r="AV40"/>
  <c r="N19" i="2" l="1"/>
  <c r="O19"/>
  <c r="M19"/>
  <c r="I39" i="36" l="1"/>
  <c r="F39"/>
  <c r="I36" i="35"/>
  <c r="F36"/>
  <c r="I35"/>
  <c r="F35"/>
  <c r="I34"/>
  <c r="F34"/>
  <c r="J33"/>
  <c r="I33"/>
  <c r="F33"/>
  <c r="K32"/>
  <c r="I32"/>
  <c r="F32"/>
  <c r="J31"/>
  <c r="I31"/>
  <c r="F31"/>
  <c r="J30"/>
  <c r="I30"/>
  <c r="F30"/>
  <c r="K28"/>
  <c r="K16" s="1"/>
  <c r="J28"/>
  <c r="J16" s="1"/>
  <c r="I28"/>
  <c r="F28"/>
  <c r="F16" s="1"/>
  <c r="J27"/>
  <c r="I27"/>
  <c r="F27"/>
  <c r="I26"/>
  <c r="F26"/>
  <c r="J25"/>
  <c r="I25"/>
  <c r="F25"/>
  <c r="J24"/>
  <c r="I24"/>
  <c r="F24"/>
  <c r="I23"/>
  <c r="F23"/>
  <c r="I22"/>
  <c r="F22"/>
  <c r="I21"/>
  <c r="F21"/>
  <c r="I20"/>
  <c r="F20"/>
  <c r="I19"/>
  <c r="F19"/>
  <c r="I18"/>
  <c r="F18"/>
  <c r="I17"/>
  <c r="F17"/>
  <c r="I16"/>
  <c r="H16"/>
  <c r="G16"/>
  <c r="E16"/>
  <c r="D16"/>
  <c r="C16"/>
  <c r="B16"/>
  <c r="K27" l="1"/>
  <c r="K22"/>
  <c r="K35"/>
  <c r="K30"/>
  <c r="K34"/>
  <c r="K18"/>
  <c r="K19"/>
  <c r="K33"/>
  <c r="K20"/>
  <c r="K24"/>
  <c r="K17"/>
  <c r="K23"/>
  <c r="K25"/>
  <c r="K21"/>
  <c r="K26"/>
  <c r="K31"/>
  <c r="K39" i="36"/>
  <c r="K36" i="35"/>
  <c r="K43" i="3" l="1"/>
  <c r="J43"/>
  <c r="G43"/>
  <c r="D43"/>
  <c r="K42"/>
  <c r="J42"/>
  <c r="G42"/>
  <c r="D42"/>
  <c r="K41"/>
  <c r="J41"/>
  <c r="G41"/>
  <c r="D41"/>
  <c r="K40"/>
  <c r="J40"/>
  <c r="G40"/>
  <c r="D40"/>
  <c r="K39"/>
  <c r="J39"/>
  <c r="G39"/>
  <c r="D39"/>
  <c r="K38"/>
  <c r="J38"/>
  <c r="G38"/>
  <c r="D38"/>
  <c r="K37"/>
  <c r="J37"/>
  <c r="G37"/>
  <c r="D37"/>
  <c r="K36"/>
  <c r="J36"/>
  <c r="G36"/>
  <c r="D36"/>
  <c r="K34"/>
  <c r="K22" s="1"/>
  <c r="J34"/>
  <c r="J22" s="1"/>
  <c r="G34"/>
  <c r="G22" s="1"/>
  <c r="D34"/>
  <c r="K33"/>
  <c r="J33"/>
  <c r="G33"/>
  <c r="D33"/>
  <c r="K32"/>
  <c r="J32"/>
  <c r="G32"/>
  <c r="D32"/>
  <c r="K31"/>
  <c r="J31"/>
  <c r="G31"/>
  <c r="D31"/>
  <c r="K30"/>
  <c r="J30"/>
  <c r="G30"/>
  <c r="D30"/>
  <c r="K29"/>
  <c r="J29"/>
  <c r="G29"/>
  <c r="D29"/>
  <c r="K28"/>
  <c r="J28"/>
  <c r="G28"/>
  <c r="D28"/>
  <c r="K27"/>
  <c r="J27"/>
  <c r="G27"/>
  <c r="D27"/>
  <c r="K26"/>
  <c r="J26"/>
  <c r="G26"/>
  <c r="D26"/>
  <c r="K25"/>
  <c r="J25"/>
  <c r="G25"/>
  <c r="D25"/>
  <c r="K24"/>
  <c r="J24"/>
  <c r="G24"/>
  <c r="D24"/>
  <c r="K23"/>
  <c r="J23"/>
  <c r="G23"/>
  <c r="D23"/>
  <c r="M22"/>
  <c r="I22"/>
  <c r="H22"/>
  <c r="F22"/>
  <c r="E22"/>
  <c r="C22"/>
  <c r="B22"/>
  <c r="N11"/>
  <c r="O11" s="1"/>
  <c r="D10"/>
  <c r="J9"/>
  <c r="G9"/>
  <c r="D9"/>
  <c r="L19" i="2"/>
  <c r="J19"/>
  <c r="H19"/>
  <c r="G19"/>
  <c r="F19"/>
  <c r="D19"/>
  <c r="B19"/>
  <c r="CE41" i="1"/>
  <c r="CB41"/>
  <c r="BT41"/>
  <c r="BV41" s="1"/>
  <c r="BH41"/>
  <c r="AX41"/>
  <c r="AY41" s="1"/>
  <c r="AZ41" s="1"/>
  <c r="AO41"/>
  <c r="AN41"/>
  <c r="AM41"/>
  <c r="AL41"/>
  <c r="AH41"/>
  <c r="AD41"/>
  <c r="S41"/>
  <c r="T41" s="1"/>
  <c r="L41"/>
  <c r="N41" s="1"/>
  <c r="W41" s="1"/>
  <c r="X41" s="1"/>
  <c r="CE40"/>
  <c r="CB40"/>
  <c r="BT40"/>
  <c r="BH40"/>
  <c r="BX40"/>
  <c r="AX40"/>
  <c r="AY40" s="1"/>
  <c r="AO40"/>
  <c r="AN40"/>
  <c r="AM40"/>
  <c r="AL40"/>
  <c r="AH40"/>
  <c r="AD40"/>
  <c r="S40"/>
  <c r="T40" s="1"/>
  <c r="L40"/>
  <c r="BC40" s="1"/>
  <c r="CE39"/>
  <c r="CB39"/>
  <c r="BT39"/>
  <c r="BH39"/>
  <c r="AV39"/>
  <c r="AX39" s="1"/>
  <c r="AY39" s="1"/>
  <c r="AZ39" s="1"/>
  <c r="AO39"/>
  <c r="AN39"/>
  <c r="AM39"/>
  <c r="AL39"/>
  <c r="AH39"/>
  <c r="AD39"/>
  <c r="S39"/>
  <c r="T39" s="1"/>
  <c r="L39"/>
  <c r="BC39" s="1"/>
  <c r="CE38"/>
  <c r="CB38"/>
  <c r="BT38"/>
  <c r="BH38"/>
  <c r="BA38"/>
  <c r="AV38"/>
  <c r="AX38" s="1"/>
  <c r="AY38" s="1"/>
  <c r="AO38"/>
  <c r="AN38"/>
  <c r="AM38"/>
  <c r="AL38"/>
  <c r="AH38"/>
  <c r="AD38"/>
  <c r="S38"/>
  <c r="T38" s="1"/>
  <c r="L38"/>
  <c r="N38" s="1"/>
  <c r="W38" s="1"/>
  <c r="X38" s="1"/>
  <c r="CE37"/>
  <c r="CB37"/>
  <c r="BT37"/>
  <c r="BH37"/>
  <c r="BA37"/>
  <c r="AV37"/>
  <c r="AX37" s="1"/>
  <c r="AY37" s="1"/>
  <c r="AO37"/>
  <c r="AN37"/>
  <c r="AM37"/>
  <c r="AL37"/>
  <c r="AH37"/>
  <c r="AD37"/>
  <c r="S37"/>
  <c r="T37" s="1"/>
  <c r="L37"/>
  <c r="N37" s="1"/>
  <c r="W37" s="1"/>
  <c r="X37" s="1"/>
  <c r="CE36"/>
  <c r="CB36"/>
  <c r="BT36"/>
  <c r="BH36"/>
  <c r="BA36"/>
  <c r="BX36" s="1"/>
  <c r="AV36"/>
  <c r="AO36"/>
  <c r="AN36"/>
  <c r="AM36"/>
  <c r="AL36"/>
  <c r="AH36"/>
  <c r="AD36"/>
  <c r="S36"/>
  <c r="T36" s="1"/>
  <c r="L36"/>
  <c r="N36" s="1"/>
  <c r="W36" s="1"/>
  <c r="X36" s="1"/>
  <c r="CE35"/>
  <c r="CB35"/>
  <c r="BT35"/>
  <c r="BH35"/>
  <c r="BA35"/>
  <c r="AV35"/>
  <c r="AX35" s="1"/>
  <c r="AY35" s="1"/>
  <c r="AO35"/>
  <c r="AN35"/>
  <c r="AM35"/>
  <c r="AL35"/>
  <c r="AH35"/>
  <c r="AD35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S34"/>
  <c r="T34" s="1"/>
  <c r="L34"/>
  <c r="N34" s="1"/>
  <c r="W34" s="1"/>
  <c r="X34" s="1"/>
  <c r="CE32"/>
  <c r="CE20" s="1"/>
  <c r="CB32"/>
  <c r="CB20" s="1"/>
  <c r="BT32"/>
  <c r="BT20" s="1"/>
  <c r="BH32"/>
  <c r="BH20" s="1"/>
  <c r="BA32"/>
  <c r="BA20" s="1"/>
  <c r="AV32"/>
  <c r="AX32" s="1"/>
  <c r="AO32"/>
  <c r="AO20" s="1"/>
  <c r="AN32"/>
  <c r="AN20" s="1"/>
  <c r="AM32"/>
  <c r="AM20" s="1"/>
  <c r="AL32"/>
  <c r="AH32"/>
  <c r="AH20" s="1"/>
  <c r="AD32"/>
  <c r="AD20" s="1"/>
  <c r="S32"/>
  <c r="T32" s="1"/>
  <c r="T20" s="1"/>
  <c r="L32"/>
  <c r="L20" s="1"/>
  <c r="CE31"/>
  <c r="CB31"/>
  <c r="BT31"/>
  <c r="BH31"/>
  <c r="BA31"/>
  <c r="AV31"/>
  <c r="AX31" s="1"/>
  <c r="AY31" s="1"/>
  <c r="AO31"/>
  <c r="AN31"/>
  <c r="AM31"/>
  <c r="AL31"/>
  <c r="AH31"/>
  <c r="AD31"/>
  <c r="S31"/>
  <c r="T31" s="1"/>
  <c r="L31"/>
  <c r="CE30"/>
  <c r="CB30"/>
  <c r="BT30"/>
  <c r="BH30"/>
  <c r="BA30"/>
  <c r="AV30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AV29"/>
  <c r="AX29" s="1"/>
  <c r="AY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AV28"/>
  <c r="AX28" s="1"/>
  <c r="AY28" s="1"/>
  <c r="AO28"/>
  <c r="AN28"/>
  <c r="AM28"/>
  <c r="AL28"/>
  <c r="AH28"/>
  <c r="AD28"/>
  <c r="S28"/>
  <c r="T28" s="1"/>
  <c r="L28"/>
  <c r="N28" s="1"/>
  <c r="W28" s="1"/>
  <c r="X28" s="1"/>
  <c r="CE27"/>
  <c r="CB27"/>
  <c r="BT27"/>
  <c r="BH27"/>
  <c r="BA27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H26"/>
  <c r="BA26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X25" s="1"/>
  <c r="AY25" s="1"/>
  <c r="AO25"/>
  <c r="AN25"/>
  <c r="AM25"/>
  <c r="AL25"/>
  <c r="AH25"/>
  <c r="AD25"/>
  <c r="S25"/>
  <c r="T25" s="1"/>
  <c r="L25"/>
  <c r="CE24"/>
  <c r="CB24"/>
  <c r="BT24"/>
  <c r="BH24"/>
  <c r="BA24"/>
  <c r="AV24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AV23"/>
  <c r="AO23"/>
  <c r="AN23"/>
  <c r="AM23"/>
  <c r="AL23"/>
  <c r="AH23"/>
  <c r="AD23"/>
  <c r="S23"/>
  <c r="T23" s="1"/>
  <c r="L23"/>
  <c r="CE22"/>
  <c r="CB22"/>
  <c r="BT22"/>
  <c r="BH22"/>
  <c r="BA22"/>
  <c r="AV22"/>
  <c r="AX22" s="1"/>
  <c r="AY22" s="1"/>
  <c r="AO22"/>
  <c r="AN22"/>
  <c r="AM22"/>
  <c r="AL22"/>
  <c r="AH22"/>
  <c r="AD22"/>
  <c r="S22"/>
  <c r="T22" s="1"/>
  <c r="L22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N21" s="1"/>
  <c r="W21" s="1"/>
  <c r="X21" s="1"/>
  <c r="CD20"/>
  <c r="CC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AW20"/>
  <c r="AU20"/>
  <c r="AT20"/>
  <c r="AS20"/>
  <c r="AR20"/>
  <c r="AL20"/>
  <c r="AK20"/>
  <c r="AJ20"/>
  <c r="AI20"/>
  <c r="AG20"/>
  <c r="AF20"/>
  <c r="AE20"/>
  <c r="AC20"/>
  <c r="AB20"/>
  <c r="AA20"/>
  <c r="Y20"/>
  <c r="V20"/>
  <c r="U20"/>
  <c r="R20"/>
  <c r="Q20"/>
  <c r="P20"/>
  <c r="O20"/>
  <c r="M20"/>
  <c r="K20"/>
  <c r="J20"/>
  <c r="CE9"/>
  <c r="CB9"/>
  <c r="CB8"/>
  <c r="CB7"/>
  <c r="L28" i="3" l="1"/>
  <c r="N28" s="1"/>
  <c r="O28" s="1"/>
  <c r="L37"/>
  <c r="N37" s="1"/>
  <c r="O37" s="1"/>
  <c r="BC25" i="1"/>
  <c r="AP35"/>
  <c r="BW35" s="1"/>
  <c r="L43" i="3"/>
  <c r="N43" s="1"/>
  <c r="O43" s="1"/>
  <c r="N25" i="1"/>
  <c r="W25" s="1"/>
  <c r="X25" s="1"/>
  <c r="L25" i="3"/>
  <c r="N25" s="1"/>
  <c r="O25" s="1"/>
  <c r="BX26" i="1"/>
  <c r="L38" i="3"/>
  <c r="N38" s="1"/>
  <c r="O38" s="1"/>
  <c r="L42"/>
  <c r="N42" s="1"/>
  <c r="O42" s="1"/>
  <c r="I19" i="2"/>
  <c r="L33" i="3"/>
  <c r="N33" s="1"/>
  <c r="O33" s="1"/>
  <c r="L26"/>
  <c r="N26" s="1"/>
  <c r="O26" s="1"/>
  <c r="L29"/>
  <c r="N29" s="1"/>
  <c r="O29" s="1"/>
  <c r="L24"/>
  <c r="N24" s="1"/>
  <c r="O24" s="1"/>
  <c r="L27"/>
  <c r="N27" s="1"/>
  <c r="O27" s="1"/>
  <c r="L31"/>
  <c r="N31" s="1"/>
  <c r="O31" s="1"/>
  <c r="L39"/>
  <c r="N39" s="1"/>
  <c r="O39" s="1"/>
  <c r="L34"/>
  <c r="L9"/>
  <c r="L41"/>
  <c r="N41" s="1"/>
  <c r="O41" s="1"/>
  <c r="L32"/>
  <c r="N32" s="1"/>
  <c r="O32" s="1"/>
  <c r="L40"/>
  <c r="N40" s="1"/>
  <c r="O40" s="1"/>
  <c r="L23"/>
  <c r="N23" s="1"/>
  <c r="O23" s="1"/>
  <c r="D22"/>
  <c r="L36"/>
  <c r="N36" s="1"/>
  <c r="O36" s="1"/>
  <c r="L30"/>
  <c r="N30" s="1"/>
  <c r="O30" s="1"/>
  <c r="AP22" i="1"/>
  <c r="BW22" s="1"/>
  <c r="AV20"/>
  <c r="BV29"/>
  <c r="BC23"/>
  <c r="BV32"/>
  <c r="BV20" s="1"/>
  <c r="AP27"/>
  <c r="BW27" s="1"/>
  <c r="AP30"/>
  <c r="BU30" s="1"/>
  <c r="BV24"/>
  <c r="BC22"/>
  <c r="BC31"/>
  <c r="N32"/>
  <c r="W32" s="1"/>
  <c r="X32" s="1"/>
  <c r="X20" s="1"/>
  <c r="BV30"/>
  <c r="AZ35"/>
  <c r="S20"/>
  <c r="AX24"/>
  <c r="AY24" s="1"/>
  <c r="AZ24" s="1"/>
  <c r="BV39"/>
  <c r="AZ29"/>
  <c r="AP26"/>
  <c r="BU26" s="1"/>
  <c r="AP34"/>
  <c r="BU34" s="1"/>
  <c r="AP23"/>
  <c r="BU23" s="1"/>
  <c r="AP37"/>
  <c r="BU37" s="1"/>
  <c r="AP24"/>
  <c r="BW24" s="1"/>
  <c r="AP28"/>
  <c r="BW28" s="1"/>
  <c r="AP29"/>
  <c r="BW29" s="1"/>
  <c r="N23"/>
  <c r="W23" s="1"/>
  <c r="X23" s="1"/>
  <c r="BC21"/>
  <c r="N22"/>
  <c r="W22" s="1"/>
  <c r="X22" s="1"/>
  <c r="BX25"/>
  <c r="N31"/>
  <c r="W31" s="1"/>
  <c r="X31" s="1"/>
  <c r="BV25"/>
  <c r="BX35"/>
  <c r="BX22"/>
  <c r="BV28"/>
  <c r="BV35"/>
  <c r="BV31"/>
  <c r="BV22"/>
  <c r="BX37"/>
  <c r="BV38"/>
  <c r="BX23"/>
  <c r="BC28"/>
  <c r="BX39"/>
  <c r="N39"/>
  <c r="W39" s="1"/>
  <c r="X39" s="1"/>
  <c r="AY32"/>
  <c r="AY20" s="1"/>
  <c r="AX20"/>
  <c r="BX30"/>
  <c r="AX30"/>
  <c r="AY30" s="1"/>
  <c r="AZ30" s="1"/>
  <c r="BV26"/>
  <c r="AP32"/>
  <c r="AP20" s="1"/>
  <c r="AP21"/>
  <c r="BU21" s="1"/>
  <c r="BX28"/>
  <c r="AZ38"/>
  <c r="AP31"/>
  <c r="BW31" s="1"/>
  <c r="BX29"/>
  <c r="BV21"/>
  <c r="BV23"/>
  <c r="BC34"/>
  <c r="BV37"/>
  <c r="AZ34"/>
  <c r="BV36"/>
  <c r="AP40"/>
  <c r="BU40" s="1"/>
  <c r="AP39"/>
  <c r="BU39" s="1"/>
  <c r="AZ21"/>
  <c r="AP25"/>
  <c r="BW25" s="1"/>
  <c r="AP38"/>
  <c r="BW38" s="1"/>
  <c r="N40"/>
  <c r="W40" s="1"/>
  <c r="X40" s="1"/>
  <c r="BV34"/>
  <c r="AZ31"/>
  <c r="BX32"/>
  <c r="BX20" s="1"/>
  <c r="AP36"/>
  <c r="BW36" s="1"/>
  <c r="AP41"/>
  <c r="BW41" s="1"/>
  <c r="AZ27"/>
  <c r="AZ25"/>
  <c r="AZ22"/>
  <c r="BX34"/>
  <c r="BC36"/>
  <c r="BV40"/>
  <c r="BC32"/>
  <c r="BC20" s="1"/>
  <c r="AZ28"/>
  <c r="BX27"/>
  <c r="BC29"/>
  <c r="BX24"/>
  <c r="BC26"/>
  <c r="BX41"/>
  <c r="BX21"/>
  <c r="BV27"/>
  <c r="AX36"/>
  <c r="AY36" s="1"/>
  <c r="AZ36" s="1"/>
  <c r="BX38"/>
  <c r="BC37"/>
  <c r="BX31"/>
  <c r="AZ40"/>
  <c r="AX26"/>
  <c r="AY26" s="1"/>
  <c r="AZ26" s="1"/>
  <c r="BC30"/>
  <c r="AZ37"/>
  <c r="AX23"/>
  <c r="AY23" s="1"/>
  <c r="AZ23" s="1"/>
  <c r="BC27"/>
  <c r="BC24"/>
  <c r="BC41"/>
  <c r="BC38"/>
  <c r="BC35"/>
  <c r="BW32" l="1"/>
  <c r="BW20" s="1"/>
  <c r="BU32"/>
  <c r="BU20" s="1"/>
  <c r="BU35"/>
  <c r="L22" i="3"/>
  <c r="N34"/>
  <c r="BU22" i="1"/>
  <c r="BW26"/>
  <c r="BU27"/>
  <c r="BU28"/>
  <c r="W20"/>
  <c r="BW30"/>
  <c r="N20"/>
  <c r="BU24"/>
  <c r="BW23"/>
  <c r="BW37"/>
  <c r="BW21"/>
  <c r="BU29"/>
  <c r="BU25"/>
  <c r="BU38"/>
  <c r="BW34"/>
  <c r="AZ32"/>
  <c r="AZ20" s="1"/>
  <c r="BW40"/>
  <c r="BU36"/>
  <c r="BU31"/>
  <c r="BW39"/>
  <c r="BU41"/>
  <c r="N22" i="3" l="1"/>
  <c r="O34"/>
  <c r="O22" s="1"/>
  <c r="N43" i="68"/>
  <c r="U39" i="45" l="1"/>
  <c r="D18" i="28" l="1"/>
  <c r="C18"/>
  <c r="B18"/>
  <c r="J36" i="36" l="1"/>
  <c r="I37"/>
  <c r="I38"/>
  <c r="F37"/>
  <c r="F38"/>
  <c r="K38" l="1"/>
  <c r="K37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U38" i="45" l="1"/>
  <c r="U37" l="1"/>
  <c r="I36" i="36" l="1"/>
  <c r="F36"/>
  <c r="K36" l="1"/>
  <c r="C29" i="44" l="1"/>
  <c r="D29"/>
  <c r="G29"/>
  <c r="F29"/>
  <c r="E29"/>
  <c r="U36" i="45" l="1"/>
  <c r="I35" i="36" l="1"/>
  <c r="F35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35" i="45"/>
  <c r="Z47" i="68" l="1"/>
  <c r="AG47"/>
  <c r="N47"/>
  <c r="G47"/>
  <c r="K35" i="36"/>
  <c r="AG51" i="68"/>
  <c r="Z51"/>
  <c r="N51"/>
  <c r="G51"/>
  <c r="AH47" l="1"/>
  <c r="AJ47" s="1"/>
  <c r="O51"/>
  <c r="Q51" s="1"/>
  <c r="O47"/>
  <c r="Q47" s="1"/>
  <c r="AH51"/>
  <c r="AJ51" s="1"/>
  <c r="I34" i="36" l="1"/>
  <c r="F34"/>
  <c r="K34" l="1"/>
  <c r="U34" i="45"/>
  <c r="J31" i="36" l="1"/>
  <c r="J30"/>
  <c r="I33"/>
  <c r="F33"/>
  <c r="K33" l="1"/>
  <c r="U33" i="45" l="1"/>
  <c r="U32" l="1"/>
  <c r="J19" i="36" l="1"/>
  <c r="H19"/>
  <c r="G19"/>
  <c r="E19"/>
  <c r="D19"/>
  <c r="C19"/>
  <c r="B19"/>
  <c r="F31"/>
  <c r="F19" s="1"/>
  <c r="I31"/>
  <c r="K31" l="1"/>
  <c r="I19"/>
  <c r="K19" l="1"/>
  <c r="I30"/>
  <c r="F30"/>
  <c r="K30" l="1"/>
  <c r="C18" i="45" l="1"/>
  <c r="D18"/>
  <c r="E18"/>
  <c r="F18"/>
  <c r="G18"/>
  <c r="H18"/>
  <c r="I18"/>
  <c r="J18"/>
  <c r="K18"/>
  <c r="L18"/>
  <c r="M18"/>
  <c r="N18"/>
  <c r="O18"/>
  <c r="P18"/>
  <c r="Q18"/>
  <c r="R18"/>
  <c r="S18"/>
  <c r="T18"/>
  <c r="B18"/>
  <c r="U30"/>
  <c r="U29"/>
  <c r="U28"/>
  <c r="U27"/>
  <c r="U26"/>
  <c r="U25"/>
  <c r="AG50" i="68" l="1"/>
  <c r="Z50"/>
  <c r="N50"/>
  <c r="G50"/>
  <c r="AH50" l="1"/>
  <c r="AJ50" s="1"/>
  <c r="O50"/>
  <c r="Q50" s="1"/>
  <c r="I29" i="36" l="1"/>
  <c r="K29" s="1"/>
  <c r="F29"/>
  <c r="W56" i="39" l="1"/>
  <c r="Q56"/>
  <c r="J28" i="36" l="1"/>
  <c r="J27"/>
  <c r="J26"/>
  <c r="J25"/>
  <c r="J24"/>
  <c r="J21"/>
  <c r="F28" l="1"/>
  <c r="K28" s="1"/>
  <c r="F27"/>
  <c r="K27" s="1"/>
  <c r="I28"/>
  <c r="I27"/>
  <c r="AG49" i="68" l="1"/>
  <c r="Z49"/>
  <c r="AH49" l="1"/>
  <c r="AJ49" s="1"/>
  <c r="N49"/>
  <c r="G49"/>
  <c r="O49" l="1"/>
  <c r="Q49" s="1"/>
  <c r="AG4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G25"/>
  <c r="AG24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Z19"/>
  <c r="N19"/>
  <c r="G19"/>
  <c r="AG18"/>
  <c r="Z18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N11"/>
  <c r="O11" s="1"/>
  <c r="Q11" s="1"/>
  <c r="G11"/>
  <c r="AG10"/>
  <c r="Z10"/>
  <c r="N10"/>
  <c r="G10"/>
  <c r="AG9"/>
  <c r="Z9"/>
  <c r="N9"/>
  <c r="G9"/>
  <c r="AG8"/>
  <c r="Z8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9" l="1"/>
  <c r="Q9" s="1"/>
  <c r="O18"/>
  <c r="Q18" s="1"/>
  <c r="O8"/>
  <c r="Q8" s="1"/>
  <c r="AH19"/>
  <c r="AJ19" s="1"/>
  <c r="AH15"/>
  <c r="AJ15" s="1"/>
  <c r="O25"/>
  <c r="Q25" s="1"/>
  <c r="AH24"/>
  <c r="AJ24" s="1"/>
  <c r="O36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N17"/>
  <c r="G27"/>
  <c r="AG32"/>
  <c r="N37"/>
  <c r="Z42"/>
  <c r="AH9"/>
  <c r="AJ9" s="1"/>
  <c r="AH23"/>
  <c r="AJ23" s="1"/>
  <c r="AH43"/>
  <c r="AJ43" s="1"/>
  <c r="Z7"/>
  <c r="G12"/>
  <c r="AG17"/>
  <c r="N22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O22" l="1"/>
  <c r="Q22" s="1"/>
  <c r="AH12"/>
  <c r="AJ12" s="1"/>
  <c r="O17"/>
  <c r="Q17" s="1"/>
  <c r="AH27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26" i="36"/>
  <c r="K26" s="1"/>
  <c r="F26"/>
  <c r="G16" i="44" l="1"/>
  <c r="F16"/>
  <c r="E16"/>
  <c r="D16"/>
  <c r="C16"/>
  <c r="B16"/>
  <c r="D4" i="63" l="1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I25" i="36" l="1"/>
  <c r="K25" s="1"/>
  <c r="F25"/>
  <c r="F4" i="63" l="1"/>
  <c r="I4"/>
  <c r="H4"/>
  <c r="K24" i="36" l="1"/>
  <c r="I24"/>
  <c r="F24"/>
  <c r="U24" i="45" l="1"/>
  <c r="I23" i="36" l="1"/>
  <c r="K23" s="1"/>
  <c r="F23"/>
  <c r="U23" i="45" l="1"/>
  <c r="I21" i="36" l="1"/>
  <c r="I22"/>
  <c r="K22" s="1"/>
  <c r="F22"/>
  <c r="U22" i="45"/>
  <c r="F21" i="36" l="1"/>
  <c r="U21" i="45"/>
  <c r="K21" i="36" l="1"/>
  <c r="W39" i="27"/>
  <c r="I20" i="36" l="1"/>
  <c r="K20" s="1"/>
  <c r="F20"/>
  <c r="U20" i="45"/>
  <c r="U19"/>
  <c r="U18" l="1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I6" i="36" l="1"/>
  <c r="F6"/>
  <c r="K6" l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Q45"/>
  <c r="S45" s="1"/>
  <c r="H46" s="1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S28"/>
  <c r="H29" s="1"/>
  <c r="Q28"/>
  <c r="Q26"/>
  <c r="S26" s="1"/>
  <c r="Q24"/>
  <c r="S24" s="1"/>
  <c r="B23"/>
  <c r="S22"/>
  <c r="M23" s="1"/>
  <c r="Q22"/>
  <c r="Q20"/>
  <c r="S20" s="1"/>
  <c r="H21" s="1"/>
  <c r="Q18"/>
  <c r="S18" s="1"/>
  <c r="Q16"/>
  <c r="S16" s="1"/>
  <c r="Q14"/>
  <c r="S14" s="1"/>
  <c r="Q12"/>
  <c r="S12" s="1"/>
  <c r="Q10"/>
  <c r="S10" s="1"/>
  <c r="Q8"/>
  <c r="S8" s="1"/>
  <c r="R7"/>
  <c r="U6"/>
  <c r="S6"/>
  <c r="K7" s="1"/>
  <c r="Q6"/>
  <c r="E19" l="1"/>
  <c r="I19"/>
  <c r="M19"/>
  <c r="U18"/>
  <c r="K15"/>
  <c r="R15"/>
  <c r="U14"/>
  <c r="B15"/>
  <c r="P15"/>
  <c r="Q15"/>
  <c r="R11"/>
  <c r="U10"/>
  <c r="I11"/>
  <c r="M11"/>
  <c r="Q31"/>
  <c r="Q23"/>
  <c r="I60"/>
  <c r="F44"/>
  <c r="H60"/>
  <c r="E68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O7"/>
  <c r="N15"/>
  <c r="Q52"/>
  <c r="M15"/>
  <c r="S40"/>
  <c r="S23"/>
  <c r="P23"/>
  <c r="M7"/>
  <c r="O23"/>
  <c r="L15"/>
  <c r="N23"/>
  <c r="Q29"/>
  <c r="P31"/>
  <c r="R40"/>
  <c r="S55"/>
  <c r="Q56" s="1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<sst xmlns="http://schemas.openxmlformats.org/spreadsheetml/2006/main" count="9903" uniqueCount="3089">
  <si>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</si>
  <si>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</si>
  <si>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</si>
  <si>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</si>
  <si>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</si>
  <si>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</si>
  <si>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</si>
  <si>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</si>
  <si>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</si>
  <si>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</si>
  <si>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</si>
  <si>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</si>
  <si>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</si>
  <si>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</si>
  <si>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</si>
  <si>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</si>
  <si>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</si>
  <si>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</si>
  <si>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</si>
  <si>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</si>
  <si>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</si>
  <si>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</si>
  <si>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</si>
  <si>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</si>
  <si>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</si>
  <si>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</si>
  <si>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</si>
  <si>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</si>
  <si>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</si>
  <si>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</si>
  <si>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</si>
  <si>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</si>
  <si>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</si>
  <si>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</si>
  <si>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</si>
  <si>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</si>
  <si>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</si>
  <si>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</si>
  <si>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</si>
  <si>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</si>
  <si>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</si>
  <si>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</si>
  <si>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</si>
  <si>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</si>
  <si>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</si>
  <si>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</si>
  <si>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</si>
  <si>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</si>
  <si>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</si>
  <si>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</si>
  <si>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</si>
  <si>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</si>
  <si>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</si>
  <si>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</si>
  <si>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</si>
  <si>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</si>
  <si>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</si>
  <si>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</si>
  <si>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</si>
  <si>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</si>
  <si>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</si>
  <si>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</si>
  <si>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</si>
  <si>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</si>
  <si>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</si>
  <si>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</si>
  <si>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</si>
  <si>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</si>
  <si>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</si>
  <si>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</si>
  <si>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</si>
  <si>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</si>
  <si>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</si>
  <si>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</si>
  <si>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</si>
  <si>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</si>
  <si>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</si>
  <si>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</si>
  <si>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</si>
  <si>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</si>
  <si>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</si>
  <si>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</si>
  <si>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</si>
  <si>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</si>
  <si>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</si>
  <si>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</si>
  <si>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</si>
  <si>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</si>
  <si>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</si>
  <si>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</si>
  <si>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</si>
  <si>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</si>
  <si>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</si>
  <si>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</si>
  <si>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</si>
  <si>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</si>
  <si>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</si>
  <si>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</si>
  <si>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</si>
  <si>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</si>
  <si>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</si>
  <si>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</si>
  <si>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</si>
  <si>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</si>
  <si>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</si>
  <si>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</si>
  <si>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</si>
  <si>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</si>
  <si>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</si>
  <si>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</si>
  <si>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</si>
  <si>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</si>
  <si>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</si>
  <si>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</si>
  <si>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</si>
  <si>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</si>
  <si>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</si>
  <si>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</si>
  <si>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</si>
  <si>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</si>
  <si>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</si>
  <si>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</si>
  <si>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</si>
  <si>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</si>
  <si>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</si>
  <si>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</si>
  <si>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</si>
  <si>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</si>
  <si>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</si>
  <si>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</si>
  <si>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</si>
  <si>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</si>
  <si>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</si>
  <si>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</si>
  <si>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</si>
  <si>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</si>
  <si>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</si>
  <si>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</si>
  <si>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</si>
  <si>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</si>
  <si>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</si>
  <si>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</si>
  <si>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</si>
  <si>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</si>
  <si>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</si>
  <si>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</si>
  <si>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</si>
  <si>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</si>
  <si>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</si>
  <si>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</si>
  <si>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</si>
  <si>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</si>
  <si>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</si>
  <si>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</si>
  <si>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</si>
  <si>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</si>
  <si>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</si>
  <si>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</si>
  <si>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</si>
  <si>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</si>
  <si>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</si>
  <si>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</si>
  <si>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</si>
  <si>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</si>
  <si>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</si>
  <si>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</si>
  <si>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</si>
  <si>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</si>
  <si>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</si>
  <si>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</si>
  <si>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</si>
  <si>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</si>
  <si>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</si>
  <si>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</si>
  <si>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</si>
  <si>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</si>
  <si>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</si>
  <si>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</si>
  <si>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</si>
  <si>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</si>
  <si>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</si>
  <si>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</si>
  <si>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</si>
  <si>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</si>
  <si>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</si>
  <si>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</si>
  <si>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</si>
  <si>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</si>
  <si>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</si>
  <si>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</si>
  <si>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</si>
  <si>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</si>
  <si>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</si>
  <si>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</si>
  <si>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</si>
  <si>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</si>
  <si>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</si>
  <si>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</si>
  <si>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</si>
  <si>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</si>
  <si>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</si>
  <si>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</si>
  <si>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</si>
  <si>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</si>
  <si>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</si>
  <si>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</si>
  <si>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</si>
  <si>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</si>
  <si>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</si>
  <si>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</si>
  <si>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</si>
  <si>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</si>
  <si>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</si>
  <si>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</si>
  <si>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</si>
  <si>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</si>
  <si>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</si>
  <si>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</si>
  <si>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</si>
  <si>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</si>
  <si>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</si>
  <si>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</si>
  <si>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</si>
  <si>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</si>
  <si>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</si>
  <si>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</si>
  <si>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</si>
  <si>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</si>
  <si>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</si>
  <si>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</si>
  <si>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</si>
  <si>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</si>
  <si>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</si>
  <si>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</si>
  <si>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</si>
  <si>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</si>
  <si>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</si>
  <si>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</si>
  <si>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</si>
  <si>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</si>
  <si>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</si>
  <si>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</si>
  <si>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</si>
  <si>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</si>
  <si>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</si>
  <si>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</si>
  <si>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</si>
  <si>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</si>
  <si>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</si>
  <si>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</si>
  <si>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</si>
  <si>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</si>
  <si>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</si>
  <si>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</si>
  <si>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</si>
  <si>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</si>
  <si>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</si>
  <si>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</si>
  <si>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</si>
  <si>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</si>
  <si>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</si>
  <si>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</si>
  <si>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</si>
  <si>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</si>
  <si>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</si>
  <si>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</si>
  <si>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</si>
  <si>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</si>
  <si>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</si>
  <si>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</si>
  <si>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</si>
  <si>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</si>
  <si>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</si>
  <si>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</si>
  <si>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</si>
  <si>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</si>
  <si>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</si>
  <si>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</si>
  <si>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</si>
  <si>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</si>
  <si>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</si>
  <si>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</si>
  <si>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</si>
  <si>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</si>
  <si>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</si>
  <si>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</si>
  <si>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</si>
  <si>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</si>
  <si>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</si>
  <si>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</si>
  <si>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</si>
  <si>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</si>
  <si>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</si>
  <si>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</si>
  <si>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</si>
  <si>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</si>
  <si>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</si>
  <si>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</si>
  <si>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</si>
  <si>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</si>
  <si>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</si>
  <si>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</si>
  <si>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</si>
  <si>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</si>
  <si>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</si>
  <si>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</si>
  <si>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</si>
  <si>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</si>
  <si>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</si>
  <si>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</si>
  <si>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</si>
  <si>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</si>
  <si>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</si>
  <si>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</si>
  <si>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</si>
  <si>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</si>
  <si>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</si>
  <si>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</si>
  <si>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</si>
  <si>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</si>
  <si>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</si>
  <si>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</si>
  <si>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</si>
  <si>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</si>
  <si>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</si>
  <si>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</si>
  <si>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</si>
  <si>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</si>
  <si>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</si>
  <si>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</si>
  <si>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</si>
  <si>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</si>
  <si>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</si>
  <si>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</si>
  <si>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</si>
  <si>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</si>
  <si>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</si>
  <si>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</si>
  <si>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</si>
  <si>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</si>
  <si>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</si>
  <si>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</si>
  <si>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</si>
  <si>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</si>
  <si>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</si>
  <si>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</si>
  <si>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</si>
  <si>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</si>
  <si>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</si>
  <si>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</si>
  <si>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</si>
  <si>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</si>
  <si>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</si>
  <si>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</si>
  <si>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</si>
  <si>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</si>
  <si>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</si>
  <si>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</si>
  <si>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</si>
  <si>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</si>
  <si>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</si>
  <si>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</si>
  <si>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</si>
  <si>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</si>
  <si>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</si>
  <si>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</si>
  <si>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</si>
  <si>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</si>
  <si>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</si>
  <si>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</si>
  <si>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</si>
  <si>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</si>
  <si>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</si>
  <si>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</si>
  <si>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</si>
  <si>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</si>
  <si>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</si>
  <si>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</si>
  <si>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</si>
  <si>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</si>
  <si>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</si>
  <si>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</si>
  <si>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</si>
  <si>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</si>
  <si>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</si>
  <si>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</si>
  <si>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</si>
  <si>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</si>
  <si>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</si>
  <si>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</si>
  <si>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</si>
  <si>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</si>
  <si>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</si>
  <si>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</si>
  <si>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</si>
  <si>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</si>
  <si>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</si>
  <si>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</si>
  <si>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</si>
  <si>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</si>
  <si>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</si>
  <si>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</si>
  <si>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</si>
  <si>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</si>
  <si>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</si>
  <si>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</si>
  <si>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</si>
  <si>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</si>
  <si>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</si>
  <si>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</si>
  <si>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</si>
  <si>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</si>
  <si>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</si>
  <si>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</si>
  <si>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</si>
  <si>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</si>
  <si>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</si>
  <si>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</si>
  <si>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</si>
  <si>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</si>
  <si>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</si>
  <si>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</si>
  <si>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</si>
  <si>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</si>
  <si>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</si>
  <si>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</si>
  <si>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</si>
  <si>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</si>
  <si>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</si>
  <si>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</si>
  <si>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</si>
  <si>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</si>
  <si>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</si>
  <si>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</si>
  <si>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</si>
  <si>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</si>
  <si>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</si>
  <si>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</si>
  <si>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</si>
  <si>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</si>
  <si>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</si>
  <si>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</si>
  <si>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</si>
  <si>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</si>
  <si>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</si>
  <si>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</si>
  <si>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</si>
  <si>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</si>
  <si>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</si>
  <si>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</si>
  <si>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</si>
  <si>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</si>
  <si>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</si>
  <si>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</si>
  <si>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</si>
  <si>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</si>
  <si>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</si>
  <si>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</si>
  <si>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</si>
  <si>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</si>
  <si>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</si>
  <si>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</si>
  <si>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</si>
  <si>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</si>
  <si>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</si>
  <si>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</si>
  <si>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</si>
  <si>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</si>
  <si>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</si>
  <si>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</si>
  <si>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</si>
  <si>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</si>
  <si>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</si>
  <si>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</si>
  <si>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</si>
  <si>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</si>
  <si>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</si>
  <si>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</si>
  <si>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</si>
  <si>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</si>
  <si>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</si>
  <si>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</si>
  <si>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</si>
  <si>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</si>
  <si>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</si>
  <si>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</si>
  <si>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</si>
  <si>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</si>
  <si>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</si>
  <si>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</si>
  <si>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</si>
  <si>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</si>
  <si>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</si>
  <si>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</si>
  <si>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</si>
  <si>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</si>
  <si>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</si>
  <si>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</si>
  <si>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</si>
  <si>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</si>
  <si>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</si>
  <si>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</si>
  <si>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</si>
  <si>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</si>
  <si>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</si>
  <si>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</si>
  <si>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</si>
  <si>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</si>
  <si>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</si>
  <si>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</si>
  <si>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</si>
  <si>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</si>
  <si>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</si>
  <si>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</si>
  <si>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</si>
  <si>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</si>
  <si>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</si>
  <si>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</si>
  <si>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</si>
  <si>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</si>
  <si>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</si>
  <si>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</si>
  <si>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</si>
  <si>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</si>
  <si>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</si>
  <si>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</si>
  <si>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</si>
  <si>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</si>
  <si>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</si>
  <si>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</si>
  <si>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</si>
  <si>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</si>
  <si>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</si>
  <si>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</si>
  <si>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</si>
  <si>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</si>
  <si>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</si>
  <si>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</si>
  <si>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</si>
  <si>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</si>
  <si>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</si>
  <si>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</si>
  <si>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</si>
  <si>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</si>
  <si>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</si>
  <si>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</si>
  <si>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</si>
  <si>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</si>
  <si>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</si>
  <si>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</si>
  <si>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</si>
  <si>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</si>
  <si>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</si>
  <si>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</si>
  <si>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</si>
  <si>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</si>
  <si>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</si>
  <si>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</si>
  <si>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</si>
  <si>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</si>
  <si>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</si>
  <si>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</si>
  <si>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</si>
  <si>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</si>
  <si>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</si>
  <si>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</si>
  <si>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</si>
  <si>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</si>
  <si>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</si>
  <si>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</si>
  <si>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</si>
  <si>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</si>
  <si>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</si>
  <si>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</si>
  <si>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</si>
  <si>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</si>
  <si>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</si>
  <si>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</si>
  <si>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</si>
  <si>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</si>
  <si>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</si>
  <si>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</si>
  <si>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</si>
  <si>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</si>
  <si>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</si>
  <si>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</si>
  <si>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</si>
  <si>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</si>
  <si>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</si>
  <si>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</si>
  <si>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</si>
  <si>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</si>
  <si>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</si>
  <si>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</si>
  <si>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</si>
  <si>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</si>
  <si>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</si>
  <si>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</si>
  <si>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</si>
  <si>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</si>
  <si>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</si>
  <si>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</si>
  <si>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</si>
  <si>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</si>
  <si>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</si>
  <si>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</si>
  <si>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</si>
  <si>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</si>
  <si>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</si>
  <si>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</si>
  <si>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</si>
  <si>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</si>
  <si>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</si>
  <si>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</si>
  <si>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</si>
  <si>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</si>
  <si>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</si>
  <si>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</si>
  <si>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</si>
  <si>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</si>
  <si>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</si>
  <si>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</si>
  <si>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</si>
  <si>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</si>
  <si>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</si>
  <si>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</si>
  <si>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</si>
  <si>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</si>
  <si>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</si>
  <si>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</si>
  <si>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</si>
  <si>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</si>
  <si>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</si>
  <si>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</si>
  <si>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</si>
  <si>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</si>
  <si>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</si>
  <si>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</si>
  <si>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</si>
  <si>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</si>
  <si>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</si>
  <si>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</si>
  <si>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</si>
  <si>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</si>
  <si>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</si>
  <si>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</si>
  <si>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</si>
  <si>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</si>
  <si>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</si>
  <si>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</si>
  <si>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</si>
  <si>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</si>
  <si>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</si>
  <si>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</si>
  <si>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</si>
  <si>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</si>
  <si>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</si>
  <si>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</si>
  <si>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</si>
  <si>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</si>
  <si>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</si>
  <si>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</si>
  <si>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</si>
  <si>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</si>
  <si>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</si>
  <si>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</si>
  <si>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</si>
  <si>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</si>
  <si>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</si>
  <si>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</si>
  <si>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</si>
  <si>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</si>
  <si>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</si>
  <si>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</si>
  <si>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</si>
  <si>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</si>
  <si>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</si>
  <si>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</si>
  <si>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</si>
  <si>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</si>
  <si>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</si>
  <si>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</si>
  <si>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</si>
  <si>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</si>
  <si>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</si>
  <si>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</si>
  <si>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</si>
  <si>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</si>
  <si>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</si>
  <si>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</si>
  <si>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</si>
  <si>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</si>
  <si>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</si>
  <si>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</si>
  <si>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</si>
  <si>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</si>
  <si>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</si>
  <si>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</si>
  <si>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</si>
  <si>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</si>
  <si>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</si>
  <si>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</si>
  <si>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</si>
  <si>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</si>
  <si>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</si>
  <si>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</si>
  <si>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</si>
  <si>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</si>
  <si>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</si>
  <si>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</si>
  <si>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</si>
  <si>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</si>
  <si>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</si>
  <si>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</si>
  <si>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</si>
  <si>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</si>
  <si>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</si>
  <si>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</si>
  <si>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</si>
  <si>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</si>
  <si>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</si>
  <si>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</si>
  <si>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</si>
  <si>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</si>
  <si>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</si>
  <si>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</si>
  <si>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</si>
  <si>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</si>
  <si>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</si>
  <si>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</si>
  <si>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</si>
  <si>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</si>
  <si>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</si>
  <si>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</si>
  <si>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</si>
  <si>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</si>
  <si>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</si>
  <si>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</si>
  <si>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</si>
  <si>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</si>
  <si>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</si>
  <si>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</si>
  <si>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</si>
  <si>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</si>
  <si>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</si>
  <si>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</si>
  <si>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</si>
  <si>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</si>
  <si>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</si>
  <si>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</si>
  <si>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</si>
  <si>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</si>
  <si>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</si>
  <si>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</si>
  <si>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</si>
  <si>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</si>
  <si>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</si>
  <si>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</si>
  <si>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</si>
  <si>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</si>
  <si>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</si>
  <si>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</si>
  <si>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</si>
  <si>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</si>
  <si>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</si>
  <si>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</si>
  <si>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</si>
  <si>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</si>
  <si>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</si>
  <si>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</si>
  <si>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</si>
  <si>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</si>
  <si>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</si>
  <si>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</si>
  <si>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</si>
  <si>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</si>
  <si>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</si>
  <si>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</si>
  <si>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</si>
  <si>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</si>
  <si>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</si>
  <si>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</si>
  <si>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</si>
  <si>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</si>
  <si>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</si>
  <si>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</si>
  <si>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</si>
  <si>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</si>
  <si>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</si>
  <si>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</si>
  <si>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</si>
  <si>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</si>
  <si>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</si>
  <si>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</si>
  <si>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</si>
  <si>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</si>
  <si>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</si>
  <si>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</si>
  <si>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</si>
  <si>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</si>
  <si>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</si>
  <si>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</si>
  <si>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</si>
  <si>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</si>
  <si>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</si>
  <si>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</si>
  <si>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</si>
  <si>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</si>
  <si>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</si>
  <si>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</si>
  <si>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</si>
  <si>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</si>
  <si>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</si>
  <si>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</si>
  <si>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</si>
  <si>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</si>
  <si>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</si>
  <si>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</si>
  <si>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</si>
  <si>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</si>
  <si>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</si>
  <si>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</si>
  <si>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</si>
  <si>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</si>
  <si>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</si>
  <si>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</si>
  <si>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</si>
  <si>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</si>
  <si>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</si>
  <si>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</si>
  <si>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</si>
  <si>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</si>
  <si>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</si>
  <si>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</si>
  <si>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</si>
  <si>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</si>
  <si>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</si>
  <si>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</si>
  <si>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</si>
  <si>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</si>
  <si>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</si>
  <si>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</si>
  <si>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</si>
  <si>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</si>
  <si>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</si>
  <si>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</si>
  <si>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</si>
  <si>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</si>
  <si>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</si>
  <si>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</si>
  <si>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</si>
  <si>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</si>
  <si>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</si>
  <si>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</si>
  <si>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</si>
  <si>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</si>
  <si>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</si>
  <si>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</si>
  <si>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</si>
  <si>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</si>
  <si>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</si>
  <si>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</si>
  <si>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</si>
  <si>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</si>
  <si>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</si>
  <si>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</si>
  <si>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</si>
  <si>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</si>
  <si>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</si>
  <si>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</si>
  <si>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</si>
  <si>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</si>
  <si>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</si>
  <si>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</si>
  <si>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</si>
  <si>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</si>
  <si>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</si>
  <si>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</si>
  <si>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</si>
  <si>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</si>
  <si>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</si>
  <si>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</si>
  <si>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</si>
  <si>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</si>
  <si>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</si>
  <si>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</si>
  <si>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</si>
  <si>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</si>
  <si>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</si>
  <si>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</si>
  <si>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</si>
  <si>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</si>
  <si>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</si>
  <si>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</si>
  <si>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</si>
  <si>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</si>
  <si>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</si>
  <si>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</si>
  <si>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</si>
  <si>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</si>
  <si>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</si>
  <si>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</si>
  <si>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</si>
  <si>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</si>
  <si>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</si>
  <si>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</si>
  <si>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</si>
  <si>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</si>
  <si>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</si>
  <si>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</si>
  <si>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</si>
  <si>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</si>
  <si>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</si>
  <si>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</si>
  <si>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</si>
  <si>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</si>
  <si>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</si>
  <si>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</si>
  <si>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</si>
  <si>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</si>
  <si>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</si>
  <si>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</si>
  <si>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</si>
  <si>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</si>
  <si>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</si>
  <si>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</si>
  <si>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</si>
  <si>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</si>
  <si>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</si>
  <si>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</si>
  <si>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</si>
  <si>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</si>
  <si>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</si>
  <si>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</si>
  <si>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</si>
  <si>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</si>
  <si>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</si>
  <si>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</si>
  <si>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</si>
  <si>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</si>
  <si>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</si>
  <si>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</si>
  <si>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</si>
  <si>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</si>
  <si>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</si>
  <si>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</si>
  <si>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</si>
  <si>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</si>
  <si>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</si>
  <si>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</si>
  <si>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</si>
  <si>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</si>
  <si>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</si>
  <si>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</si>
  <si>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</si>
  <si>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</si>
  <si>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</si>
  <si>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</si>
  <si>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</si>
  <si>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</si>
  <si>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</si>
  <si>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</si>
  <si>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</si>
  <si>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</si>
  <si>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</si>
  <si>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</si>
  <si>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</si>
  <si>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</si>
  <si>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</si>
  <si>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</si>
  <si>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</si>
  <si>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</si>
  <si>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</si>
  <si>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</si>
  <si>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</si>
  <si>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</si>
  <si>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</si>
  <si>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</si>
  <si>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</si>
  <si>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</si>
  <si>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</si>
  <si>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</si>
  <si>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</si>
  <si>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</si>
  <si>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</si>
  <si>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</si>
  <si>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</si>
  <si>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</si>
  <si>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</si>
  <si>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</si>
  <si>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</si>
  <si>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</si>
  <si>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</si>
  <si>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</si>
  <si>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</si>
  <si>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</si>
  <si>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</si>
  <si>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</si>
  <si>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</si>
  <si>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</si>
  <si>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</si>
  <si>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</si>
  <si>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</si>
  <si>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</si>
  <si>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</si>
  <si>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</si>
  <si>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</si>
  <si>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</si>
  <si>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</si>
  <si>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</si>
  <si>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</si>
  <si>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</si>
  <si>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</si>
  <si>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</si>
  <si>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</si>
  <si>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</si>
  <si>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</si>
  <si>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</si>
  <si>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</si>
  <si>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</si>
  <si>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</si>
  <si>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</si>
  <si>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</si>
  <si>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</si>
  <si>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</si>
  <si>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</si>
  <si>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</si>
  <si>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</si>
  <si>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</si>
  <si>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</si>
  <si>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</si>
  <si>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</si>
  <si>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</si>
  <si>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</si>
  <si>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</si>
  <si>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</si>
  <si>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</si>
  <si>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</si>
  <si>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</si>
  <si>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</si>
  <si>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</si>
  <si>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</si>
  <si>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</si>
  <si>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</si>
  <si>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</si>
  <si>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</si>
  <si>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</si>
  <si>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</si>
  <si>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</si>
  <si>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</si>
  <si>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</si>
  <si>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</si>
  <si>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</si>
  <si>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</si>
  <si>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</si>
  <si>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</si>
  <si>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</si>
  <si>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</si>
  <si>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</si>
  <si>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</si>
  <si>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</si>
  <si>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</si>
  <si>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</si>
  <si>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</si>
  <si>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</si>
  <si>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</si>
  <si>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</si>
  <si>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</si>
  <si>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</si>
  <si>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</si>
  <si>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</si>
  <si>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</si>
  <si>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</si>
  <si>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</si>
  <si>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</si>
  <si>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</si>
  <si>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</si>
  <si>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</si>
  <si>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</si>
  <si>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</si>
  <si>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</si>
  <si>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</si>
  <si>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</si>
  <si>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</si>
  <si>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</si>
  <si>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</si>
  <si>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</si>
  <si>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</si>
  <si>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</si>
  <si>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</si>
  <si>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</si>
  <si>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</si>
  <si>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</si>
  <si>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</si>
  <si>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</si>
  <si>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</si>
  <si>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</si>
  <si>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</si>
  <si>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</si>
  <si>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</si>
  <si>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</si>
  <si>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</si>
  <si>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</si>
  <si>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</si>
  <si>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</si>
  <si>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</si>
  <si>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</si>
  <si>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</si>
  <si>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</si>
  <si>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</si>
  <si>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</si>
  <si>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</si>
  <si>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</si>
  <si>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</si>
  <si>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</si>
  <si>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</si>
  <si>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</si>
  <si>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</si>
  <si>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</si>
  <si>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</si>
  <si>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</si>
  <si>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</si>
  <si>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</si>
  <si>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</si>
  <si>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</si>
  <si>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</si>
  <si>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</si>
  <si>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</si>
  <si>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</si>
  <si>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</si>
  <si>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</si>
  <si>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</si>
  <si>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</si>
  <si>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</si>
  <si>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</si>
  <si>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</si>
  <si>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</si>
  <si>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</si>
  <si>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</si>
  <si>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</si>
  <si>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</si>
  <si>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</si>
  <si>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</si>
  <si>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</si>
  <si>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</si>
  <si>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</si>
  <si>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</si>
  <si>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</si>
  <si>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</si>
  <si>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</si>
  <si>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</si>
  <si>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</si>
  <si>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</si>
  <si>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</si>
  <si>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</si>
  <si>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</si>
  <si>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</si>
  <si>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</si>
  <si>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</si>
  <si>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</si>
  <si>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</si>
  <si>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</si>
  <si>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</si>
  <si>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</si>
  <si>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</si>
  <si>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</si>
  <si>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</si>
  <si>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</si>
  <si>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</si>
  <si>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</si>
  <si>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25.11.15</t>
  </si>
  <si>
    <t>25.11.35</t>
  </si>
  <si>
    <t>Jan-Mar</t>
  </si>
  <si>
    <t>Apr-Jun</t>
  </si>
  <si>
    <t>Jul-Sep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</si>
  <si>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</si>
  <si>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</si>
  <si>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</si>
  <si>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</si>
  <si>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</si>
  <si>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</si>
  <si>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</si>
  <si>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</si>
  <si>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</si>
  <si>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</si>
  <si>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</si>
  <si>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</si>
  <si>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</si>
  <si>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</si>
  <si>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</si>
  <si>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</si>
  <si>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</si>
  <si>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</si>
  <si>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</si>
  <si>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</si>
  <si>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</si>
  <si>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</si>
  <si>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</si>
  <si>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</si>
  <si>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</si>
  <si>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</si>
  <si>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</si>
  <si>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</si>
  <si>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</si>
  <si>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</si>
  <si>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</si>
  <si>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</si>
  <si>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</si>
  <si>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</si>
  <si>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</si>
  <si>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</si>
  <si>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</si>
  <si>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</si>
  <si>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</si>
  <si>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</si>
  <si>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</si>
  <si>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</si>
  <si>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</si>
  <si>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</si>
  <si>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</si>
  <si>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</si>
  <si>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</si>
  <si>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</si>
  <si>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</si>
  <si>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</si>
  <si>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</si>
  <si>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</si>
  <si>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</si>
  <si>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</si>
  <si>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</si>
  <si>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</si>
  <si>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</si>
  <si>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</si>
  <si>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</si>
  <si>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</si>
  <si>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</si>
  <si>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</si>
  <si>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</si>
  <si>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</si>
  <si>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</si>
  <si>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</si>
  <si>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</si>
  <si>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</si>
  <si>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</si>
  <si>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</si>
  <si>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</si>
  <si>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</si>
  <si>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</si>
  <si>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</si>
  <si>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</si>
  <si>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</si>
  <si>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</si>
  <si>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</si>
  <si>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</si>
  <si>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</si>
  <si>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</si>
  <si>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</si>
  <si>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</si>
  <si>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</si>
  <si>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</si>
  <si>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</si>
  <si>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</si>
  <si>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</si>
  <si>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</si>
  <si>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</si>
  <si>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</si>
  <si>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</si>
  <si>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</si>
  <si>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</si>
  <si>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</si>
  <si>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</si>
  <si>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</si>
  <si>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</si>
  <si>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</si>
  <si>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</si>
  <si>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</si>
  <si>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</si>
  <si>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</si>
  <si>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</si>
  <si>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</si>
  <si>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</si>
  <si>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</si>
  <si>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</si>
  <si>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</si>
  <si>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</si>
  <si>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</si>
  <si>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</si>
  <si>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</si>
  <si>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</si>
  <si>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</si>
  <si>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</si>
  <si>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</si>
  <si>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</si>
  <si>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</si>
  <si>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</si>
  <si>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</si>
  <si>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</si>
  <si>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</si>
  <si>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</si>
  <si>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</si>
  <si>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</si>
  <si>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</si>
  <si>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</si>
  <si>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</si>
  <si>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</si>
  <si>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</si>
  <si>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</si>
  <si>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</si>
  <si>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</si>
  <si>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</si>
  <si>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</si>
  <si>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</si>
  <si>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</si>
  <si>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</si>
  <si>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</si>
  <si>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</si>
  <si>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</si>
  <si>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</si>
  <si>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</si>
  <si>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</si>
  <si>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</si>
  <si>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</si>
  <si>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</si>
  <si>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</si>
  <si>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</si>
  <si>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</si>
  <si>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</si>
  <si>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</si>
  <si>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</si>
  <si>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</si>
  <si>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</si>
  <si>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</si>
  <si>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</si>
  <si>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</si>
  <si>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</si>
  <si>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</si>
  <si>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</si>
  <si>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</si>
  <si>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</si>
  <si>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</si>
  <si>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</si>
  <si>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</si>
  <si>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</si>
  <si>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</si>
  <si>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</si>
  <si>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</si>
  <si>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</si>
  <si>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</si>
  <si>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</si>
  <si>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</si>
  <si>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</si>
  <si>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</si>
  <si>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</si>
  <si>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</si>
  <si>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</si>
  <si>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</si>
  <si>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</si>
  <si>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</si>
  <si>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</si>
  <si>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</si>
  <si>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</si>
  <si>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</si>
  <si>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</si>
  <si>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</si>
  <si>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</si>
  <si>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</si>
  <si>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</si>
  <si>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</si>
  <si>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</si>
  <si>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</si>
  <si>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</si>
  <si>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</si>
  <si>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</si>
  <si>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</si>
  <si>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</si>
  <si>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</si>
  <si>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</si>
  <si>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</si>
  <si>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</si>
  <si>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</si>
  <si>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</si>
  <si>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</si>
  <si>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</si>
  <si>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</si>
  <si>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</si>
  <si>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</si>
  <si>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</si>
  <si>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</si>
  <si>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</si>
  <si>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</si>
  <si>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</si>
  <si>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</si>
  <si>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</si>
  <si>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</si>
  <si>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</si>
  <si>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</si>
  <si>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</si>
  <si>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</si>
  <si>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</si>
  <si>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</si>
  <si>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</si>
  <si>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</si>
  <si>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</si>
  <si>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</si>
  <si>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</si>
  <si>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</si>
  <si>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</si>
  <si>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</si>
  <si>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</si>
  <si>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</si>
  <si>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</si>
  <si>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</si>
  <si>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</si>
  <si>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</si>
  <si>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</si>
  <si>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</si>
  <si>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</si>
  <si>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</si>
  <si>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</si>
  <si>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</si>
  <si>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</si>
  <si>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</si>
  <si>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</si>
  <si>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</si>
  <si>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</si>
  <si>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</si>
  <si>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</si>
  <si>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</si>
  <si>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</si>
  <si>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</si>
  <si>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</si>
  <si>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</si>
  <si>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</si>
  <si>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</si>
  <si>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</si>
  <si>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</si>
  <si>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</si>
  <si>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</si>
  <si>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</si>
  <si>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</si>
  <si>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</si>
  <si>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</si>
  <si>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</si>
  <si>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</si>
  <si>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</si>
  <si>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</si>
  <si>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</si>
  <si>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</si>
  <si>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</si>
  <si>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</si>
  <si>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</si>
  <si>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</si>
  <si>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</si>
  <si>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</si>
  <si>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</si>
  <si>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</si>
  <si>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</si>
  <si>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</si>
  <si>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</si>
  <si>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</si>
  <si>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</si>
  <si>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</si>
  <si>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</si>
  <si>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</si>
  <si>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</si>
  <si>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</si>
  <si>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</si>
  <si>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</si>
  <si>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</si>
  <si>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</si>
  <si>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</si>
  <si>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</si>
  <si>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</si>
  <si>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</si>
  <si>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</si>
  <si>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</si>
  <si>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</si>
  <si>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</si>
  <si>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</si>
  <si>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</si>
  <si>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</si>
  <si>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</si>
  <si>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</si>
  <si>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</si>
  <si>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</si>
  <si>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</si>
  <si>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</si>
  <si>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</si>
  <si>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</si>
  <si>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</si>
  <si>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</si>
  <si>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</si>
  <si>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</si>
  <si>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</si>
  <si>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</si>
  <si>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</si>
  <si>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</si>
  <si>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</si>
  <si>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</si>
  <si>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</si>
  <si>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</si>
  <si>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</si>
  <si>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</si>
  <si>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</si>
  <si>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</si>
  <si>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</si>
  <si>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</si>
  <si>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</si>
  <si>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</si>
  <si>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</si>
  <si>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</si>
  <si>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</si>
  <si>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</si>
  <si>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</si>
  <si>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</si>
  <si>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</si>
  <si>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</si>
  <si>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</si>
  <si>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</si>
  <si>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</si>
  <si>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</si>
  <si>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</si>
  <si>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</si>
  <si>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</si>
  <si>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</si>
  <si>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</si>
  <si>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</si>
  <si>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</si>
  <si>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</si>
  <si>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</si>
  <si>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</si>
  <si>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</si>
  <si>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</si>
  <si>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</si>
  <si>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</si>
  <si>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</si>
  <si>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</si>
  <si>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</si>
  <si>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</si>
  <si>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</si>
  <si>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</si>
  <si>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</si>
  <si>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</si>
  <si>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</si>
  <si>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</si>
  <si>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</si>
  <si>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</si>
  <si>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</si>
  <si>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</si>
  <si>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</si>
  <si>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</si>
  <si>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</si>
  <si>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</si>
  <si>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</si>
  <si>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</si>
  <si>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</si>
  <si>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</si>
  <si>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</si>
  <si>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</si>
  <si>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</si>
  <si>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</si>
  <si>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</si>
  <si>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</si>
  <si>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</si>
  <si>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</si>
  <si>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</si>
  <si>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</si>
  <si>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</si>
  <si>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</si>
  <si>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</si>
  <si>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</si>
  <si>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</si>
  <si>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</si>
  <si>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</si>
  <si>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</si>
  <si>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</si>
  <si>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</si>
  <si>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BD0929401158</t>
  </si>
  <si>
    <t>BD0929161208</t>
  </si>
  <si>
    <t>BD0933441208</t>
  </si>
  <si>
    <t>29.05.13</t>
  </si>
  <si>
    <t>29.05.33</t>
  </si>
  <si>
    <t>BD0930261104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</si>
  <si>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</si>
  <si>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</si>
  <si>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</si>
  <si>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</si>
  <si>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</si>
  <si>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</si>
  <si>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</si>
  <si>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</si>
  <si>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BD0929481150</t>
  </si>
  <si>
    <t>BD0930251204</t>
  </si>
  <si>
    <t>BD0933041206</t>
  </si>
  <si>
    <t>24.07.13</t>
  </si>
  <si>
    <t>24.07.33</t>
  </si>
  <si>
    <t>BD0930431103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</si>
  <si>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</si>
  <si>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</si>
  <si>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</si>
  <si>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</si>
  <si>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</si>
  <si>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</si>
  <si>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</si>
  <si>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</si>
  <si>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</si>
  <si>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</si>
  <si>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</si>
  <si>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</si>
  <si>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</si>
  <si>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</si>
  <si>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BD0929121152</t>
  </si>
  <si>
    <t>BD0930361201</t>
  </si>
  <si>
    <t>BD0933161202</t>
  </si>
  <si>
    <t>23.10.13</t>
  </si>
  <si>
    <t>23.10.33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</si>
  <si>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</si>
  <si>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</si>
  <si>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</si>
  <si>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</si>
  <si>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</si>
  <si>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</si>
  <si>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</si>
  <si>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</si>
  <si>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</si>
  <si>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</si>
  <si>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</si>
  <si>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</si>
  <si>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</si>
  <si>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</si>
  <si>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</si>
  <si>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</si>
  <si>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</si>
  <si>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</si>
  <si>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</si>
  <si>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</si>
  <si>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</si>
  <si>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</si>
  <si>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</si>
  <si>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</si>
  <si>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</si>
  <si>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</si>
  <si>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</si>
  <si>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</si>
  <si>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</si>
  <si>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</si>
  <si>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</si>
  <si>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</si>
  <si>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</si>
  <si>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</si>
  <si>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</si>
  <si>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</si>
  <si>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</si>
  <si>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</si>
  <si>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</si>
  <si>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</si>
  <si>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</si>
  <si>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</si>
  <si>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</si>
  <si>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</si>
  <si>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</si>
  <si>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</si>
  <si>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</si>
  <si>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</si>
  <si>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</si>
  <si>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</si>
  <si>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</si>
  <si>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</si>
  <si>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</si>
  <si>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</si>
  <si>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</si>
  <si>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</si>
  <si>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</si>
  <si>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</si>
  <si>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</si>
  <si>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</si>
  <si>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</si>
  <si>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</si>
  <si>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</si>
  <si>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</si>
  <si>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</si>
  <si>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</si>
  <si>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</si>
  <si>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</si>
  <si>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</si>
  <si>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</si>
  <si>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</si>
  <si>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</si>
  <si>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</si>
  <si>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</si>
  <si>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</si>
  <si>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</si>
  <si>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</si>
  <si>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</si>
  <si>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</si>
  <si>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</si>
  <si>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</si>
  <si>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</si>
  <si>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</si>
  <si>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</si>
  <si>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</si>
  <si>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</si>
  <si>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</si>
  <si>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</si>
  <si>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</si>
  <si>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</si>
  <si>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</si>
  <si>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</si>
  <si>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</si>
  <si>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</si>
  <si>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</si>
  <si>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</si>
  <si>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</si>
  <si>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</si>
  <si>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</si>
  <si>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</si>
  <si>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</si>
  <si>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</si>
  <si>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</si>
  <si>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</si>
  <si>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</si>
  <si>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</si>
  <si>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</si>
  <si>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</si>
  <si>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</si>
  <si>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BD0928471152</t>
  </si>
  <si>
    <t>BD0928201203</t>
  </si>
  <si>
    <t>BD0932041207</t>
  </si>
  <si>
    <t>25.07.12</t>
  </si>
  <si>
    <t>25.07.32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</si>
  <si>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</si>
  <si>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</si>
  <si>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</si>
  <si>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</si>
  <si>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</si>
  <si>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</si>
  <si>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</si>
  <si>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</si>
  <si>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</si>
  <si>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</si>
  <si>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</si>
  <si>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</si>
  <si>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</si>
  <si>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</si>
  <si>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</si>
  <si>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</si>
  <si>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</si>
  <si>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</si>
  <si>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</si>
  <si>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</si>
  <si>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</si>
  <si>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</si>
  <si>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</si>
  <si>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</si>
  <si>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</si>
  <si>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</si>
  <si>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</si>
  <si>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</si>
  <si>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</si>
  <si>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</si>
  <si>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</si>
  <si>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</si>
  <si>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</si>
  <si>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</si>
  <si>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</si>
  <si>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</si>
  <si>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</si>
  <si>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</si>
  <si>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</si>
  <si>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</si>
  <si>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</si>
  <si>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</si>
  <si>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</si>
  <si>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</si>
  <si>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</si>
  <si>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</si>
  <si>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</si>
  <si>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</si>
  <si>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</si>
  <si>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</si>
  <si>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</si>
  <si>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</si>
  <si>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</si>
  <si>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</si>
  <si>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</si>
  <si>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</si>
  <si>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</si>
  <si>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</si>
  <si>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</si>
  <si>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</si>
  <si>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</si>
  <si>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</si>
  <si>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</si>
  <si>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</si>
  <si>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</si>
  <si>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</si>
  <si>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</si>
  <si>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</si>
  <si>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</si>
  <si>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</si>
  <si>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</si>
  <si>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</si>
  <si>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</si>
  <si>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</si>
  <si>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</si>
  <si>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</si>
  <si>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</si>
  <si>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</si>
  <si>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</si>
  <si>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</si>
  <si>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</si>
  <si>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</si>
  <si>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</si>
  <si>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</si>
  <si>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</si>
  <si>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</si>
  <si>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</si>
  <si>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</si>
  <si>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</si>
  <si>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</si>
  <si>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</si>
  <si>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</si>
  <si>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</si>
  <si>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</si>
  <si>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</si>
  <si>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</si>
  <si>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</si>
  <si>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</si>
  <si>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</si>
  <si>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</si>
  <si>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</si>
  <si>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</si>
  <si>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</si>
  <si>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</si>
  <si>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</si>
  <si>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</si>
  <si>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</si>
  <si>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</si>
  <si>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</si>
  <si>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</si>
  <si>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</si>
  <si>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</si>
  <si>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</si>
  <si>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</si>
  <si>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</si>
  <si>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</si>
  <si>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</si>
  <si>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</si>
  <si>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</si>
  <si>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</si>
  <si>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</si>
  <si>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</si>
  <si>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</si>
  <si>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</si>
  <si>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</si>
  <si>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</si>
  <si>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</si>
  <si>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</si>
  <si>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</si>
  <si>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</si>
  <si>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</si>
  <si>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</si>
  <si>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</si>
  <si>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</si>
  <si>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</si>
  <si>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</si>
  <si>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</si>
  <si>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</si>
  <si>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</si>
  <si>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</si>
  <si>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</si>
  <si>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</si>
  <si>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</si>
  <si>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</si>
  <si>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</si>
  <si>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</si>
  <si>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</si>
  <si>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</si>
  <si>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</si>
  <si>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</si>
  <si>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</si>
  <si>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</si>
  <si>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</si>
  <si>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</si>
  <si>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</si>
  <si>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</si>
  <si>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</si>
  <si>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</si>
  <si>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</si>
  <si>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</si>
  <si>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</si>
  <si>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</si>
  <si>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</si>
  <si>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</si>
  <si>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</si>
  <si>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</si>
  <si>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</si>
  <si>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</si>
  <si>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</si>
  <si>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</si>
  <si>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</si>
  <si>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</si>
  <si>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</si>
  <si>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</si>
  <si>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</si>
  <si>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</si>
  <si>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</si>
  <si>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</si>
  <si>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</si>
  <si>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</si>
  <si>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</si>
  <si>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</si>
  <si>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</si>
  <si>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</si>
  <si>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</si>
  <si>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</si>
  <si>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</si>
  <si>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</si>
  <si>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</si>
  <si>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</si>
  <si>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</si>
  <si>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</si>
  <si>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</si>
  <si>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</si>
  <si>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</si>
  <si>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</si>
  <si>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</si>
  <si>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</si>
  <si>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</si>
  <si>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</si>
  <si>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</si>
  <si>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</si>
  <si>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</si>
  <si>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</si>
  <si>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</si>
  <si>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</si>
  <si>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</si>
  <si>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</si>
  <si>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</si>
  <si>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</si>
  <si>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</si>
  <si>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</si>
  <si>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</si>
  <si>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</si>
  <si>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</si>
  <si>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</si>
  <si>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</si>
  <si>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</si>
  <si>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</si>
  <si>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</si>
  <si>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</si>
  <si>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</si>
  <si>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</si>
  <si>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</si>
  <si>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</si>
  <si>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</si>
  <si>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</si>
  <si>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</si>
  <si>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</si>
  <si>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</si>
  <si>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</si>
  <si>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</si>
  <si>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</si>
  <si>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</si>
  <si>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</si>
  <si>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</si>
  <si>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</si>
  <si>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</si>
  <si>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</si>
  <si>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</si>
  <si>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</si>
  <si>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</si>
  <si>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</si>
  <si>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</si>
  <si>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</si>
  <si>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</si>
  <si>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</si>
  <si>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</si>
  <si>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</si>
  <si>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</si>
  <si>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</si>
  <si>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</si>
  <si>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</si>
  <si>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</si>
  <si>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</si>
  <si>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</si>
  <si>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</si>
  <si>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</si>
  <si>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</si>
  <si>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</si>
  <si>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</si>
  <si>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</si>
  <si>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</si>
  <si>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</si>
  <si>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</si>
  <si>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</si>
  <si>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</si>
  <si>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</si>
  <si>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</si>
  <si>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</si>
  <si>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</si>
  <si>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</si>
  <si>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</si>
  <si>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</si>
  <si>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</si>
  <si>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</si>
  <si>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</si>
  <si>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</si>
  <si>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</si>
  <si>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</si>
  <si>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</si>
  <si>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</si>
  <si>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</si>
  <si>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</si>
  <si>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</si>
  <si>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</si>
  <si>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</si>
  <si>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</si>
  <si>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</si>
  <si>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</si>
  <si>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</si>
  <si>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</si>
  <si>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</si>
  <si>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</si>
  <si>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</si>
  <si>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</si>
  <si>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</si>
  <si>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</si>
  <si>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</si>
  <si>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</si>
  <si>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</si>
  <si>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</si>
  <si>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</si>
  <si>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</si>
  <si>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</si>
  <si>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</si>
  <si>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</si>
  <si>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</si>
  <si>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</si>
  <si>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</si>
  <si>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</si>
  <si>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</si>
  <si>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</si>
  <si>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</si>
  <si>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</si>
  <si>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</si>
  <si>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</si>
  <si>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</si>
  <si>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</si>
  <si>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</si>
  <si>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</si>
  <si>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</si>
  <si>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</si>
  <si>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</si>
  <si>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</si>
  <si>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</si>
  <si>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</si>
  <si>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</si>
  <si>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</si>
  <si>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</si>
  <si>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</si>
  <si>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</si>
  <si>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</si>
  <si>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</si>
  <si>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</si>
  <si>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</si>
  <si>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</si>
  <si>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</si>
  <si>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</si>
  <si>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</si>
  <si>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</si>
  <si>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</si>
  <si>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</si>
  <si>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</si>
  <si>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</si>
  <si>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</si>
  <si>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</si>
  <si>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</si>
  <si>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</si>
  <si>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</si>
  <si>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</si>
  <si>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</si>
  <si>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</si>
  <si>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</si>
  <si>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</si>
  <si>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</si>
  <si>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</si>
  <si>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</si>
  <si>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</si>
  <si>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</si>
  <si>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</si>
  <si>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</si>
  <si>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</si>
  <si>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</si>
  <si>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</si>
  <si>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</si>
  <si>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</si>
  <si>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</si>
  <si>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0.50-2.00</t>
  </si>
  <si>
    <t>XXIX</t>
  </si>
  <si>
    <t>National Budget Statistics</t>
  </si>
  <si>
    <t xml:space="preserve">    NATIONAL</t>
  </si>
  <si>
    <t>TABLE-XXIX</t>
  </si>
  <si>
    <t>Revenue and Foreign Grants</t>
  </si>
  <si>
    <t>Expenditure                                    Expenditure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</si>
  <si>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</si>
  <si>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</si>
  <si>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</si>
  <si>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</si>
  <si>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</si>
  <si>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</si>
  <si>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</si>
  <si>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</si>
  <si>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</si>
  <si>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</si>
  <si>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</si>
  <si>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</si>
  <si>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</si>
  <si>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</si>
  <si>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</si>
  <si>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</si>
  <si>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</si>
  <si>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</si>
  <si>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</si>
  <si>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</si>
  <si>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</si>
  <si>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</si>
  <si>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</si>
  <si>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</si>
  <si>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</si>
  <si>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</si>
  <si>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</si>
  <si>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</si>
  <si>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</si>
  <si>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</si>
  <si>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</si>
  <si>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</si>
  <si>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</si>
  <si>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</si>
  <si>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</si>
  <si>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</si>
  <si>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</si>
  <si>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</si>
  <si>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</si>
  <si>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</si>
  <si>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</si>
  <si>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</si>
  <si>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</si>
  <si>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</si>
  <si>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</si>
  <si>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</si>
  <si>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</si>
  <si>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</si>
  <si>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</si>
  <si>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</si>
  <si>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</si>
  <si>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</si>
  <si>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</si>
  <si>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</si>
  <si>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</si>
  <si>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</si>
  <si>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</si>
  <si>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</si>
  <si>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</si>
  <si>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</si>
  <si>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</si>
  <si>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</si>
  <si>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>Cash Reserve Require-ment</t>
  </si>
  <si>
    <t>08.02.23</t>
  </si>
  <si>
    <t>15.02.23</t>
  </si>
  <si>
    <t>Cow Hides Raw                             (Tk per piece)</t>
  </si>
  <si>
    <t>BD0933351100</t>
  </si>
  <si>
    <t>15.03.23</t>
  </si>
  <si>
    <t>15.03.33</t>
  </si>
  <si>
    <t>05.03.25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</si>
  <si>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</si>
  <si>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</si>
  <si>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</si>
  <si>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</si>
  <si>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</si>
  <si>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</si>
  <si>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</si>
  <si>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</si>
  <si>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</si>
  <si>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</si>
  <si>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</si>
  <si>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</si>
  <si>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</si>
  <si>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</si>
  <si>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</si>
  <si>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</si>
  <si>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</si>
  <si>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</si>
  <si>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</si>
  <si>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</si>
  <si>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</si>
  <si>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</si>
  <si>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</si>
  <si>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</si>
  <si>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</si>
  <si>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</si>
  <si>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</si>
  <si>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</si>
  <si>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</si>
  <si>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</si>
  <si>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</si>
  <si>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</si>
  <si>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</si>
  <si>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</si>
  <si>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</si>
  <si>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</si>
  <si>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</si>
  <si>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</si>
  <si>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</si>
  <si>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</si>
  <si>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</si>
  <si>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</si>
  <si>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</si>
  <si>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</si>
  <si>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</si>
  <si>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</si>
  <si>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</si>
  <si>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</si>
  <si>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</si>
  <si>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</si>
  <si>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</si>
  <si>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</si>
  <si>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</si>
  <si>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</si>
  <si>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</si>
  <si>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</si>
  <si>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</si>
  <si>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</si>
  <si>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</si>
  <si>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</si>
  <si>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</si>
  <si>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</si>
  <si>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</si>
  <si>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</si>
  <si>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</si>
  <si>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</si>
  <si>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</si>
  <si>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</si>
  <si>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</si>
  <si>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</si>
  <si>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</si>
  <si>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</si>
  <si>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</si>
  <si>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</si>
  <si>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</si>
  <si>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</si>
  <si>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</si>
  <si>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</si>
  <si>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</si>
  <si>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</si>
  <si>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</si>
  <si>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</si>
  <si>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</si>
  <si>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</si>
  <si>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</si>
  <si>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</si>
  <si>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</si>
  <si>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</si>
  <si>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25.10.23</t>
  </si>
  <si>
    <t>Mobile Financial Services (MFS)</t>
  </si>
  <si>
    <t>No. of MFS Agents (as on)</t>
  </si>
  <si>
    <t>MFS Transactions</t>
  </si>
  <si>
    <t>No. of MFS Subscribers (as on)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</si>
  <si>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</si>
  <si>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</si>
  <si>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</si>
  <si>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</si>
  <si>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</si>
  <si>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</si>
  <si>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</si>
  <si>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</si>
  <si>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</si>
  <si>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</si>
  <si>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</si>
  <si>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</si>
  <si>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</si>
  <si>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</si>
  <si>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</si>
  <si>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</si>
  <si>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</si>
  <si>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</si>
  <si>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</si>
  <si>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</si>
  <si>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</si>
  <si>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</si>
  <si>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</si>
  <si>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</si>
  <si>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</si>
  <si>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</si>
  <si>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</si>
  <si>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</si>
  <si>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</si>
  <si>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</si>
  <si>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</si>
  <si>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</si>
  <si>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</si>
  <si>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</si>
  <si>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</si>
  <si>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</si>
  <si>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</si>
  <si>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</si>
  <si>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</si>
  <si>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</si>
  <si>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</si>
  <si>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</si>
  <si>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</si>
  <si>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>1) Export of EPZ from 2020-21 to 2022-23 are included by commodity-wise.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</si>
  <si>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</si>
  <si>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</si>
  <si>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</si>
  <si>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</si>
  <si>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</si>
  <si>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</si>
  <si>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</si>
  <si>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</si>
  <si>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</si>
  <si>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</si>
  <si>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</si>
  <si>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</si>
  <si>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</si>
  <si>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</si>
  <si>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</si>
  <si>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</si>
  <si>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</si>
  <si>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</si>
  <si>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</si>
  <si>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</si>
  <si>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</si>
  <si>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</si>
  <si>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</si>
  <si>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</si>
  <si>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</si>
  <si>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</si>
  <si>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</si>
  <si>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</si>
  <si>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</si>
  <si>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</si>
  <si>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</si>
  <si>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</si>
  <si>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</si>
  <si>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</si>
  <si>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</si>
  <si>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</si>
  <si>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</si>
  <si>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</si>
  <si>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</si>
  <si>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</si>
  <si>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</si>
  <si>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</si>
  <si>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</si>
  <si>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</si>
  <si>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</si>
  <si>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</si>
  <si>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</si>
  <si>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</si>
  <si>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</si>
  <si>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</si>
  <si>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</si>
  <si>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</si>
  <si>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</si>
  <si>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</si>
  <si>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</si>
  <si>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</si>
  <si>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</si>
  <si>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</si>
  <si>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</si>
  <si>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</si>
  <si>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</si>
  <si>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</si>
  <si>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</si>
  <si>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</si>
  <si>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</si>
  <si>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</si>
  <si>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</si>
  <si>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</si>
  <si>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</si>
  <si>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</si>
  <si>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</si>
  <si>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</si>
  <si>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</si>
  <si>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</si>
  <si>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</si>
  <si>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</si>
  <si>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</si>
  <si>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</si>
  <si>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BD0939371151</t>
  </si>
  <si>
    <t>27.03.24</t>
  </si>
  <si>
    <t>27.03.39</t>
  </si>
  <si>
    <t xml:space="preserve">Source  : </t>
  </si>
  <si>
    <t>4.50-5.00</t>
  </si>
  <si>
    <t>2.00-5.00</t>
  </si>
  <si>
    <t>4.88-5.00</t>
  </si>
  <si>
    <t>7.00-9.25</t>
  </si>
  <si>
    <t>5.50-9.50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</si>
  <si>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</si>
  <si>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</si>
  <si>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</si>
  <si>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</si>
  <si>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</si>
  <si>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</si>
  <si>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</si>
  <si>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</si>
  <si>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</si>
  <si>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</si>
  <si>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</si>
  <si>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</si>
  <si>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</si>
  <si>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</si>
  <si>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</si>
  <si>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</si>
  <si>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</si>
  <si>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</si>
  <si>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</si>
  <si>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</si>
  <si>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</si>
  <si>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</si>
  <si>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</si>
  <si>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</si>
  <si>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</si>
  <si>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</si>
  <si>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</si>
  <si>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</si>
  <si>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</si>
  <si>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</si>
  <si>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</si>
  <si>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</si>
  <si>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</si>
  <si>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</si>
  <si>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</si>
  <si>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</si>
  <si>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</si>
  <si>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</si>
  <si>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</si>
  <si>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</si>
  <si>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</si>
  <si>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</si>
  <si>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</si>
  <si>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</si>
  <si>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</si>
  <si>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</si>
  <si>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</si>
  <si>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</si>
  <si>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</si>
  <si>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</si>
  <si>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</si>
  <si>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</si>
  <si>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</si>
  <si>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</si>
  <si>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</si>
  <si>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</si>
  <si>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</si>
  <si>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</si>
  <si>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</si>
  <si>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</si>
  <si>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</si>
  <si>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</si>
  <si>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</si>
  <si>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</si>
  <si>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9.50-11.50</t>
  </si>
  <si>
    <t>13.50-14.50</t>
  </si>
  <si>
    <t>14.00-16.00</t>
  </si>
  <si>
    <t>11.55-13.55</t>
  </si>
  <si>
    <t>10.50-12.50</t>
  </si>
  <si>
    <t>2.00-3.90</t>
  </si>
  <si>
    <t>13.50-15.50</t>
  </si>
  <si>
    <t>3.00-4.00</t>
  </si>
  <si>
    <t>7.50-9.50</t>
  </si>
  <si>
    <t>5.00-14.50</t>
  </si>
  <si>
    <t>12.90-14.90</t>
  </si>
  <si>
    <t>10.00-12.00</t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</si>
  <si>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</si>
  <si>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</si>
  <si>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</si>
  <si>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</si>
  <si>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</si>
  <si>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</si>
  <si>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</si>
  <si>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</si>
  <si>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</si>
  <si>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</si>
  <si>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</si>
  <si>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</si>
  <si>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</si>
  <si>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</si>
  <si>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</si>
  <si>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</si>
  <si>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</si>
  <si>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</si>
  <si>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</si>
  <si>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BDS092901051</t>
  </si>
  <si>
    <t>06.06.29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</si>
  <si>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</si>
  <si>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</si>
  <si>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</si>
  <si>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</si>
  <si>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</si>
  <si>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</si>
  <si>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</si>
  <si>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</si>
  <si>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</si>
  <si>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</si>
  <si>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</si>
  <si>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</si>
  <si>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</si>
  <si>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</si>
  <si>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</si>
  <si>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</si>
  <si>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8.50-10.50</t>
  </si>
  <si>
    <t>2.50-5.00</t>
  </si>
  <si>
    <t>9.00-11.00</t>
  </si>
  <si>
    <t>6.00-12.00</t>
  </si>
  <si>
    <t>5.50-10.00</t>
  </si>
  <si>
    <t>2.00-3.00</t>
  </si>
  <si>
    <t>5.75-8.00</t>
  </si>
  <si>
    <t>9.00-13.00</t>
  </si>
  <si>
    <t>12.00-13.00</t>
  </si>
  <si>
    <t>14.50-16.50</t>
  </si>
  <si>
    <t>13.00-16.00</t>
  </si>
  <si>
    <t>14.00-17.00</t>
  </si>
  <si>
    <t>12.50-15.50</t>
  </si>
  <si>
    <t>13.75-15.50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</si>
  <si>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</si>
  <si>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</si>
  <si>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</si>
  <si>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</si>
  <si>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</si>
  <si>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</si>
  <si>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</si>
  <si>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</si>
  <si>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</si>
  <si>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</si>
  <si>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</si>
  <si>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</si>
  <si>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</si>
  <si>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5.00-9.00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</si>
  <si>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</si>
  <si>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</si>
  <si>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</si>
  <si>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</si>
  <si>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</si>
  <si>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</si>
  <si>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</si>
  <si>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</si>
  <si>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</si>
  <si>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</si>
  <si>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</si>
  <si>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</si>
  <si>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</si>
  <si>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7.75-8.75</t>
  </si>
  <si>
    <t>8.00-8.50</t>
  </si>
  <si>
    <t>12.00-14.50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</si>
  <si>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</si>
  <si>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</si>
  <si>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</si>
  <si>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</si>
  <si>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</si>
  <si>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</si>
  <si>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</si>
  <si>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</si>
  <si>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</si>
  <si>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</si>
  <si>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</si>
  <si>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</si>
  <si>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</si>
  <si>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</si>
  <si>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</si>
  <si>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</si>
  <si>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</si>
  <si>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</si>
  <si>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</si>
  <si>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</si>
  <si>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</si>
  <si>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</si>
  <si>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</si>
  <si>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</si>
  <si>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</si>
  <si>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</si>
  <si>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</si>
  <si>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</si>
  <si>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</si>
  <si>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</si>
  <si>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</si>
  <si>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</si>
  <si>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0.25-6.00</t>
  </si>
  <si>
    <t>13.25-15.25</t>
  </si>
  <si>
    <t>13.25-15.00</t>
  </si>
  <si>
    <t>7.50-15.00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</si>
  <si>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</si>
  <si>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</si>
  <si>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</si>
  <si>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</si>
  <si>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</si>
  <si>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</si>
  <si>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</si>
  <si>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</si>
  <si>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</si>
  <si>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</si>
  <si>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</si>
  <si>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</si>
  <si>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</si>
  <si>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</si>
  <si>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</si>
  <si>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</si>
  <si>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</si>
  <si>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</si>
  <si>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</si>
  <si>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</si>
  <si>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</si>
  <si>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7.25-10.25</t>
  </si>
  <si>
    <t>11.00-15.00</t>
  </si>
  <si>
    <t>12.50-16.50</t>
  </si>
  <si>
    <t>13.50-16.50</t>
  </si>
  <si>
    <t>13.00-15.50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</si>
  <si>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</si>
  <si>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</si>
  <si>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</si>
  <si>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</si>
  <si>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</si>
  <si>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</si>
  <si>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</si>
  <si>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</si>
  <si>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Email: mrabiul.islam@bb.org.bd</t>
  </si>
  <si>
    <t>1.00-7.50</t>
  </si>
  <si>
    <t>4.00-12.25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</si>
  <si>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</si>
  <si>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</si>
  <si>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</si>
  <si>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</si>
  <si>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</si>
  <si>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</si>
  <si>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</si>
  <si>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</si>
  <si>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</si>
  <si>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</si>
  <si>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</si>
  <si>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</si>
  <si>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</si>
  <si>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</si>
  <si>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</si>
  <si>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11.75-14.00</t>
  </si>
  <si>
    <t>11.00-13.25</t>
  </si>
  <si>
    <t>13.75-15.75</t>
  </si>
  <si>
    <t>14.25-16.00</t>
  </si>
  <si>
    <t>13.75-16.00</t>
  </si>
  <si>
    <t>2.80-3.05</t>
  </si>
  <si>
    <t>3.55-3.80</t>
  </si>
  <si>
    <t>4.55-4.80</t>
  </si>
  <si>
    <t>5.30-5.55</t>
  </si>
  <si>
    <t>5.55-5.80</t>
  </si>
  <si>
    <t>11.50-12.50</t>
  </si>
  <si>
    <t xml:space="preserve">  Currency     Outside      Banks        (3-4)</t>
  </si>
  <si>
    <t xml:space="preserve">  From    Banks</t>
  </si>
  <si>
    <t xml:space="preserve">  From       Govern-  ment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</si>
  <si>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</si>
  <si>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</si>
  <si>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</si>
  <si>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</si>
  <si>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</si>
  <si>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</si>
  <si>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</si>
  <si>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</si>
  <si>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</si>
  <si>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</si>
  <si>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>2.00-6.00</t>
  </si>
  <si>
    <t>3.00-8.00</t>
  </si>
  <si>
    <t xml:space="preserve"> 12.00-15.00</t>
  </si>
  <si>
    <t>11.00-13.50</t>
  </si>
  <si>
    <t>14.50-14.75</t>
  </si>
  <si>
    <t>13.00-15.25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</si>
  <si>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</si>
  <si>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</si>
  <si>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</si>
  <si>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</si>
  <si>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</si>
  <si>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</si>
  <si>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</si>
  <si>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</si>
  <si>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</si>
  <si>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</si>
  <si>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</si>
  <si>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</si>
  <si>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2.00-4.00</t>
  </si>
  <si>
    <t>4.50-8.00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</si>
  <si>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</si>
  <si>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</si>
  <si>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</si>
  <si>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</si>
  <si>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</si>
  <si>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</si>
  <si>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</si>
  <si>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</si>
  <si>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</si>
  <si>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</si>
  <si>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</si>
  <si>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12.50-13.50</t>
  </si>
  <si>
    <t>8.50-12.50</t>
  </si>
  <si>
    <t>12.25-13.50</t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</si>
  <si>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</si>
  <si>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</si>
  <si>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</si>
  <si>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</si>
  <si>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</si>
  <si>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</si>
  <si>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</si>
  <si>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</si>
  <si>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</si>
  <si>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</si>
  <si>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</si>
  <si>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</si>
  <si>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</si>
  <si>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</si>
  <si>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</si>
  <si>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</si>
  <si>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</si>
  <si>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4.00-13.75</t>
  </si>
  <si>
    <t>1) Export of EPZ from 2009-10 to 2019-20: Bangladesh Export Processing Zone Authority (BEPZA)</t>
  </si>
  <si>
    <t>Email:ataul.bhuiyan@bb.org.bd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</si>
  <si>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</si>
  <si>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</si>
  <si>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</si>
  <si>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</si>
  <si>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</si>
  <si>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</si>
  <si>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</si>
  <si>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</si>
  <si>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4.00-12.40</t>
  </si>
  <si>
    <t>12.25-18.00</t>
  </si>
  <si>
    <t>12.25-12.75</t>
  </si>
  <si>
    <r>
      <t>2024-25</t>
    </r>
    <r>
      <rPr>
        <b/>
        <vertAlign val="superscript"/>
        <sz val="8"/>
        <color indexed="8"/>
        <rFont val="Times New Roman"/>
        <family val="1"/>
      </rPr>
      <t>P</t>
    </r>
  </si>
  <si>
    <t>BDS093202072</t>
  </si>
  <si>
    <t>20.05.25</t>
  </si>
  <si>
    <t>20.05.32</t>
  </si>
  <si>
    <t>Ataul Karim Bhuiyan                 Additional Director (Statistics)</t>
  </si>
  <si>
    <t>Mohammed Rabiul Islam               Additional Director (Statistics)</t>
  </si>
  <si>
    <r>
      <t xml:space="preserve">Note </t>
    </r>
    <r>
      <rPr>
        <sz val="5.5"/>
        <rFont val="Times New Roman"/>
        <family val="1"/>
      </rPr>
      <t xml:space="preserve">: </t>
    </r>
  </si>
  <si>
    <t>From Other Financial Institutions</t>
  </si>
  <si>
    <t>From        Inter-    Banks</t>
  </si>
  <si>
    <t>BD0927011025</t>
  </si>
  <si>
    <t>09.07.25</t>
  </si>
  <si>
    <t>09.07.27</t>
  </si>
  <si>
    <t>BD0928011032</t>
  </si>
  <si>
    <t>09.07.28</t>
  </si>
  <si>
    <t>BD0935031106</t>
  </si>
  <si>
    <t>23.07.25</t>
  </si>
  <si>
    <t>23.07.35</t>
  </si>
  <si>
    <t>30.07.25</t>
  </si>
  <si>
    <t>BD0927041204</t>
  </si>
  <si>
    <t>25.07.07</t>
  </si>
  <si>
    <t>25.07.27</t>
  </si>
  <si>
    <r>
      <t>2025-26</t>
    </r>
    <r>
      <rPr>
        <b/>
        <vertAlign val="superscript"/>
        <sz val="8"/>
        <rFont val="Times New Roman"/>
        <family val="1"/>
      </rPr>
      <t>P</t>
    </r>
  </si>
  <si>
    <t>2025-26</t>
  </si>
  <si>
    <t>1.25-3.25</t>
  </si>
  <si>
    <t>0.05-3.13</t>
  </si>
  <si>
    <t>9.50-10.00</t>
  </si>
  <si>
    <t>0.05-4.75</t>
  </si>
  <si>
    <t>11.50-15.00</t>
  </si>
  <si>
    <t>Import (Shipment)</t>
  </si>
  <si>
    <r>
      <t>2025-26</t>
    </r>
    <r>
      <rPr>
        <b/>
        <vertAlign val="superscript"/>
        <sz val="9"/>
        <color theme="1"/>
        <rFont val="Times New Roman"/>
        <family val="1"/>
      </rPr>
      <t>P</t>
    </r>
  </si>
  <si>
    <t xml:space="preserve">With effect from 04.04.22 </t>
  </si>
  <si>
    <t>Overall Deficit     (5-17)</t>
  </si>
  <si>
    <t>Total Operating Expenditure  (6+7)</t>
  </si>
  <si>
    <t>1.Including export from EPZ to Bangladesh. 2. Export Data revised by NBR from July, 2022 to June 2024 &amp; Export data are shipment based.</t>
  </si>
  <si>
    <t>3.  The data series on Import Payments (which was on C&amp;F/CIF basis upto June 2014 and on FOB basis July 2014 onwards) has been replaced by shipment</t>
  </si>
  <si>
    <t xml:space="preserve"> based Import data series on Customs/Bill of Entry data (which is on Cost, Insurance and Freight (CIF) basis).</t>
  </si>
  <si>
    <r>
      <t>2025-26</t>
    </r>
    <r>
      <rPr>
        <b/>
        <vertAlign val="superscript"/>
        <sz val="7.5"/>
        <color theme="1"/>
        <rFont val="Times New Roman"/>
        <family val="1"/>
      </rPr>
      <t>P</t>
    </r>
  </si>
  <si>
    <r>
      <t>2025-26</t>
    </r>
    <r>
      <rPr>
        <vertAlign val="superscript"/>
        <sz val="8.5"/>
        <color theme="1"/>
        <rFont val="Times New Roman"/>
        <family val="1"/>
      </rPr>
      <t>P</t>
    </r>
  </si>
  <si>
    <t>13.08.25</t>
  </si>
  <si>
    <t>BD0940081153</t>
  </si>
  <si>
    <t>27.08.25</t>
  </si>
  <si>
    <t>27.08.40</t>
  </si>
  <si>
    <t>BD0945081208</t>
  </si>
  <si>
    <t>27.08.45</t>
  </si>
  <si>
    <t>06.08.25</t>
  </si>
  <si>
    <t>4.88-6.00</t>
  </si>
  <si>
    <t>7.50-8.25</t>
  </si>
  <si>
    <t>5.50-12.50</t>
  </si>
  <si>
    <t>11.00-11.75</t>
  </si>
  <si>
    <t>0.05-5.00</t>
  </si>
  <si>
    <t>6.00-10.50</t>
  </si>
  <si>
    <t>12.00-12.50</t>
  </si>
  <si>
    <t>13.00-13.75</t>
  </si>
  <si>
    <t>14.75-16.50</t>
  </si>
  <si>
    <t>14.50-15.50</t>
  </si>
  <si>
    <t>14.50-16.00</t>
  </si>
  <si>
    <t>15.00-17.00</t>
  </si>
  <si>
    <r>
      <t>2025-26</t>
    </r>
    <r>
      <rPr>
        <b/>
        <vertAlign val="superscript"/>
        <sz val="8"/>
        <color theme="1"/>
        <rFont val="Times New Roman"/>
        <family val="1"/>
      </rPr>
      <t>P</t>
    </r>
  </si>
  <si>
    <t xml:space="preserve"> STATISTICAL TABLES</t>
  </si>
  <si>
    <r>
      <t xml:space="preserve">             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</si>
  <si>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:</t>
    </r>
    <r>
      <rPr>
        <sz val="6"/>
        <rFont val="Times New Roman"/>
        <family val="1"/>
      </rPr>
      <t xml:space="preserve">  </t>
    </r>
  </si>
  <si>
    <r>
      <t>Note :</t>
    </r>
    <r>
      <rPr>
        <sz val="6"/>
        <rFont val="Times New Roman"/>
        <family val="1"/>
      </rPr>
      <t xml:space="preserve">  </t>
    </r>
  </si>
  <si>
    <r>
      <t>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</si>
  <si>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Note:*  MICR Cheque Clearing and Electronic Fund Transfers (outward) includes only all scheduled banks upto </t>
  </si>
  <si>
    <t>Note:  MICR= Magnetic Ink Character Recognition, ATM- Automated Teller Machine, POS- Point of Sale, CRM- Cash Recycling Machine</t>
  </si>
  <si>
    <t>Note: NAGAD has been included from September,2018 in MFS data</t>
  </si>
  <si>
    <t>Note :    </t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</si>
  <si>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</si>
  <si>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BD0930101052</t>
  </si>
  <si>
    <t>10.09.25</t>
  </si>
  <si>
    <t>10.09.30</t>
  </si>
  <si>
    <t>BD0927091027</t>
  </si>
  <si>
    <t>03.09.25</t>
  </si>
  <si>
    <t>03.09.27</t>
  </si>
  <si>
    <t>1.50-7.00</t>
  </si>
  <si>
    <t>4.00-6.25</t>
  </si>
  <si>
    <t>0.20-7.60</t>
  </si>
  <si>
    <t>0.30-8.75</t>
  </si>
  <si>
    <t>13.00-17.00</t>
  </si>
  <si>
    <t>14.20-16.20</t>
  </si>
  <si>
    <t>14.25-16.25</t>
  </si>
  <si>
    <t>7.00-14.20</t>
  </si>
  <si>
    <t>14.75-16.75</t>
  </si>
  <si>
    <t xml:space="preserve"> INFLATION RATE IN BANGLADESH (Base Index 2021-22=100)                       TABLE-VIII</t>
  </si>
  <si>
    <t>Ashish Kumar Roy</t>
  </si>
  <si>
    <t>BD0928131038</t>
  </si>
  <si>
    <t>08.10.25</t>
  </si>
  <si>
    <t>08.10.28</t>
  </si>
  <si>
    <t>3.00-8.50</t>
  </si>
  <si>
    <t>0.50-6.00</t>
  </si>
  <si>
    <t>2.00-10.50</t>
  </si>
  <si>
    <t>7.00-9.00</t>
  </si>
  <si>
    <t>12.50-15.00</t>
  </si>
  <si>
    <t>7.00-15.00</t>
  </si>
  <si>
    <t>12.00-15.00</t>
  </si>
  <si>
    <t>9.99-11.99</t>
  </si>
  <si>
    <t>7.99-15.00</t>
  </si>
  <si>
    <t>11.00-15.50</t>
  </si>
  <si>
    <t>11.50-13.82</t>
  </si>
  <si>
    <t>Email: humayun.kabir93@bb.org.bd</t>
  </si>
  <si>
    <t xml:space="preserve">Md. Humayun Kabir         </t>
  </si>
  <si>
    <r>
      <t>2025-26</t>
    </r>
    <r>
      <rPr>
        <b/>
        <vertAlign val="superscript"/>
        <sz val="8.5"/>
        <color theme="1"/>
        <rFont val="Times New Roman"/>
        <family val="1"/>
      </rPr>
      <t>P</t>
    </r>
  </si>
  <si>
    <t xml:space="preserve">Deputy Director            </t>
  </si>
  <si>
    <r>
      <t>October</t>
    </r>
    <r>
      <rPr>
        <vertAlign val="superscript"/>
        <sz val="8"/>
        <rFont val="Times New Roman"/>
        <family val="1"/>
      </rPr>
      <t>R</t>
    </r>
  </si>
  <si>
    <t>12.11.25</t>
  </si>
  <si>
    <t>BD0930211059</t>
  </si>
  <si>
    <t>30.11.25</t>
  </si>
  <si>
    <t>BD0927171027</t>
  </si>
  <si>
    <t>05.11.25</t>
  </si>
  <si>
    <t>05.11.27</t>
  </si>
  <si>
    <t>BD0935191108</t>
  </si>
  <si>
    <t>19.11.25</t>
  </si>
  <si>
    <t>19.11.35</t>
  </si>
  <si>
    <t>2.38-3.75</t>
  </si>
  <si>
    <t>4.00-4.50</t>
  </si>
  <si>
    <t>4.50-4.75</t>
  </si>
  <si>
    <t>2.000.00</t>
  </si>
  <si>
    <t>9.75-10.30</t>
  </si>
  <si>
    <t>10.50-11.00</t>
  </si>
  <si>
    <t>6.44-7.24</t>
  </si>
  <si>
    <t>9.25-10.00</t>
  </si>
  <si>
    <t>2.63-8.25</t>
  </si>
  <si>
    <t>5.25-9.50</t>
  </si>
  <si>
    <t>2.75-8.50</t>
  </si>
  <si>
    <t>5.00-9.50</t>
  </si>
  <si>
    <t>5.25-8.50</t>
  </si>
  <si>
    <t>5.25-9.75</t>
  </si>
  <si>
    <t>5.25-10.00</t>
  </si>
  <si>
    <t>5.50-9.75</t>
  </si>
  <si>
    <t>3.00-12.00</t>
  </si>
  <si>
    <t>5.12-8.50</t>
  </si>
  <si>
    <t>14.25-16.50</t>
  </si>
  <si>
    <t>12.99-16.50</t>
  </si>
  <si>
    <t>11.00-14.50</t>
  </si>
  <si>
    <t>10.00-14.00</t>
  </si>
  <si>
    <t>Budget only)</t>
  </si>
  <si>
    <t>( Revised</t>
  </si>
  <si>
    <t xml:space="preserve">E-COMMERCE STATISTICS  </t>
  </si>
  <si>
    <t>E-BANKING &amp;</t>
  </si>
  <si>
    <t xml:space="preserve">  (Taka in Million)</t>
  </si>
  <si>
    <t xml:space="preserve">BUDGET STATISTICS </t>
  </si>
  <si>
    <t>Deputy Director</t>
  </si>
  <si>
    <r>
      <t>2025-26</t>
    </r>
    <r>
      <rPr>
        <b/>
        <vertAlign val="superscript"/>
        <sz val="8"/>
        <rFont val="Times New Roman"/>
        <family val="1"/>
      </rPr>
      <t>p</t>
    </r>
  </si>
  <si>
    <r>
      <t>2024-25</t>
    </r>
    <r>
      <rPr>
        <vertAlign val="superscript"/>
        <sz val="8"/>
        <color indexed="8"/>
        <rFont val="Times New Roman"/>
        <family val="1"/>
      </rPr>
      <t>P</t>
    </r>
  </si>
  <si>
    <t>30.11.30</t>
  </si>
  <si>
    <t>10.12.25</t>
  </si>
  <si>
    <t>03.12.25</t>
  </si>
  <si>
    <t>0.00-2.75</t>
  </si>
  <si>
    <t>0.00-3.25</t>
  </si>
  <si>
    <t>0.00-5.75</t>
  </si>
  <si>
    <t>0.00-6.00</t>
  </si>
  <si>
    <t>0.00-8.50</t>
  </si>
  <si>
    <t>8.25-8.75</t>
  </si>
  <si>
    <t>1.25-7.00</t>
  </si>
  <si>
    <t>9.00-10.00</t>
  </si>
  <si>
    <t>9.50-9.75</t>
  </si>
  <si>
    <t>9.90-11.90</t>
  </si>
  <si>
    <t>8.00-10.00</t>
  </si>
  <si>
    <t>11.50-14.00</t>
  </si>
  <si>
    <t>10.90-12.90</t>
  </si>
  <si>
    <t>10.50-13.00</t>
  </si>
  <si>
    <t>13.00-14.75</t>
  </si>
  <si>
    <t>7.50-14.50</t>
  </si>
  <si>
    <t>PROFIT RATE STRUCTURE OF THE ISLAMIC BANKS, 2024</t>
  </si>
  <si>
    <r>
      <t>2023-24</t>
    </r>
    <r>
      <rPr>
        <b/>
        <vertAlign val="superscript"/>
        <sz val="8"/>
        <rFont val="Times New Roman"/>
        <family val="1"/>
      </rPr>
      <t>R</t>
    </r>
  </si>
  <si>
    <t>R= Revised</t>
  </si>
  <si>
    <r>
      <t>2024-25</t>
    </r>
    <r>
      <rPr>
        <b/>
        <vertAlign val="superscript"/>
        <sz val="8"/>
        <rFont val="Times New Roman"/>
        <family val="1"/>
      </rPr>
      <t>R</t>
    </r>
  </si>
  <si>
    <t>BD0929261032</t>
  </si>
  <si>
    <t>07.01.26</t>
  </si>
  <si>
    <t>07.01.29</t>
  </si>
  <si>
    <t xml:space="preserve"> Data of Bangladesh Govt. Investment Sukuk and other Treasury bond updated  as on 31 January, 2026</t>
  </si>
  <si>
    <t xml:space="preserve">Shawkat Hossain Shoaib             Joint Director      </t>
  </si>
  <si>
    <t>Email: sh.shoaib@bb.org.bd</t>
  </si>
  <si>
    <t>2.79</t>
  </si>
  <si>
    <t>3.00</t>
  </si>
  <si>
    <t>2.75</t>
  </si>
  <si>
    <t>5.00</t>
  </si>
  <si>
    <t>4.50</t>
  </si>
  <si>
    <t>3.25</t>
  </si>
  <si>
    <t>2.00</t>
  </si>
  <si>
    <t>4.25</t>
  </si>
  <si>
    <t>2.50</t>
  </si>
  <si>
    <t>2.60</t>
  </si>
  <si>
    <t>3.38</t>
  </si>
  <si>
    <t>4.00</t>
  </si>
  <si>
    <t>2.13</t>
  </si>
  <si>
    <t>2.25</t>
  </si>
  <si>
    <t>2.97</t>
  </si>
  <si>
    <t>3.50</t>
  </si>
  <si>
    <t>6.00</t>
  </si>
  <si>
    <t>3.22</t>
  </si>
  <si>
    <t>3.75</t>
  </si>
  <si>
    <t>8.00</t>
  </si>
  <si>
    <t>3.60</t>
  </si>
  <si>
    <t>8.50</t>
  </si>
  <si>
    <t>3.85</t>
  </si>
  <si>
    <t>4.38</t>
  </si>
  <si>
    <t>10.00</t>
  </si>
  <si>
    <t>6.32</t>
  </si>
  <si>
    <t>7.00</t>
  </si>
  <si>
    <t>8.25</t>
  </si>
  <si>
    <t>8.50-9.25</t>
  </si>
  <si>
    <t>12.00</t>
  </si>
  <si>
    <t>9.25</t>
  </si>
  <si>
    <t>6.88</t>
  </si>
  <si>
    <t>8.63</t>
  </si>
  <si>
    <t>8.75</t>
  </si>
  <si>
    <t>9.50</t>
  </si>
  <si>
    <t>7.23</t>
  </si>
  <si>
    <t>9.00</t>
  </si>
  <si>
    <t>7.45</t>
  </si>
  <si>
    <t>6.25</t>
  </si>
  <si>
    <t>0.00</t>
  </si>
  <si>
    <t>1.50</t>
  </si>
  <si>
    <t>0.50</t>
  </si>
  <si>
    <t>1.00</t>
  </si>
  <si>
    <t>1.75</t>
  </si>
  <si>
    <t>7.00-8.00</t>
  </si>
  <si>
    <t>2.50-7.50</t>
  </si>
  <si>
    <t>10.50</t>
  </si>
  <si>
    <t>7.10-8.10</t>
  </si>
  <si>
    <t>5.50-12.25</t>
  </si>
  <si>
    <t>11.50</t>
  </si>
  <si>
    <t>7.20-9.50</t>
  </si>
  <si>
    <t>0.75</t>
  </si>
  <si>
    <t>0.50-3.50</t>
  </si>
  <si>
    <t>0.05</t>
  </si>
  <si>
    <t>1.25</t>
  </si>
  <si>
    <t>0.20</t>
  </si>
  <si>
    <t>0.25</t>
  </si>
  <si>
    <t>5.50</t>
  </si>
  <si>
    <t>0.30</t>
  </si>
  <si>
    <t>0.40</t>
  </si>
  <si>
    <t>0.55</t>
  </si>
  <si>
    <t>0.80</t>
  </si>
  <si>
    <t>0.10</t>
  </si>
  <si>
    <t>6.34-9.16</t>
  </si>
  <si>
    <t>Assistant Director </t>
  </si>
  <si>
    <t xml:space="preserve">Akash Saha  </t>
  </si>
  <si>
    <t xml:space="preserve">Assistant Director      </t>
  </si>
  <si>
    <t>Email: akash.saha@bb.org.bd</t>
  </si>
  <si>
    <r>
      <t>2025-26</t>
    </r>
    <r>
      <rPr>
        <b/>
        <vertAlign val="superscript"/>
        <sz val="8"/>
        <rFont val="Times New Roman"/>
        <family val="1"/>
      </rPr>
      <t>R</t>
    </r>
  </si>
  <si>
    <t>25.02.26</t>
  </si>
  <si>
    <t>05.02.26</t>
  </si>
  <si>
    <t>18.02.26</t>
  </si>
  <si>
    <t>Data Of BD(Govt) Treasury Bond updated  as on 28 February, 2026</t>
  </si>
  <si>
    <t>3.00-6.50</t>
  </si>
  <si>
    <t>0.00-2.50</t>
  </si>
  <si>
    <t>1.00-6.50</t>
  </si>
  <si>
    <t>8.13-8.75</t>
  </si>
  <si>
    <t>10.75-11.25</t>
  </si>
  <si>
    <t>6.25-10.25</t>
  </si>
  <si>
    <t>9.00-11.25</t>
  </si>
  <si>
    <t>7.75-8.50</t>
  </si>
  <si>
    <t>10.75-11.00</t>
  </si>
  <si>
    <t>8.50-11.50</t>
  </si>
  <si>
    <t>2.75-12.00</t>
  </si>
  <si>
    <t>3.50-12.00</t>
  </si>
  <si>
    <t>4.00-12.50</t>
  </si>
  <si>
    <t>9.50-13.00</t>
  </si>
  <si>
    <t>11.75-13.75</t>
  </si>
  <si>
    <t>13.33-14.67</t>
  </si>
  <si>
    <t>13.50-15.00</t>
  </si>
  <si>
    <t>4.00-13.50</t>
  </si>
  <si>
    <t>12.25-14.25</t>
  </si>
  <si>
    <t>11.00-12.25</t>
  </si>
  <si>
    <t>6.00-13.00</t>
  </si>
  <si>
    <t>10.50-13.78</t>
  </si>
  <si>
    <t>10.00-15.00</t>
  </si>
  <si>
    <t>11.50-18.00</t>
  </si>
  <si>
    <t>15.25-16.50</t>
  </si>
  <si>
    <t>6.00-8.00</t>
  </si>
  <si>
    <t>April 2026</t>
  </si>
  <si>
    <t>Exports (Shipment)</t>
  </si>
  <si>
    <t xml:space="preserve">2) Statistics Department,   Bangladesh Bank     </t>
  </si>
  <si>
    <t>31.03.26</t>
  </si>
  <si>
    <t>04.03.26</t>
  </si>
  <si>
    <t>24.03.26</t>
  </si>
  <si>
    <t>11.03.26</t>
  </si>
  <si>
    <t xml:space="preserve"> IN BANGLADESH (EXCEPT ISLAMIC BANKS), March 2026</t>
  </si>
  <si>
    <t xml:space="preserve"> IN BANGLADESH (EXCEPT ISLAMIC BANKS), March 2025</t>
  </si>
  <si>
    <t>0.04-1.97</t>
  </si>
  <si>
    <t>2.500.00</t>
  </si>
  <si>
    <t>1.50-9.40</t>
  </si>
  <si>
    <t>3.000.00</t>
  </si>
  <si>
    <t>4.39-7.34</t>
  </si>
  <si>
    <t>2.00-5.25</t>
  </si>
  <si>
    <t>6.000.00</t>
  </si>
  <si>
    <t>0.51-5.45</t>
  </si>
  <si>
    <t>5.000.00</t>
  </si>
  <si>
    <t>6.50</t>
  </si>
  <si>
    <t>4.290.00</t>
  </si>
  <si>
    <t>2.750.00</t>
  </si>
  <si>
    <t>3.61-4.27</t>
  </si>
  <si>
    <t>7.000.00</t>
  </si>
  <si>
    <t>3.790.00</t>
  </si>
  <si>
    <t>4.000.00</t>
  </si>
  <si>
    <t>4.040.00</t>
  </si>
  <si>
    <t>1.13</t>
  </si>
  <si>
    <t>3.540.00</t>
  </si>
  <si>
    <t>0.000.00</t>
  </si>
  <si>
    <t>9.06</t>
  </si>
  <si>
    <t>5.24-7.79</t>
  </si>
  <si>
    <t>7.50</t>
  </si>
  <si>
    <t>3.00-7.63</t>
  </si>
  <si>
    <t>8.25-10.00</t>
  </si>
  <si>
    <t>10.000.00</t>
  </si>
  <si>
    <t>8.93-9.35</t>
  </si>
  <si>
    <t>9.750.00</t>
  </si>
  <si>
    <t>2.030.00</t>
  </si>
  <si>
    <t>5.00-7.35</t>
  </si>
  <si>
    <t>9.250.00</t>
  </si>
  <si>
    <t>5.45-7.99</t>
  </si>
  <si>
    <t>7.38-9.25</t>
  </si>
  <si>
    <t>10.500.00</t>
  </si>
  <si>
    <t>9.10-9.38</t>
  </si>
  <si>
    <t>2.56-8.58</t>
  </si>
  <si>
    <t>6.88-7.75</t>
  </si>
  <si>
    <t>4.50-9.75</t>
  </si>
  <si>
    <t>4.50-10.00</t>
  </si>
  <si>
    <t>5.75-9.90</t>
  </si>
  <si>
    <t>10.30</t>
  </si>
  <si>
    <t>4.50-9.25</t>
  </si>
  <si>
    <t>5.750.00</t>
  </si>
  <si>
    <t>1.75-10.50</t>
  </si>
  <si>
    <t>3.60-8.58</t>
  </si>
  <si>
    <t>6.63-7.75</t>
  </si>
  <si>
    <t>4.50-9.60</t>
  </si>
  <si>
    <t>4.75</t>
  </si>
  <si>
    <t>8.38</t>
  </si>
  <si>
    <t>8.35</t>
  </si>
  <si>
    <t>11.00</t>
  </si>
  <si>
    <t>10.61</t>
  </si>
  <si>
    <t>9.18-9.50</t>
  </si>
  <si>
    <t>4.50-9.50</t>
  </si>
  <si>
    <t>8.750.00</t>
  </si>
  <si>
    <t>3.52-8.58</t>
  </si>
  <si>
    <t>8.500.00</t>
  </si>
  <si>
    <t>5.38-8.63</t>
  </si>
  <si>
    <t>6.75-7.80</t>
  </si>
  <si>
    <t>8.00-9.25</t>
  </si>
  <si>
    <t>7.75</t>
  </si>
  <si>
    <t>10.68</t>
  </si>
  <si>
    <t>9.25-9.50</t>
  </si>
  <si>
    <t>1.03</t>
  </si>
  <si>
    <t>9.75</t>
  </si>
  <si>
    <t>10.00-14.75</t>
  </si>
  <si>
    <t>4.00-13.99</t>
  </si>
  <si>
    <t>10.75-12.88</t>
  </si>
  <si>
    <t>10.50-14.55</t>
  </si>
  <si>
    <t>10.59-12.09</t>
  </si>
  <si>
    <t>9.90-13.50</t>
  </si>
  <si>
    <t>9.00-15.00</t>
  </si>
  <si>
    <t>10.59-12.59</t>
  </si>
  <si>
    <t>5.00-13.50</t>
  </si>
  <si>
    <t>Bank-wise Announced Interest Rate Structure in Bangladesh (Except Islamic Banks), March 2026</t>
  </si>
</sst>
</file>

<file path=xl/styles.xml><?xml version="1.0" encoding="utf-8"?>
<styleSheet xmlns="http://schemas.openxmlformats.org/spreadsheetml/2006/main">
  <numFmts count="22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  <numFmt numFmtId="183" formatCode="_(* #,##0.0_);_(* \(#,##0.0\);_(* &quot;-&quot;??_);_(@_)"/>
    <numFmt numFmtId="184" formatCode="_(* #,##0.0_);_(* \(#,##0.0\);_(* &quot;-&quot;?_);_(@_)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Times New Roman"/>
      <family val="1"/>
    </font>
    <font>
      <sz val="5.5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20"/>
      <name val="Times New Roman"/>
      <family val="1"/>
    </font>
    <font>
      <sz val="8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276">
    <xf numFmtId="0" fontId="0" fillId="0" borderId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" fillId="0" borderId="0"/>
    <xf numFmtId="0" fontId="169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1" fillId="0" borderId="0"/>
    <xf numFmtId="0" fontId="1" fillId="0" borderId="0"/>
    <xf numFmtId="0" fontId="1" fillId="0" borderId="0"/>
    <xf numFmtId="0" fontId="7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89" fillId="0" borderId="0"/>
    <xf numFmtId="0" fontId="189" fillId="0" borderId="0"/>
    <xf numFmtId="0" fontId="189" fillId="0" borderId="0"/>
    <xf numFmtId="179" fontId="3" fillId="0" borderId="0" applyFill="0" applyBorder="0" applyAlignment="0" applyProtection="0"/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89" fillId="0" borderId="0"/>
  </cellStyleXfs>
  <cellXfs count="2656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09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09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0" fillId="0" borderId="0" xfId="0" applyFont="1" applyFill="1" applyBorder="1"/>
    <xf numFmtId="0" fontId="63" fillId="0" borderId="0" xfId="0" applyFont="1" applyFill="1" applyBorder="1"/>
    <xf numFmtId="0" fontId="111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0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7" fillId="2" borderId="0" xfId="0" applyFont="1" applyFill="1" applyBorder="1"/>
    <xf numFmtId="0" fontId="67" fillId="0" borderId="0" xfId="0" applyFont="1" applyFill="1" applyBorder="1" applyAlignment="1"/>
    <xf numFmtId="172" fontId="67" fillId="0" borderId="0" xfId="0" applyNumberFormat="1" applyFont="1" applyFill="1" applyBorder="1" applyAlignment="1"/>
    <xf numFmtId="49" fontId="67" fillId="0" borderId="0" xfId="0" applyNumberFormat="1" applyFont="1" applyFill="1" applyBorder="1" applyAlignment="1"/>
    <xf numFmtId="0" fontId="67" fillId="2" borderId="0" xfId="0" applyFont="1" applyFill="1" applyBorder="1" applyAlignment="1"/>
    <xf numFmtId="2" fontId="109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6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vertical="center" wrapText="1"/>
    </xf>
    <xf numFmtId="0" fontId="112" fillId="0" borderId="0" xfId="0" applyFont="1" applyFill="1" applyBorder="1"/>
    <xf numFmtId="0" fontId="114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vertical="center"/>
    </xf>
    <xf numFmtId="0" fontId="116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horizontal="center" vertical="center"/>
    </xf>
    <xf numFmtId="0" fontId="112" fillId="0" borderId="0" xfId="0" applyFont="1" applyBorder="1"/>
    <xf numFmtId="0" fontId="71" fillId="34" borderId="0" xfId="0" applyFont="1" applyFill="1" applyAlignment="1">
      <alignment horizontal="center" vertical="center"/>
    </xf>
    <xf numFmtId="0" fontId="71" fillId="34" borderId="0" xfId="0" applyFont="1" applyFill="1" applyBorder="1" applyAlignment="1">
      <alignment vertical="center"/>
    </xf>
    <xf numFmtId="0" fontId="73" fillId="34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4" fillId="34" borderId="0" xfId="0" applyFont="1" applyFill="1" applyBorder="1" applyAlignment="1">
      <alignment horizontal="left" vertical="top" wrapText="1"/>
    </xf>
    <xf numFmtId="0" fontId="74" fillId="0" borderId="0" xfId="0" applyFont="1" applyFill="1" applyBorder="1" applyAlignment="1">
      <alignment horizontal="left" vertical="top" wrapText="1"/>
    </xf>
    <xf numFmtId="0" fontId="75" fillId="34" borderId="0" xfId="0" applyFont="1" applyFill="1" applyAlignment="1">
      <alignment horizontal="left"/>
    </xf>
    <xf numFmtId="0" fontId="72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1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3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vertical="center"/>
    </xf>
    <xf numFmtId="0" fontId="78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7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7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 vertical="center"/>
    </xf>
    <xf numFmtId="0" fontId="109" fillId="0" borderId="0" xfId="0" applyFont="1" applyFill="1" applyBorder="1" applyAlignment="1">
      <alignment horizontal="center" vertical="center"/>
    </xf>
    <xf numFmtId="0" fontId="81" fillId="0" borderId="0" xfId="0" applyFont="1" applyBorder="1"/>
    <xf numFmtId="0" fontId="81" fillId="0" borderId="0" xfId="0" applyFont="1" applyBorder="1" applyAlignment="1"/>
    <xf numFmtId="0" fontId="81" fillId="0" borderId="0" xfId="0" applyFont="1" applyBorder="1" applyAlignment="1">
      <alignment horizontal="center"/>
    </xf>
    <xf numFmtId="0" fontId="81" fillId="0" borderId="0" xfId="0" applyFont="1"/>
    <xf numFmtId="164" fontId="81" fillId="0" borderId="0" xfId="0" applyNumberFormat="1" applyFont="1" applyBorder="1" applyAlignment="1">
      <alignment horizontal="center"/>
    </xf>
    <xf numFmtId="0" fontId="81" fillId="0" borderId="0" xfId="0" applyFont="1" applyAlignment="1"/>
    <xf numFmtId="0" fontId="15" fillId="35" borderId="0" xfId="0" applyFont="1" applyFill="1" applyBorder="1"/>
    <xf numFmtId="164" fontId="117" fillId="34" borderId="0" xfId="0" applyNumberFormat="1" applyFont="1" applyFill="1" applyBorder="1" applyAlignment="1">
      <alignment horizontal="center" vertical="center" wrapText="1"/>
    </xf>
    <xf numFmtId="164" fontId="117" fillId="0" borderId="0" xfId="0" applyNumberFormat="1" applyFont="1" applyFill="1" applyBorder="1" applyAlignment="1">
      <alignment horizontal="center" wrapText="1"/>
    </xf>
    <xf numFmtId="164" fontId="117" fillId="34" borderId="0" xfId="0" applyNumberFormat="1" applyFont="1" applyFill="1" applyBorder="1" applyAlignment="1">
      <alignment horizontal="center" wrapText="1"/>
    </xf>
    <xf numFmtId="164" fontId="109" fillId="34" borderId="0" xfId="0" applyNumberFormat="1" applyFont="1" applyFill="1" applyBorder="1" applyAlignment="1">
      <alignment horizontal="center" vertical="center" wrapText="1"/>
    </xf>
    <xf numFmtId="164" fontId="109" fillId="34" borderId="0" xfId="0" applyNumberFormat="1" applyFont="1" applyFill="1" applyBorder="1" applyAlignment="1">
      <alignment horizontal="center" vertical="center"/>
    </xf>
    <xf numFmtId="164" fontId="117" fillId="0" borderId="0" xfId="0" applyNumberFormat="1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09" fillId="0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7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wrapText="1"/>
    </xf>
    <xf numFmtId="0" fontId="117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7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164" fontId="15" fillId="0" borderId="0" xfId="0" applyNumberFormat="1" applyFont="1" applyFill="1" applyAlignment="1">
      <alignment horizontal="center"/>
    </xf>
    <xf numFmtId="164" fontId="117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0" fillId="0" borderId="2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0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18" fillId="0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8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7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0" fillId="0" borderId="0" xfId="0" applyFont="1" applyFill="1" applyBorder="1" applyAlignment="1">
      <alignment vertical="center"/>
    </xf>
    <xf numFmtId="0" fontId="120" fillId="0" borderId="0" xfId="0" applyFont="1" applyFill="1" applyBorder="1" applyAlignment="1">
      <alignment vertical="center" wrapText="1"/>
    </xf>
    <xf numFmtId="0" fontId="120" fillId="0" borderId="0" xfId="0" applyFont="1" applyFill="1" applyAlignment="1">
      <alignment vertical="center"/>
    </xf>
    <xf numFmtId="0" fontId="124" fillId="0" borderId="2" xfId="0" applyFont="1" applyFill="1" applyBorder="1" applyAlignment="1">
      <alignment horizontal="center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109" fillId="0" borderId="0" xfId="0" applyFont="1" applyFill="1"/>
    <xf numFmtId="0" fontId="119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09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19" fillId="0" borderId="0" xfId="0" applyFont="1" applyFill="1" applyBorder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2" fillId="0" borderId="0" xfId="0" applyFont="1" applyFill="1" applyBorder="1" applyAlignment="1">
      <alignment vertical="center"/>
    </xf>
    <xf numFmtId="2" fontId="126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08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0" fillId="0" borderId="0" xfId="0" applyFont="1" applyBorder="1"/>
    <xf numFmtId="0" fontId="131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8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" fontId="11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8" fillId="0" borderId="0" xfId="0" applyFont="1" applyAlignment="1">
      <alignment horizontal="left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1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6" fillId="0" borderId="0" xfId="0" applyNumberFormat="1" applyFont="1" applyBorder="1" applyAlignment="1">
      <alignment wrapText="1"/>
    </xf>
    <xf numFmtId="0" fontId="137" fillId="0" borderId="0" xfId="0" applyFont="1" applyBorder="1" applyAlignment="1">
      <alignment wrapText="1"/>
    </xf>
    <xf numFmtId="2" fontId="138" fillId="0" borderId="0" xfId="0" applyNumberFormat="1" applyFont="1" applyBorder="1"/>
    <xf numFmtId="2" fontId="32" fillId="0" borderId="0" xfId="0" applyNumberFormat="1" applyFont="1" applyBorder="1"/>
    <xf numFmtId="0" fontId="138" fillId="0" borderId="0" xfId="0" applyFont="1" applyBorder="1"/>
    <xf numFmtId="0" fontId="145" fillId="2" borderId="0" xfId="0" applyFont="1" applyFill="1" applyBorder="1"/>
    <xf numFmtId="0" fontId="146" fillId="0" borderId="0" xfId="0" applyFont="1" applyBorder="1" applyAlignment="1">
      <alignment wrapText="1"/>
    </xf>
    <xf numFmtId="0" fontId="147" fillId="0" borderId="10" xfId="0" applyFont="1" applyBorder="1" applyAlignment="1">
      <alignment vertical="top" wrapText="1"/>
    </xf>
    <xf numFmtId="0" fontId="146" fillId="0" borderId="0" xfId="0" applyFont="1" applyBorder="1"/>
    <xf numFmtId="0" fontId="146" fillId="2" borderId="10" xfId="0" applyFont="1" applyFill="1" applyBorder="1"/>
    <xf numFmtId="0" fontId="146" fillId="2" borderId="0" xfId="0" applyFont="1" applyFill="1" applyBorder="1"/>
    <xf numFmtId="0" fontId="146" fillId="2" borderId="11" xfId="0" applyFont="1" applyFill="1" applyBorder="1"/>
    <xf numFmtId="0" fontId="146" fillId="0" borderId="10" xfId="0" applyFont="1" applyBorder="1" applyAlignment="1">
      <alignment wrapText="1"/>
    </xf>
    <xf numFmtId="0" fontId="149" fillId="2" borderId="10" xfId="0" applyFont="1" applyFill="1" applyBorder="1"/>
    <xf numFmtId="0" fontId="69" fillId="2" borderId="0" xfId="0" applyFont="1" applyFill="1" applyBorder="1"/>
    <xf numFmtId="0" fontId="69" fillId="2" borderId="11" xfId="0" applyFont="1" applyFill="1" applyBorder="1"/>
    <xf numFmtId="0" fontId="150" fillId="2" borderId="0" xfId="0" applyFont="1" applyFill="1" applyBorder="1"/>
    <xf numFmtId="0" fontId="151" fillId="0" borderId="0" xfId="0" applyFont="1" applyBorder="1" applyAlignment="1">
      <alignment horizontal="center"/>
    </xf>
    <xf numFmtId="0" fontId="153" fillId="0" borderId="7" xfId="0" applyFont="1" applyFill="1" applyBorder="1"/>
    <xf numFmtId="0" fontId="153" fillId="0" borderId="8" xfId="0" applyFont="1" applyFill="1" applyBorder="1"/>
    <xf numFmtId="0" fontId="153" fillId="0" borderId="9" xfId="0" applyFont="1" applyFill="1" applyBorder="1"/>
    <xf numFmtId="0" fontId="154" fillId="2" borderId="10" xfId="0" applyFont="1" applyFill="1" applyBorder="1"/>
    <xf numFmtId="0" fontId="154" fillId="2" borderId="0" xfId="0" applyFont="1" applyFill="1" applyBorder="1"/>
    <xf numFmtId="0" fontId="154" fillId="2" borderId="11" xfId="0" applyFont="1" applyFill="1" applyBorder="1"/>
    <xf numFmtId="0" fontId="153" fillId="2" borderId="10" xfId="0" applyFont="1" applyFill="1" applyBorder="1"/>
    <xf numFmtId="0" fontId="153" fillId="2" borderId="0" xfId="0" applyFont="1" applyFill="1" applyBorder="1"/>
    <xf numFmtId="0" fontId="153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3" fillId="0" borderId="0" xfId="232" applyFont="1" applyBorder="1"/>
    <xf numFmtId="0" fontId="123" fillId="0" borderId="0" xfId="232" applyFont="1"/>
    <xf numFmtId="0" fontId="155" fillId="0" borderId="0" xfId="0" applyFont="1" applyBorder="1" applyAlignment="1">
      <alignment wrapText="1"/>
    </xf>
    <xf numFmtId="0" fontId="156" fillId="0" borderId="0" xfId="0" applyFont="1"/>
    <xf numFmtId="0" fontId="157" fillId="0" borderId="0" xfId="0" applyFont="1" applyAlignment="1">
      <alignment horizontal="left"/>
    </xf>
    <xf numFmtId="0" fontId="158" fillId="0" borderId="0" xfId="0" applyFont="1" applyBorder="1" applyAlignment="1">
      <alignment wrapText="1"/>
    </xf>
    <xf numFmtId="0" fontId="47" fillId="0" borderId="0" xfId="0" applyFont="1" applyAlignment="1"/>
    <xf numFmtId="0" fontId="159" fillId="0" borderId="0" xfId="232" applyFont="1" applyAlignment="1"/>
    <xf numFmtId="0" fontId="122" fillId="0" borderId="2" xfId="0" applyFont="1" applyBorder="1" applyAlignment="1">
      <alignment horizontal="center" vertical="center" wrapText="1"/>
    </xf>
    <xf numFmtId="0" fontId="109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59" fillId="0" borderId="0" xfId="0" applyFont="1" applyAlignment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7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0" fillId="0" borderId="0" xfId="0" applyFont="1" applyBorder="1" applyAlignment="1">
      <alignment horizontal="center"/>
    </xf>
    <xf numFmtId="0" fontId="120" fillId="0" borderId="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 wrapText="1"/>
    </xf>
    <xf numFmtId="0" fontId="109" fillId="34" borderId="2" xfId="0" applyFont="1" applyFill="1" applyBorder="1"/>
    <xf numFmtId="0" fontId="109" fillId="0" borderId="2" xfId="0" applyFont="1" applyBorder="1"/>
    <xf numFmtId="2" fontId="109" fillId="0" borderId="2" xfId="0" applyNumberFormat="1" applyFont="1" applyBorder="1" applyAlignment="1">
      <alignment horizontal="center" vertical="center"/>
    </xf>
    <xf numFmtId="2" fontId="109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1" fillId="0" borderId="0" xfId="0" applyFont="1" applyBorder="1" applyAlignment="1"/>
    <xf numFmtId="0" fontId="109" fillId="0" borderId="44" xfId="0" applyFont="1" applyBorder="1" applyAlignment="1">
      <alignment horizontal="center" vertical="center" wrapText="1"/>
    </xf>
    <xf numFmtId="2" fontId="109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09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7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3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09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/>
    <xf numFmtId="1" fontId="109" fillId="34" borderId="0" xfId="0" applyNumberFormat="1" applyFont="1" applyFill="1"/>
    <xf numFmtId="164" fontId="109" fillId="34" borderId="0" xfId="0" applyNumberFormat="1" applyFont="1" applyFill="1"/>
    <xf numFmtId="0" fontId="109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52" fillId="0" borderId="0" xfId="0" applyFont="1" applyBorder="1" applyAlignment="1"/>
    <xf numFmtId="0" fontId="145" fillId="2" borderId="0" xfId="0" applyFont="1" applyFill="1" applyBorder="1" applyAlignment="1">
      <alignment wrapText="1"/>
    </xf>
    <xf numFmtId="0" fontId="152" fillId="0" borderId="0" xfId="0" applyFont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/>
    </xf>
    <xf numFmtId="0" fontId="147" fillId="0" borderId="0" xfId="0" applyFont="1" applyBorder="1" applyAlignment="1">
      <alignment horizontal="left" wrapText="1"/>
    </xf>
    <xf numFmtId="0" fontId="147" fillId="0" borderId="11" xfId="0" applyFont="1" applyBorder="1" applyAlignment="1">
      <alignment horizontal="left" wrapText="1"/>
    </xf>
    <xf numFmtId="0" fontId="146" fillId="2" borderId="0" xfId="0" applyFont="1" applyFill="1" applyBorder="1" applyAlignment="1">
      <alignment horizontal="left"/>
    </xf>
    <xf numFmtId="0" fontId="146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3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0" fontId="123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5" fillId="0" borderId="0" xfId="0" applyFont="1" applyFill="1" applyBorder="1" applyAlignment="1">
      <alignment wrapText="1"/>
    </xf>
    <xf numFmtId="1" fontId="1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3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09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1" fontId="127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1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166" fontId="14" fillId="0" borderId="0" xfId="0" applyNumberFormat="1" applyFont="1"/>
    <xf numFmtId="0" fontId="81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36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09" fillId="0" borderId="51" xfId="0" applyFont="1" applyBorder="1"/>
    <xf numFmtId="2" fontId="109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7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122" fillId="0" borderId="41" xfId="0" applyFont="1" applyBorder="1" applyAlignment="1"/>
    <xf numFmtId="166" fontId="15" fillId="0" borderId="0" xfId="0" applyNumberFormat="1" applyFont="1" applyFill="1" applyBorder="1"/>
    <xf numFmtId="0" fontId="156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7" fillId="34" borderId="0" xfId="0" applyNumberFormat="1" applyFont="1" applyFill="1" applyBorder="1" applyAlignment="1">
      <alignment horizontal="center"/>
    </xf>
    <xf numFmtId="164" fontId="117" fillId="0" borderId="0" xfId="0" applyNumberFormat="1" applyFont="1" applyFill="1" applyBorder="1" applyAlignment="1">
      <alignment horizontal="center"/>
    </xf>
    <xf numFmtId="164" fontId="117" fillId="34" borderId="0" xfId="0" applyNumberFormat="1" applyFont="1" applyFill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34" fillId="0" borderId="0" xfId="0" applyFont="1" applyAlignment="1">
      <alignment horizontal="right"/>
    </xf>
    <xf numFmtId="0" fontId="119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center"/>
    </xf>
    <xf numFmtId="2" fontId="135" fillId="0" borderId="0" xfId="0" applyNumberFormat="1" applyFont="1" applyFill="1" applyBorder="1" applyAlignment="1">
      <alignment horizontal="center" vertical="center"/>
    </xf>
    <xf numFmtId="2" fontId="135" fillId="34" borderId="0" xfId="0" applyNumberFormat="1" applyFont="1" applyFill="1" applyBorder="1" applyAlignment="1">
      <alignment horizontal="center" vertical="center"/>
    </xf>
    <xf numFmtId="0" fontId="173" fillId="34" borderId="0" xfId="0" applyFont="1" applyFill="1" applyBorder="1" applyAlignment="1">
      <alignment horizontal="left" vertical="center" wrapText="1"/>
    </xf>
    <xf numFmtId="0" fontId="135" fillId="0" borderId="0" xfId="0" applyFont="1" applyFill="1" applyBorder="1" applyAlignment="1">
      <alignment horizontal="left" vertical="center" wrapText="1"/>
    </xf>
    <xf numFmtId="0" fontId="135" fillId="34" borderId="0" xfId="0" applyFont="1" applyFill="1" applyBorder="1" applyAlignment="1">
      <alignment horizontal="left" vertical="center" wrapText="1"/>
    </xf>
    <xf numFmtId="0" fontId="173" fillId="34" borderId="0" xfId="0" applyFont="1" applyFill="1" applyBorder="1" applyAlignment="1">
      <alignment horizontal="right" vertical="center" wrapText="1"/>
    </xf>
    <xf numFmtId="0" fontId="135" fillId="0" borderId="0" xfId="0" applyFont="1" applyFill="1" applyBorder="1" applyAlignment="1">
      <alignment horizontal="right" vertical="center" wrapText="1"/>
    </xf>
    <xf numFmtId="0" fontId="135" fillId="34" borderId="0" xfId="0" applyFont="1" applyFill="1" applyBorder="1" applyAlignment="1">
      <alignment horizontal="right" vertical="center" wrapText="1"/>
    </xf>
    <xf numFmtId="0" fontId="173" fillId="0" borderId="0" xfId="0" applyFont="1" applyFill="1" applyBorder="1" applyAlignment="1">
      <alignment horizontal="left" vertical="center" wrapText="1"/>
    </xf>
    <xf numFmtId="0" fontId="173" fillId="0" borderId="0" xfId="0" applyFont="1" applyFill="1" applyBorder="1" applyAlignment="1">
      <alignment horizontal="right" vertical="center" wrapText="1"/>
    </xf>
    <xf numFmtId="0" fontId="176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19" fillId="0" borderId="0" xfId="0" applyNumberFormat="1" applyFont="1" applyFill="1"/>
    <xf numFmtId="164" fontId="119" fillId="0" borderId="0" xfId="0" applyNumberFormat="1" applyFont="1" applyFill="1"/>
    <xf numFmtId="0" fontId="16" fillId="0" borderId="0" xfId="0" applyFont="1" applyAlignment="1">
      <alignment wrapText="1"/>
    </xf>
    <xf numFmtId="0" fontId="158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1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2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64" fontId="123" fillId="0" borderId="0" xfId="0" applyNumberFormat="1" applyFont="1" applyFill="1" applyBorder="1" applyAlignment="1">
      <alignment horizontal="center" vertical="center"/>
    </xf>
    <xf numFmtId="164" fontId="122" fillId="34" borderId="0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center" vertical="center"/>
    </xf>
    <xf numFmtId="164" fontId="156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2" fillId="0" borderId="0" xfId="0" applyNumberFormat="1" applyFont="1" applyFill="1" applyBorder="1" applyAlignment="1">
      <alignment vertical="center"/>
    </xf>
    <xf numFmtId="49" fontId="112" fillId="0" borderId="0" xfId="0" applyNumberFormat="1" applyFont="1" applyBorder="1" applyAlignment="1">
      <alignment vertical="center"/>
    </xf>
    <xf numFmtId="0" fontId="112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78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19" fillId="34" borderId="0" xfId="0" applyFont="1" applyFill="1"/>
    <xf numFmtId="164" fontId="119" fillId="34" borderId="0" xfId="0" applyNumberFormat="1" applyFont="1" applyFill="1"/>
    <xf numFmtId="1" fontId="179" fillId="0" borderId="2" xfId="0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64" fontId="109" fillId="0" borderId="0" xfId="0" applyNumberFormat="1" applyFont="1" applyFill="1" applyBorder="1"/>
    <xf numFmtId="0" fontId="109" fillId="34" borderId="0" xfId="0" applyFont="1" applyFill="1" applyBorder="1"/>
    <xf numFmtId="164" fontId="109" fillId="34" borderId="0" xfId="0" applyNumberFormat="1" applyFont="1" applyFill="1" applyBorder="1"/>
    <xf numFmtId="0" fontId="129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0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09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59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09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3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09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29" fillId="0" borderId="0" xfId="0" applyNumberFormat="1" applyFont="1"/>
    <xf numFmtId="164" fontId="156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1" fillId="0" borderId="0" xfId="0" applyNumberFormat="1" applyFont="1"/>
    <xf numFmtId="0" fontId="181" fillId="0" borderId="0" xfId="0" applyFont="1"/>
    <xf numFmtId="2" fontId="14" fillId="0" borderId="0" xfId="0" applyNumberFormat="1" applyFont="1" applyAlignment="1"/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2" fillId="2" borderId="0" xfId="0" applyFont="1" applyFill="1" applyBorder="1"/>
    <xf numFmtId="0" fontId="184" fillId="2" borderId="0" xfId="0" applyFont="1" applyFill="1" applyBorder="1"/>
    <xf numFmtId="0" fontId="148" fillId="0" borderId="0" xfId="0" applyFont="1" applyAlignment="1"/>
    <xf numFmtId="0" fontId="144" fillId="0" borderId="0" xfId="0" applyFont="1" applyAlignment="1"/>
    <xf numFmtId="164" fontId="162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25" fillId="0" borderId="0" xfId="0" applyFont="1"/>
    <xf numFmtId="0" fontId="129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3" fillId="0" borderId="0" xfId="0" applyNumberFormat="1" applyFont="1" applyBorder="1" applyAlignment="1">
      <alignment horizontal="center" vertical="center" wrapText="1"/>
    </xf>
    <xf numFmtId="0" fontId="123" fillId="0" borderId="0" xfId="232" applyFont="1" applyFill="1" applyBorder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2" fillId="34" borderId="0" xfId="0" applyNumberFormat="1" applyFont="1" applyFill="1" applyBorder="1" applyAlignment="1">
      <alignment horizontal="center" vertical="center"/>
    </xf>
    <xf numFmtId="164" fontId="129" fillId="0" borderId="0" xfId="0" applyNumberFormat="1" applyFont="1" applyFill="1" applyBorder="1"/>
    <xf numFmtId="164" fontId="125" fillId="0" borderId="0" xfId="0" applyNumberFormat="1" applyFont="1" applyFill="1" applyBorder="1"/>
    <xf numFmtId="0" fontId="125" fillId="0" borderId="0" xfId="0" applyFont="1" applyFill="1"/>
    <xf numFmtId="164" fontId="129" fillId="0" borderId="0" xfId="0" applyNumberFormat="1" applyFont="1" applyFill="1"/>
    <xf numFmtId="0" fontId="125" fillId="0" borderId="0" xfId="0" applyFont="1" applyFill="1" applyBorder="1"/>
    <xf numFmtId="0" fontId="129" fillId="0" borderId="0" xfId="0" applyFont="1" applyFill="1"/>
    <xf numFmtId="0" fontId="156" fillId="0" borderId="0" xfId="0" applyFont="1" applyFill="1"/>
    <xf numFmtId="164" fontId="117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164" fontId="15" fillId="34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19" fillId="0" borderId="0" xfId="0" applyNumberFormat="1" applyFont="1" applyFill="1" applyBorder="1" applyAlignment="1">
      <alignment horizontal="center" vertical="center"/>
    </xf>
    <xf numFmtId="164" fontId="119" fillId="34" borderId="0" xfId="0" applyNumberFormat="1" applyFont="1" applyFill="1" applyBorder="1" applyAlignment="1">
      <alignment horizontal="center" vertical="center"/>
    </xf>
    <xf numFmtId="1" fontId="119" fillId="34" borderId="0" xfId="0" applyNumberFormat="1" applyFont="1" applyFill="1"/>
    <xf numFmtId="0" fontId="181" fillId="0" borderId="0" xfId="0" applyFont="1" applyFill="1"/>
    <xf numFmtId="164" fontId="181" fillId="0" borderId="0" xfId="0" applyNumberFormat="1" applyFont="1" applyFill="1"/>
    <xf numFmtId="0" fontId="185" fillId="0" borderId="0" xfId="0" applyFont="1" applyFill="1"/>
    <xf numFmtId="0" fontId="185" fillId="34" borderId="0" xfId="0" applyFont="1" applyFill="1"/>
    <xf numFmtId="164" fontId="109" fillId="0" borderId="0" xfId="0" applyNumberFormat="1" applyFont="1" applyBorder="1" applyAlignment="1">
      <alignment horizontal="center" vertical="center" wrapText="1"/>
    </xf>
    <xf numFmtId="0" fontId="135" fillId="0" borderId="0" xfId="232" applyFont="1" applyBorder="1" applyAlignment="1">
      <alignment horizontal="right" vertical="center" wrapText="1"/>
    </xf>
    <xf numFmtId="0" fontId="135" fillId="0" borderId="0" xfId="232" applyFont="1" applyBorder="1" applyAlignment="1">
      <alignment horizontal="left" vertical="center" wrapText="1"/>
    </xf>
    <xf numFmtId="2" fontId="135" fillId="0" borderId="0" xfId="0" applyNumberFormat="1" applyFont="1" applyBorder="1" applyAlignment="1">
      <alignment horizontal="center" vertical="center"/>
    </xf>
    <xf numFmtId="0" fontId="155" fillId="0" borderId="0" xfId="196" applyFont="1" applyBorder="1" applyAlignment="1">
      <alignment wrapText="1"/>
    </xf>
    <xf numFmtId="0" fontId="122" fillId="0" borderId="0" xfId="232" applyFont="1"/>
    <xf numFmtId="0" fontId="156" fillId="0" borderId="0" xfId="196" applyFont="1"/>
    <xf numFmtId="0" fontId="128" fillId="0" borderId="0" xfId="196" applyFont="1"/>
    <xf numFmtId="0" fontId="3" fillId="0" borderId="40" xfId="196" applyFont="1" applyBorder="1"/>
    <xf numFmtId="0" fontId="119" fillId="0" borderId="2" xfId="196" applyFont="1" applyBorder="1" applyAlignment="1">
      <alignment horizontal="center" vertical="center"/>
    </xf>
    <xf numFmtId="0" fontId="135" fillId="37" borderId="0" xfId="232" applyFont="1" applyFill="1" applyBorder="1" applyAlignment="1">
      <alignment horizontal="left" vertical="center" wrapText="1"/>
    </xf>
    <xf numFmtId="0" fontId="135" fillId="0" borderId="0" xfId="232" applyFont="1" applyFill="1" applyBorder="1" applyAlignment="1">
      <alignment horizontal="left" vertical="center" wrapText="1"/>
    </xf>
    <xf numFmtId="0" fontId="158" fillId="0" borderId="0" xfId="196" applyFont="1" applyBorder="1" applyAlignment="1">
      <alignment horizontal="center"/>
    </xf>
    <xf numFmtId="0" fontId="47" fillId="0" borderId="0" xfId="196" applyFont="1" applyAlignment="1"/>
    <xf numFmtId="0" fontId="123" fillId="0" borderId="0" xfId="196" applyFont="1"/>
    <xf numFmtId="0" fontId="109" fillId="0" borderId="0" xfId="196" applyFont="1"/>
    <xf numFmtId="0" fontId="15" fillId="0" borderId="0" xfId="196" applyFont="1"/>
    <xf numFmtId="0" fontId="109" fillId="0" borderId="0" xfId="196" applyFont="1" applyFill="1" applyBorder="1"/>
    <xf numFmtId="0" fontId="135" fillId="37" borderId="0" xfId="196" applyFont="1" applyFill="1" applyBorder="1" applyAlignment="1">
      <alignment horizontal="left" vertical="center" wrapText="1"/>
    </xf>
    <xf numFmtId="0" fontId="135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6" fillId="37" borderId="0" xfId="196" applyNumberFormat="1" applyFont="1" applyFill="1" applyBorder="1" applyAlignment="1">
      <alignment horizontal="center" vertical="center"/>
    </xf>
    <xf numFmtId="164" fontId="135" fillId="0" borderId="0" xfId="232" applyNumberFormat="1" applyFont="1" applyFill="1" applyBorder="1" applyAlignment="1">
      <alignment horizontal="left" vertical="center" wrapText="1"/>
    </xf>
    <xf numFmtId="164" fontId="135" fillId="37" borderId="0" xfId="232" applyNumberFormat="1" applyFont="1" applyFill="1" applyBorder="1" applyAlignment="1">
      <alignment horizontal="left" vertical="center" wrapText="1"/>
    </xf>
    <xf numFmtId="164" fontId="109" fillId="0" borderId="0" xfId="232" applyNumberFormat="1" applyFont="1" applyFill="1" applyBorder="1" applyAlignment="1">
      <alignment horizontal="right" vertical="center" wrapText="1"/>
    </xf>
    <xf numFmtId="164" fontId="109" fillId="37" borderId="0" xfId="232" applyNumberFormat="1" applyFont="1" applyFill="1" applyBorder="1" applyAlignment="1">
      <alignment horizontal="right" vertical="center" wrapText="1"/>
    </xf>
    <xf numFmtId="0" fontId="109" fillId="37" borderId="0" xfId="232" applyFont="1" applyFill="1" applyBorder="1" applyAlignment="1">
      <alignment horizontal="right" vertical="center" wrapText="1"/>
    </xf>
    <xf numFmtId="0" fontId="109" fillId="0" borderId="0" xfId="232" applyFont="1" applyFill="1" applyBorder="1" applyAlignment="1">
      <alignment horizontal="right" vertical="center" wrapText="1"/>
    </xf>
    <xf numFmtId="0" fontId="109" fillId="37" borderId="0" xfId="196" applyFont="1" applyFill="1" applyBorder="1" applyAlignment="1">
      <alignment horizontal="right" vertical="center" wrapText="1"/>
    </xf>
    <xf numFmtId="0" fontId="109" fillId="0" borderId="0" xfId="196" applyFont="1" applyFill="1" applyBorder="1" applyAlignment="1">
      <alignment horizontal="right" vertical="center" wrapText="1"/>
    </xf>
    <xf numFmtId="0" fontId="123" fillId="34" borderId="0" xfId="232" applyFont="1" applyFill="1" applyBorder="1" applyAlignment="1">
      <alignment horizontal="left" vertical="center" wrapText="1"/>
    </xf>
    <xf numFmtId="164" fontId="123" fillId="34" borderId="0" xfId="0" applyNumberFormat="1" applyFont="1" applyFill="1" applyBorder="1" applyAlignment="1">
      <alignment horizontal="center" vertical="center" wrapText="1"/>
    </xf>
    <xf numFmtId="0" fontId="135" fillId="34" borderId="0" xfId="232" applyFont="1" applyFill="1" applyBorder="1" applyAlignment="1">
      <alignment horizontal="left" vertical="center" wrapText="1"/>
    </xf>
    <xf numFmtId="0" fontId="135" fillId="34" borderId="0" xfId="232" applyFont="1" applyFill="1" applyBorder="1" applyAlignment="1">
      <alignment horizontal="right" vertical="center" wrapText="1"/>
    </xf>
    <xf numFmtId="0" fontId="119" fillId="0" borderId="0" xfId="0" applyFont="1" applyFill="1" applyBorder="1"/>
    <xf numFmtId="0" fontId="188" fillId="0" borderId="0" xfId="0" applyFont="1"/>
    <xf numFmtId="0" fontId="186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2" fillId="0" borderId="52" xfId="0" applyNumberFormat="1" applyFont="1" applyBorder="1" applyAlignment="1"/>
    <xf numFmtId="2" fontId="109" fillId="0" borderId="52" xfId="0" applyNumberFormat="1" applyFont="1" applyBorder="1" applyAlignment="1">
      <alignment horizontal="center" vertical="center"/>
    </xf>
    <xf numFmtId="2" fontId="109" fillId="0" borderId="53" xfId="0" applyNumberFormat="1" applyFont="1" applyBorder="1" applyAlignment="1">
      <alignment horizontal="center" vertical="center"/>
    </xf>
    <xf numFmtId="0" fontId="122" fillId="0" borderId="0" xfId="0" applyNumberFormat="1" applyFont="1" applyBorder="1" applyAlignment="1"/>
    <xf numFmtId="2" fontId="109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0" fontId="146" fillId="0" borderId="11" xfId="0" applyFont="1" applyBorder="1" applyAlignment="1"/>
    <xf numFmtId="164" fontId="81" fillId="0" borderId="0" xfId="0" applyNumberFormat="1" applyFont="1" applyAlignment="1">
      <alignment horizontal="left" wrapText="1"/>
    </xf>
    <xf numFmtId="0" fontId="132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29" fillId="0" borderId="0" xfId="0" applyFont="1" applyFill="1" applyBorder="1" applyAlignment="1">
      <alignment vertical="center"/>
    </xf>
    <xf numFmtId="0" fontId="12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1" fillId="0" borderId="0" xfId="0" applyNumberFormat="1" applyFont="1"/>
    <xf numFmtId="1" fontId="0" fillId="0" borderId="0" xfId="0" applyNumberFormat="1"/>
    <xf numFmtId="164" fontId="190" fillId="0" borderId="0" xfId="0" applyNumberFormat="1" applyFont="1"/>
    <xf numFmtId="164" fontId="188" fillId="0" borderId="0" xfId="0" applyNumberFormat="1" applyFont="1"/>
    <xf numFmtId="1" fontId="188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09" fillId="38" borderId="0" xfId="0" applyNumberFormat="1" applyFont="1" applyFill="1" applyBorder="1" applyAlignment="1">
      <alignment horizontal="center" vertical="center"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1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09" fillId="34" borderId="0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09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19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6" fillId="0" borderId="0" xfId="0" applyFont="1" applyFill="1" applyBorder="1"/>
    <xf numFmtId="0" fontId="109" fillId="0" borderId="0" xfId="0" applyFont="1" applyFill="1" applyBorder="1" applyAlignment="1">
      <alignment vertical="center"/>
    </xf>
    <xf numFmtId="0" fontId="15" fillId="34" borderId="0" xfId="0" applyFont="1" applyFill="1" applyBorder="1" applyAlignment="1">
      <alignment vertical="top" wrapText="1"/>
    </xf>
    <xf numFmtId="0" fontId="126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33" fillId="0" borderId="0" xfId="196" applyFont="1" applyBorder="1" applyAlignment="1">
      <alignment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48" fillId="0" borderId="0" xfId="196" applyFont="1" applyBorder="1" applyAlignment="1">
      <alignment horizontal="center" wrapText="1"/>
    </xf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2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5" fillId="0" borderId="0" xfId="232" applyFont="1" applyFill="1" applyBorder="1" applyAlignment="1">
      <alignment horizontal="right" vertical="center" wrapText="1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6" fillId="34" borderId="0" xfId="0" applyFont="1" applyFill="1"/>
    <xf numFmtId="1" fontId="0" fillId="0" borderId="0" xfId="0" applyNumberFormat="1" applyFill="1" applyBorder="1"/>
    <xf numFmtId="0" fontId="119" fillId="34" borderId="0" xfId="0" applyFont="1" applyFill="1" applyBorder="1"/>
    <xf numFmtId="164" fontId="132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3" fillId="34" borderId="0" xfId="0" applyNumberFormat="1" applyFont="1" applyFill="1" applyBorder="1" applyAlignment="1">
      <alignment horizontal="center"/>
    </xf>
    <xf numFmtId="2" fontId="123" fillId="34" borderId="0" xfId="0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09" fillId="0" borderId="0" xfId="0" applyNumberFormat="1" applyFont="1" applyFill="1" applyBorder="1" applyAlignment="1">
      <alignment horizontal="center" vertical="center"/>
    </xf>
    <xf numFmtId="0" fontId="109" fillId="34" borderId="0" xfId="0" applyFont="1" applyFill="1" applyBorder="1" applyAlignment="1">
      <alignment vertical="center"/>
    </xf>
    <xf numFmtId="0" fontId="109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09" fillId="0" borderId="0" xfId="0" applyFont="1" applyFill="1" applyBorder="1" applyAlignment="1"/>
    <xf numFmtId="0" fontId="133" fillId="0" borderId="0" xfId="0" applyFont="1" applyFill="1" applyBorder="1" applyAlignment="1">
      <alignment horizontal="center"/>
    </xf>
    <xf numFmtId="0" fontId="154" fillId="2" borderId="10" xfId="0" applyFont="1" applyFill="1" applyBorder="1" applyAlignment="1"/>
    <xf numFmtId="0" fontId="154" fillId="2" borderId="0" xfId="0" applyFont="1" applyFill="1" applyBorder="1" applyAlignment="1"/>
    <xf numFmtId="0" fontId="154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164" fontId="117" fillId="39" borderId="0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22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39" borderId="0" xfId="0" applyFont="1" applyFill="1"/>
    <xf numFmtId="0" fontId="122" fillId="0" borderId="57" xfId="0" applyFont="1" applyBorder="1" applyAlignment="1">
      <alignment horizontal="center" vertical="top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2" fillId="0" borderId="0" xfId="0" applyFont="1" applyBorder="1" applyAlignment="1">
      <alignment horizontal="left" vertical="center" wrapText="1"/>
    </xf>
    <xf numFmtId="0" fontId="144" fillId="0" borderId="0" xfId="0" applyFont="1" applyBorder="1" applyAlignment="1">
      <alignment horizontal="center"/>
    </xf>
    <xf numFmtId="0" fontId="152" fillId="0" borderId="0" xfId="0" applyFont="1" applyBorder="1" applyAlignment="1">
      <alignment wrapText="1"/>
    </xf>
    <xf numFmtId="0" fontId="0" fillId="2" borderId="6" xfId="0" applyFill="1" applyBorder="1"/>
    <xf numFmtId="0" fontId="153" fillId="2" borderId="12" xfId="0" applyFont="1" applyFill="1" applyBorder="1"/>
    <xf numFmtId="0" fontId="153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09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171" fontId="109" fillId="0" borderId="0" xfId="0" applyNumberFormat="1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164" fontId="126" fillId="0" borderId="0" xfId="196" applyNumberFormat="1" applyFont="1" applyFill="1" applyBorder="1" applyAlignment="1">
      <alignment horizontal="center" vertical="center"/>
    </xf>
    <xf numFmtId="164" fontId="181" fillId="0" borderId="0" xfId="0" applyNumberFormat="1" applyFont="1" applyFill="1" applyBorder="1"/>
    <xf numFmtId="2" fontId="15" fillId="34" borderId="0" xfId="0" applyNumberFormat="1" applyFont="1" applyFill="1" applyBorder="1" applyAlignment="1">
      <alignment horizontal="right" vertical="center"/>
    </xf>
    <xf numFmtId="0" fontId="109" fillId="0" borderId="0" xfId="0" applyFont="1" applyBorder="1"/>
    <xf numFmtId="0" fontId="126" fillId="0" borderId="0" xfId="232" applyFont="1" applyFill="1" applyBorder="1" applyAlignment="1">
      <alignment horizontal="left" vertical="center" wrapText="1"/>
    </xf>
    <xf numFmtId="0" fontId="126" fillId="34" borderId="0" xfId="232" applyFont="1" applyFill="1" applyBorder="1" applyAlignment="1">
      <alignment horizontal="left" vertical="center" wrapText="1"/>
    </xf>
    <xf numFmtId="0" fontId="132" fillId="34" borderId="0" xfId="0" applyFont="1" applyFill="1" applyBorder="1" applyAlignment="1">
      <alignment horizontal="left" vertical="center" wrapText="1"/>
    </xf>
    <xf numFmtId="0" fontId="126" fillId="34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 wrapText="1"/>
    </xf>
    <xf numFmtId="0" fontId="47" fillId="0" borderId="0" xfId="0" applyFont="1" applyAlignment="1">
      <alignment vertical="center"/>
    </xf>
    <xf numFmtId="0" fontId="156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56" fillId="0" borderId="0" xfId="0" applyFont="1" applyFill="1" applyBorder="1" applyAlignment="1">
      <alignment vertical="center"/>
    </xf>
    <xf numFmtId="164" fontId="156" fillId="0" borderId="0" xfId="0" applyNumberFormat="1" applyFont="1" applyFill="1" applyBorder="1" applyAlignment="1">
      <alignment vertical="center"/>
    </xf>
    <xf numFmtId="164" fontId="109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2" fontId="126" fillId="34" borderId="0" xfId="0" applyNumberFormat="1" applyFont="1" applyFill="1" applyBorder="1" applyAlignment="1">
      <alignment horizontal="center" vertical="center"/>
    </xf>
    <xf numFmtId="0" fontId="126" fillId="34" borderId="0" xfId="0" applyFont="1" applyFill="1" applyBorder="1" applyAlignment="1">
      <alignment horizontal="center" vertical="center"/>
    </xf>
    <xf numFmtId="0" fontId="68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58" fillId="34" borderId="0" xfId="0" applyNumberFormat="1" applyFont="1" applyFill="1" applyBorder="1" applyAlignment="1">
      <alignment horizontal="center" vertical="center"/>
    </xf>
    <xf numFmtId="2" fontId="158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19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32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2" fillId="34" borderId="0" xfId="0" applyFont="1" applyFill="1"/>
    <xf numFmtId="164" fontId="132" fillId="34" borderId="0" xfId="0" applyNumberFormat="1" applyFont="1" applyFill="1"/>
    <xf numFmtId="0" fontId="13" fillId="0" borderId="0" xfId="0" applyFont="1" applyFill="1" applyBorder="1" applyAlignment="1"/>
    <xf numFmtId="2" fontId="119" fillId="0" borderId="0" xfId="0" applyNumberFormat="1" applyFont="1" applyFill="1" applyBorder="1" applyAlignment="1">
      <alignment horizontal="center" vertical="center"/>
    </xf>
    <xf numFmtId="2" fontId="119" fillId="34" borderId="0" xfId="0" applyNumberFormat="1" applyFont="1" applyFill="1" applyBorder="1" applyAlignment="1">
      <alignment horizontal="center" vertical="center"/>
    </xf>
    <xf numFmtId="1" fontId="109" fillId="0" borderId="0" xfId="0" applyNumberFormat="1" applyFont="1" applyFill="1"/>
    <xf numFmtId="0" fontId="126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3" fillId="0" borderId="0" xfId="0" applyNumberFormat="1" applyFont="1" applyFill="1" applyBorder="1" applyAlignment="1">
      <alignment horizontal="center"/>
    </xf>
    <xf numFmtId="2" fontId="123" fillId="0" borderId="0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38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09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1" fillId="0" borderId="0" xfId="0" applyNumberFormat="1" applyFont="1"/>
    <xf numFmtId="0" fontId="126" fillId="0" borderId="0" xfId="0" applyFont="1" applyFill="1" applyBorder="1" applyAlignment="1">
      <alignment horizontal="left" vertical="center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33" fillId="0" borderId="0" xfId="0" applyFont="1" applyFill="1" applyBorder="1" applyAlignment="1">
      <alignment horizontal="right" vertical="center"/>
    </xf>
    <xf numFmtId="1" fontId="118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left" vertical="center"/>
    </xf>
    <xf numFmtId="0" fontId="0" fillId="0" borderId="0" xfId="0"/>
    <xf numFmtId="0" fontId="0" fillId="0" borderId="11" xfId="0" applyBorder="1"/>
    <xf numFmtId="172" fontId="154" fillId="0" borderId="10" xfId="0" applyNumberFormat="1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4" xfId="0" applyFont="1" applyFill="1" applyBorder="1" applyAlignment="1">
      <alignment wrapText="1"/>
    </xf>
    <xf numFmtId="182" fontId="15" fillId="0" borderId="0" xfId="0" applyNumberFormat="1" applyFont="1" applyFill="1"/>
    <xf numFmtId="2" fontId="181" fillId="0" borderId="0" xfId="0" applyNumberFormat="1" applyFont="1"/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7" fillId="0" borderId="73" xfId="0" applyFont="1" applyFill="1" applyBorder="1" applyAlignment="1">
      <alignment horizontal="center" vertical="center"/>
    </xf>
    <xf numFmtId="2" fontId="15" fillId="0" borderId="0" xfId="0" applyNumberFormat="1" applyFont="1" applyAlignment="1"/>
    <xf numFmtId="0" fontId="123" fillId="0" borderId="0" xfId="232" applyFont="1" applyBorder="1" applyAlignment="1">
      <alignment vertical="center"/>
    </xf>
    <xf numFmtId="0" fontId="123" fillId="0" borderId="0" xfId="232" applyFont="1" applyAlignment="1">
      <alignment vertical="center"/>
    </xf>
    <xf numFmtId="183" fontId="109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09" fillId="0" borderId="0" xfId="0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32" fillId="0" borderId="2" xfId="0" applyFont="1" applyBorder="1" applyAlignment="1">
      <alignment horizontal="center" vertical="top" wrapText="1"/>
    </xf>
    <xf numFmtId="0" fontId="121" fillId="0" borderId="72" xfId="0" applyFont="1" applyFill="1" applyBorder="1" applyAlignment="1">
      <alignment vertical="center"/>
    </xf>
    <xf numFmtId="0" fontId="124" fillId="0" borderId="74" xfId="0" applyFont="1" applyFill="1" applyBorder="1" applyAlignment="1">
      <alignment horizontal="center" vertical="center" wrapText="1"/>
    </xf>
    <xf numFmtId="1" fontId="126" fillId="34" borderId="0" xfId="0" applyNumberFormat="1" applyFont="1" applyFill="1"/>
    <xf numFmtId="164" fontId="186" fillId="34" borderId="0" xfId="0" applyNumberFormat="1" applyFont="1" applyFill="1"/>
    <xf numFmtId="0" fontId="47" fillId="0" borderId="40" xfId="0" applyFont="1" applyFill="1" applyBorder="1" applyAlignment="1"/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0" fontId="10" fillId="0" borderId="40" xfId="0" applyFont="1" applyBorder="1" applyAlignment="1">
      <alignment horizontal="right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52" fillId="2" borderId="0" xfId="0" applyFont="1" applyFill="1" applyBorder="1" applyAlignment="1">
      <alignment horizontal="left" vertical="center" wrapText="1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0" fillId="0" borderId="0" xfId="0"/>
    <xf numFmtId="0" fontId="152" fillId="0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22" fillId="0" borderId="0" xfId="0" applyFont="1" applyFill="1" applyBorder="1" applyAlignment="1">
      <alignment horizontal="left"/>
    </xf>
    <xf numFmtId="0" fontId="122" fillId="34" borderId="0" xfId="0" applyFont="1" applyFill="1" applyBorder="1" applyAlignment="1">
      <alignment horizontal="left"/>
    </xf>
    <xf numFmtId="165" fontId="0" fillId="0" borderId="0" xfId="0" applyNumberFormat="1"/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0" fontId="38" fillId="0" borderId="0" xfId="0" applyFont="1" applyBorder="1" applyAlignment="1">
      <alignment vertical="justify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37" fontId="38" fillId="0" borderId="0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/>
    </xf>
    <xf numFmtId="0" fontId="132" fillId="34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15" fillId="34" borderId="0" xfId="0" applyFont="1" applyFill="1" applyBorder="1" applyAlignment="1">
      <alignment horizontal="left" vertical="top"/>
    </xf>
    <xf numFmtId="164" fontId="117" fillId="0" borderId="0" xfId="0" applyNumberFormat="1" applyFont="1" applyFill="1" applyBorder="1" applyAlignment="1">
      <alignment horizontal="right" vertical="center"/>
    </xf>
    <xf numFmtId="166" fontId="15" fillId="0" borderId="0" xfId="196" applyNumberFormat="1" applyFont="1" applyBorder="1"/>
    <xf numFmtId="0" fontId="33" fillId="0" borderId="0" xfId="196" applyFont="1" applyBorder="1" applyAlignment="1">
      <alignment horizontal="left" wrapText="1"/>
    </xf>
    <xf numFmtId="2" fontId="23" fillId="34" borderId="0" xfId="0" applyNumberFormat="1" applyFont="1" applyFill="1" applyBorder="1" applyAlignment="1">
      <alignment horizontal="right" vertical="center"/>
    </xf>
    <xf numFmtId="4" fontId="119" fillId="34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40" fillId="34" borderId="0" xfId="0" applyNumberFormat="1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09" fillId="34" borderId="0" xfId="0" applyFont="1" applyFill="1" applyBorder="1" applyAlignment="1"/>
    <xf numFmtId="0" fontId="109" fillId="34" borderId="0" xfId="0" applyFont="1" applyFill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center" wrapText="1"/>
    </xf>
    <xf numFmtId="0" fontId="81" fillId="0" borderId="0" xfId="196" applyFont="1"/>
    <xf numFmtId="49" fontId="81" fillId="0" borderId="0" xfId="196" applyNumberFormat="1" applyFont="1" applyAlignment="1">
      <alignment horizontal="left"/>
    </xf>
    <xf numFmtId="49" fontId="81" fillId="0" borderId="0" xfId="196" applyNumberFormat="1" applyFont="1" applyAlignment="1"/>
    <xf numFmtId="0" fontId="200" fillId="0" borderId="0" xfId="196" applyFont="1" applyAlignment="1">
      <alignment horizontal="left"/>
    </xf>
    <xf numFmtId="0" fontId="132" fillId="0" borderId="3" xfId="0" applyFont="1" applyBorder="1" applyAlignment="1">
      <alignment horizontal="center" vertical="top" wrapText="1"/>
    </xf>
    <xf numFmtId="0" fontId="132" fillId="0" borderId="3" xfId="196" applyFont="1" applyBorder="1" applyAlignment="1">
      <alignment horizontal="center" vertical="top" wrapText="1"/>
    </xf>
    <xf numFmtId="0" fontId="132" fillId="0" borderId="60" xfId="196" applyFont="1" applyBorder="1" applyAlignment="1">
      <alignment horizontal="center" vertical="top" wrapText="1"/>
    </xf>
    <xf numFmtId="0" fontId="132" fillId="0" borderId="3" xfId="196" applyFont="1" applyBorder="1" applyAlignment="1">
      <alignment vertical="top" wrapText="1"/>
    </xf>
    <xf numFmtId="0" fontId="15" fillId="34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8" fillId="0" borderId="57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/>
    <xf numFmtId="0" fontId="32" fillId="0" borderId="0" xfId="0" applyFont="1" applyFill="1" applyBorder="1"/>
    <xf numFmtId="164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82" fontId="15" fillId="0" borderId="0" xfId="0" applyNumberFormat="1" applyFont="1" applyFill="1" applyBorder="1"/>
    <xf numFmtId="0" fontId="135" fillId="0" borderId="6" xfId="196" applyFont="1" applyFill="1" applyBorder="1" applyAlignment="1">
      <alignment horizontal="left" vertical="center" wrapText="1"/>
    </xf>
    <xf numFmtId="164" fontId="126" fillId="0" borderId="6" xfId="196" applyNumberFormat="1" applyFont="1" applyFill="1" applyBorder="1" applyAlignment="1">
      <alignment horizontal="center" vertical="center"/>
    </xf>
    <xf numFmtId="0" fontId="109" fillId="0" borderId="6" xfId="196" applyFont="1" applyFill="1" applyBorder="1" applyAlignment="1">
      <alignment horizontal="right" vertical="center" wrapText="1"/>
    </xf>
    <xf numFmtId="164" fontId="109" fillId="37" borderId="0" xfId="196" applyNumberFormat="1" applyFont="1" applyFill="1" applyBorder="1" applyAlignment="1">
      <alignment horizontal="right" vertical="center"/>
    </xf>
    <xf numFmtId="164" fontId="117" fillId="34" borderId="0" xfId="0" applyNumberFormat="1" applyFont="1" applyFill="1" applyBorder="1" applyAlignment="1">
      <alignment horizontal="right" vertical="center"/>
    </xf>
    <xf numFmtId="0" fontId="13" fillId="0" borderId="59" xfId="0" applyFont="1" applyFill="1" applyBorder="1" applyAlignment="1">
      <alignment vertical="top" wrapText="1"/>
    </xf>
    <xf numFmtId="0" fontId="13" fillId="0" borderId="59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2" fontId="109" fillId="0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right"/>
    </xf>
    <xf numFmtId="0" fontId="82" fillId="0" borderId="0" xfId="0" applyFont="1" applyBorder="1" applyAlignment="1">
      <alignment horizontal="right" vertical="center" wrapText="1"/>
    </xf>
    <xf numFmtId="0" fontId="81" fillId="0" borderId="0" xfId="0" applyFont="1" applyBorder="1" applyAlignment="1">
      <alignment horizontal="right" vertical="center" wrapText="1"/>
    </xf>
    <xf numFmtId="49" fontId="82" fillId="0" borderId="0" xfId="0" applyNumberFormat="1" applyFont="1" applyBorder="1" applyAlignment="1">
      <alignment horizontal="right" vertical="center" wrapText="1"/>
    </xf>
    <xf numFmtId="164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48" fillId="0" borderId="0" xfId="196" applyFont="1" applyBorder="1" applyAlignment="1">
      <alignment horizontal="right" vertical="center" wrapText="1"/>
    </xf>
    <xf numFmtId="0" fontId="48" fillId="0" borderId="0" xfId="196" applyFont="1" applyBorder="1" applyAlignment="1">
      <alignment horizontal="right" wrapText="1"/>
    </xf>
    <xf numFmtId="0" fontId="12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29" fillId="0" borderId="0" xfId="0" applyNumberFormat="1" applyFont="1" applyFill="1" applyBorder="1"/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166" fontId="0" fillId="0" borderId="0" xfId="0" applyNumberFormat="1"/>
    <xf numFmtId="2" fontId="33" fillId="0" borderId="0" xfId="196" applyNumberFormat="1" applyFont="1" applyFill="1"/>
    <xf numFmtId="2" fontId="33" fillId="0" borderId="0" xfId="196" applyNumberFormat="1" applyFont="1" applyBorder="1" applyAlignment="1">
      <alignment wrapText="1"/>
    </xf>
    <xf numFmtId="2" fontId="33" fillId="0" borderId="0" xfId="196" applyNumberFormat="1" applyFont="1" applyAlignment="1"/>
    <xf numFmtId="0" fontId="15" fillId="0" borderId="6" xfId="0" applyFont="1" applyFill="1" applyBorder="1" applyAlignment="1">
      <alignment horizontal="right" vertical="center"/>
    </xf>
    <xf numFmtId="1" fontId="109" fillId="0" borderId="6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09" fillId="0" borderId="6" xfId="0" applyNumberFormat="1" applyFont="1" applyFill="1" applyBorder="1" applyAlignment="1">
      <alignment horizontal="right" vertical="center"/>
    </xf>
    <xf numFmtId="0" fontId="23" fillId="34" borderId="0" xfId="0" applyFont="1" applyFill="1" applyBorder="1" applyAlignment="1">
      <alignment horizontal="left" vertical="center"/>
    </xf>
    <xf numFmtId="1" fontId="23" fillId="35" borderId="0" xfId="0" applyNumberFormat="1" applyFont="1" applyFill="1" applyBorder="1" applyAlignment="1">
      <alignment horizontal="center" vertical="center"/>
    </xf>
    <xf numFmtId="2" fontId="23" fillId="35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0" fontId="13" fillId="0" borderId="40" xfId="0" applyFont="1" applyBorder="1" applyAlignment="1">
      <alignment wrapText="1"/>
    </xf>
    <xf numFmtId="164" fontId="156" fillId="0" borderId="0" xfId="0" applyNumberFormat="1" applyFont="1" applyFill="1"/>
    <xf numFmtId="0" fontId="175" fillId="0" borderId="50" xfId="0" applyFont="1" applyBorder="1" applyAlignment="1">
      <alignment horizontal="center" vertical="top" wrapText="1"/>
    </xf>
    <xf numFmtId="0" fontId="0" fillId="0" borderId="0" xfId="0"/>
    <xf numFmtId="166" fontId="0" fillId="0" borderId="0" xfId="0" applyNumberFormat="1" applyBorder="1"/>
    <xf numFmtId="0" fontId="15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0" fillId="0" borderId="0" xfId="0"/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20" fillId="0" borderId="0" xfId="0" applyFont="1" applyFill="1" applyBorder="1" applyAlignment="1">
      <alignment horizontal="right" vertical="center"/>
    </xf>
    <xf numFmtId="0" fontId="121" fillId="0" borderId="43" xfId="0" applyFont="1" applyFill="1" applyBorder="1" applyAlignment="1">
      <alignment vertical="center"/>
    </xf>
    <xf numFmtId="0" fontId="12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23" fillId="34" borderId="0" xfId="0" applyFont="1" applyFill="1" applyBorder="1" applyAlignment="1">
      <alignment horizontal="left" vertical="center"/>
    </xf>
    <xf numFmtId="0" fontId="38" fillId="0" borderId="0" xfId="0" applyFont="1" applyBorder="1" applyAlignment="1">
      <alignment horizontal="lef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3" fillId="0" borderId="73" xfId="0" applyFont="1" applyFill="1" applyBorder="1" applyAlignment="1">
      <alignment horizontal="center" vertical="center"/>
    </xf>
    <xf numFmtId="1" fontId="64" fillId="0" borderId="0" xfId="0" applyNumberFormat="1" applyFont="1" applyFill="1" applyBorder="1"/>
    <xf numFmtId="0" fontId="38" fillId="0" borderId="6" xfId="0" applyFont="1" applyFill="1" applyBorder="1" applyAlignment="1">
      <alignment horizontal="left" wrapText="1"/>
    </xf>
    <xf numFmtId="0" fontId="3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0" borderId="6" xfId="0" applyFont="1" applyFill="1" applyBorder="1" applyAlignment="1">
      <alignment horizontal="left" vertical="center"/>
    </xf>
    <xf numFmtId="4" fontId="109" fillId="0" borderId="6" xfId="0" applyNumberFormat="1" applyFont="1" applyFill="1" applyBorder="1" applyAlignment="1">
      <alignment horizontal="center" vertical="center" wrapText="1"/>
    </xf>
    <xf numFmtId="0" fontId="21" fillId="0" borderId="0" xfId="196" applyFont="1" applyBorder="1" applyAlignment="1"/>
    <xf numFmtId="0" fontId="109" fillId="0" borderId="0" xfId="0" applyFont="1" applyAlignment="1">
      <alignment vertical="top"/>
    </xf>
    <xf numFmtId="0" fontId="15" fillId="0" borderId="0" xfId="0" applyFont="1" applyFill="1" applyBorder="1" applyAlignment="1">
      <alignment horizontal="left" vertical="center"/>
    </xf>
    <xf numFmtId="0" fontId="15" fillId="35" borderId="0" xfId="0" applyFont="1" applyFill="1" applyBorder="1" applyAlignment="1">
      <alignment horizontal="left" vertical="top"/>
    </xf>
    <xf numFmtId="164" fontId="117" fillId="35" borderId="0" xfId="0" applyNumberFormat="1" applyFont="1" applyFill="1" applyBorder="1" applyAlignment="1">
      <alignment horizontal="center" vertical="center" wrapText="1"/>
    </xf>
    <xf numFmtId="164" fontId="117" fillId="35" borderId="0" xfId="0" applyNumberFormat="1" applyFont="1" applyFill="1" applyBorder="1" applyAlignment="1">
      <alignment horizontal="left" vertical="center" wrapText="1"/>
    </xf>
    <xf numFmtId="2" fontId="117" fillId="35" borderId="0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/>
    </xf>
    <xf numFmtId="164" fontId="117" fillId="0" borderId="6" xfId="0" applyNumberFormat="1" applyFont="1" applyFill="1" applyBorder="1" applyAlignment="1">
      <alignment horizontal="center" vertical="center" wrapText="1"/>
    </xf>
    <xf numFmtId="0" fontId="15" fillId="35" borderId="0" xfId="0" applyFont="1" applyFill="1" applyBorder="1" applyAlignment="1">
      <alignment vertical="center"/>
    </xf>
    <xf numFmtId="0" fontId="15" fillId="35" borderId="0" xfId="0" applyFont="1" applyFill="1" applyBorder="1" applyAlignment="1">
      <alignment horizontal="left" vertical="center"/>
    </xf>
    <xf numFmtId="164" fontId="15" fillId="35" borderId="0" xfId="0" applyNumberFormat="1" applyFont="1" applyFill="1" applyBorder="1" applyAlignment="1">
      <alignment horizontal="center" vertical="center"/>
    </xf>
    <xf numFmtId="164" fontId="117" fillId="35" borderId="0" xfId="0" applyNumberFormat="1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right" vertical="center"/>
    </xf>
    <xf numFmtId="0" fontId="126" fillId="35" borderId="0" xfId="0" applyFont="1" applyFill="1" applyBorder="1" applyAlignment="1">
      <alignment horizontal="left" vertical="center" wrapText="1"/>
    </xf>
    <xf numFmtId="164" fontId="109" fillId="35" borderId="0" xfId="0" applyNumberFormat="1" applyFont="1" applyFill="1" applyBorder="1" applyAlignment="1">
      <alignment horizontal="center" vertical="center"/>
    </xf>
    <xf numFmtId="0" fontId="156" fillId="35" borderId="0" xfId="0" applyFont="1" applyFill="1" applyBorder="1" applyAlignment="1">
      <alignment vertical="center"/>
    </xf>
    <xf numFmtId="0" fontId="135" fillId="35" borderId="0" xfId="0" applyFont="1" applyFill="1" applyBorder="1" applyAlignment="1">
      <alignment horizontal="left" vertical="center" wrapText="1"/>
    </xf>
    <xf numFmtId="2" fontId="135" fillId="35" borderId="0" xfId="0" applyNumberFormat="1" applyFont="1" applyFill="1" applyBorder="1" applyAlignment="1">
      <alignment horizontal="center" vertical="center"/>
    </xf>
    <xf numFmtId="0" fontId="135" fillId="35" borderId="0" xfId="0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184" fontId="156" fillId="0" borderId="0" xfId="0" applyNumberFormat="1" applyFont="1"/>
    <xf numFmtId="164" fontId="130" fillId="0" borderId="0" xfId="0" applyNumberFormat="1" applyFont="1" applyFill="1" applyBorder="1"/>
    <xf numFmtId="164" fontId="203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center"/>
    </xf>
    <xf numFmtId="0" fontId="8" fillId="34" borderId="0" xfId="0" applyFont="1" applyFill="1" applyBorder="1" applyAlignment="1">
      <alignment horizontal="left" vertical="center"/>
    </xf>
    <xf numFmtId="0" fontId="13" fillId="34" borderId="6" xfId="0" applyFont="1" applyFill="1" applyBorder="1" applyAlignment="1">
      <alignment horizontal="center" vertical="center" wrapText="1"/>
    </xf>
    <xf numFmtId="0" fontId="13" fillId="34" borderId="6" xfId="0" applyFont="1" applyFill="1" applyBorder="1" applyAlignment="1">
      <alignment horizontal="right" vertical="center" wrapText="1"/>
    </xf>
    <xf numFmtId="0" fontId="109" fillId="34" borderId="6" xfId="0" applyFont="1" applyFill="1" applyBorder="1" applyAlignment="1">
      <alignment vertical="center"/>
    </xf>
    <xf numFmtId="1" fontId="109" fillId="34" borderId="6" xfId="0" applyNumberFormat="1" applyFont="1" applyFill="1" applyBorder="1" applyAlignment="1">
      <alignment horizontal="center" vertical="center"/>
    </xf>
    <xf numFmtId="1" fontId="38" fillId="0" borderId="6" xfId="0" applyNumberFormat="1" applyFont="1" applyFill="1" applyBorder="1" applyAlignment="1">
      <alignment horizontal="center" vertical="center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2" fontId="123" fillId="0" borderId="6" xfId="0" applyNumberFormat="1" applyFont="1" applyFill="1" applyBorder="1" applyAlignment="1">
      <alignment horizontal="center"/>
    </xf>
    <xf numFmtId="2" fontId="123" fillId="0" borderId="6" xfId="0" applyNumberFormat="1" applyFont="1" applyFill="1" applyBorder="1" applyAlignment="1">
      <alignment horizontal="center" vertical="center"/>
    </xf>
    <xf numFmtId="0" fontId="123" fillId="0" borderId="6" xfId="0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2" fontId="123" fillId="0" borderId="6" xfId="0" applyNumberFormat="1" applyFont="1" applyFill="1" applyBorder="1" applyAlignment="1">
      <alignment horizontal="left" vertical="center"/>
    </xf>
    <xf numFmtId="1" fontId="109" fillId="0" borderId="0" xfId="0" applyNumberFormat="1" applyFont="1" applyFill="1" applyBorder="1" applyAlignment="1">
      <alignment horizontal="right" vertical="center"/>
    </xf>
    <xf numFmtId="1" fontId="15" fillId="34" borderId="0" xfId="0" applyNumberFormat="1" applyFont="1" applyFill="1"/>
    <xf numFmtId="167" fontId="15" fillId="34" borderId="0" xfId="0" applyNumberFormat="1" applyFont="1" applyFill="1"/>
    <xf numFmtId="164" fontId="117" fillId="35" borderId="6" xfId="0" applyNumberFormat="1" applyFont="1" applyFill="1" applyBorder="1" applyAlignment="1">
      <alignment horizontal="center" vertical="center" wrapText="1"/>
    </xf>
    <xf numFmtId="0" fontId="17" fillId="34" borderId="0" xfId="0" applyFont="1" applyFill="1" applyBorder="1" applyAlignment="1">
      <alignment horizontal="left"/>
    </xf>
    <xf numFmtId="2" fontId="38" fillId="0" borderId="6" xfId="0" applyNumberFormat="1" applyFont="1" applyFill="1" applyBorder="1" applyAlignment="1">
      <alignment horizontal="center"/>
    </xf>
    <xf numFmtId="2" fontId="109" fillId="34" borderId="6" xfId="0" applyNumberFormat="1" applyFont="1" applyFill="1" applyBorder="1" applyAlignment="1">
      <alignment horizontal="center" vertical="center"/>
    </xf>
    <xf numFmtId="164" fontId="117" fillId="35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3" fillId="0" borderId="0" xfId="0" applyFont="1" applyFill="1" applyBorder="1" applyAlignment="1">
      <alignment horizontal="left" vertical="center" wrapText="1"/>
    </xf>
    <xf numFmtId="0" fontId="15" fillId="40" borderId="0" xfId="0" applyFont="1" applyFill="1" applyBorder="1" applyAlignment="1">
      <alignment horizontal="left" vertical="center"/>
    </xf>
    <xf numFmtId="2" fontId="15" fillId="40" borderId="0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center" vertical="center" wrapText="1"/>
    </xf>
    <xf numFmtId="0" fontId="38" fillId="34" borderId="6" xfId="0" applyFont="1" applyFill="1" applyBorder="1" applyAlignment="1">
      <alignment horizontal="left" vertical="top"/>
    </xf>
    <xf numFmtId="1" fontId="38" fillId="34" borderId="6" xfId="0" applyNumberFormat="1" applyFont="1" applyFill="1" applyBorder="1" applyAlignment="1">
      <alignment horizontal="center" vertical="center"/>
    </xf>
    <xf numFmtId="46" fontId="38" fillId="34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center"/>
    </xf>
    <xf numFmtId="2" fontId="38" fillId="34" borderId="6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1" fontId="33" fillId="0" borderId="0" xfId="0" applyNumberFormat="1" applyFont="1" applyFill="1" applyBorder="1" applyAlignment="1">
      <alignment horizontal="left"/>
    </xf>
    <xf numFmtId="1" fontId="33" fillId="0" borderId="0" xfId="0" applyNumberFormat="1" applyFont="1" applyFill="1" applyAlignment="1"/>
    <xf numFmtId="1" fontId="1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5" fillId="0" borderId="56" xfId="0" applyFont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2" fontId="14" fillId="0" borderId="0" xfId="0" applyNumberFormat="1" applyFont="1" applyBorder="1" applyAlignment="1">
      <alignment horizontal="center" vertical="center" wrapText="1"/>
    </xf>
    <xf numFmtId="2" fontId="14" fillId="34" borderId="0" xfId="0" applyNumberFormat="1" applyFont="1" applyFill="1" applyBorder="1" applyAlignment="1">
      <alignment horizontal="center" vertical="center" wrapText="1"/>
    </xf>
    <xf numFmtId="0" fontId="34" fillId="34" borderId="0" xfId="0" applyFont="1" applyFill="1" applyBorder="1" applyAlignment="1">
      <alignment wrapText="1"/>
    </xf>
    <xf numFmtId="2" fontId="14" fillId="34" borderId="0" xfId="0" applyNumberFormat="1" applyFont="1" applyFill="1" applyBorder="1" applyAlignment="1">
      <alignment horizontal="center" wrapText="1"/>
    </xf>
    <xf numFmtId="2" fontId="14" fillId="0" borderId="0" xfId="0" applyNumberFormat="1" applyFont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34" borderId="0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left" vertical="center" wrapText="1"/>
    </xf>
    <xf numFmtId="164" fontId="117" fillId="34" borderId="0" xfId="0" applyNumberFormat="1" applyFont="1" applyFill="1" applyBorder="1" applyAlignment="1">
      <alignment horizontal="left" vertical="center" wrapText="1"/>
    </xf>
    <xf numFmtId="2" fontId="109" fillId="0" borderId="0" xfId="0" applyNumberFormat="1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/>
    </xf>
    <xf numFmtId="0" fontId="146" fillId="0" borderId="0" xfId="0" applyFont="1" applyBorder="1" applyAlignment="1">
      <alignment horizontal="left" vertical="top" wrapText="1"/>
    </xf>
    <xf numFmtId="0" fontId="0" fillId="0" borderId="0" xfId="0"/>
    <xf numFmtId="164" fontId="109" fillId="34" borderId="6" xfId="0" applyNumberFormat="1" applyFont="1" applyFill="1" applyBorder="1" applyAlignment="1">
      <alignment horizontal="center" vertical="center"/>
    </xf>
    <xf numFmtId="164" fontId="123" fillId="0" borderId="0" xfId="0" applyNumberFormat="1" applyFont="1" applyFill="1" applyAlignment="1">
      <alignment horizontal="center" vertical="center"/>
    </xf>
    <xf numFmtId="0" fontId="0" fillId="0" borderId="0" xfId="0"/>
    <xf numFmtId="0" fontId="21" fillId="0" borderId="0" xfId="196" applyFont="1" applyAlignment="1">
      <alignment horizontal="right"/>
    </xf>
    <xf numFmtId="0" fontId="19" fillId="0" borderId="0" xfId="0" applyFont="1" applyAlignment="1">
      <alignment horizontal="left" vertical="center"/>
    </xf>
    <xf numFmtId="0" fontId="14" fillId="0" borderId="0" xfId="0" applyFont="1" applyAlignment="1"/>
    <xf numFmtId="171" fontId="109" fillId="34" borderId="6" xfId="0" applyNumberFormat="1" applyFont="1" applyFill="1" applyBorder="1" applyAlignment="1">
      <alignment horizontal="center" vertical="center" wrapText="1"/>
    </xf>
    <xf numFmtId="2" fontId="109" fillId="34" borderId="6" xfId="0" applyNumberFormat="1" applyFont="1" applyFill="1" applyBorder="1" applyAlignment="1">
      <alignment horizontal="center" wrapText="1"/>
    </xf>
    <xf numFmtId="2" fontId="13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0" fillId="0" borderId="57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/>
    </xf>
    <xf numFmtId="0" fontId="15" fillId="0" borderId="40" xfId="0" applyFont="1" applyBorder="1" applyAlignment="1">
      <alignment horizontal="right" wrapText="1"/>
    </xf>
    <xf numFmtId="0" fontId="15" fillId="40" borderId="6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top"/>
    </xf>
    <xf numFmtId="2" fontId="117" fillId="0" borderId="6" xfId="0" applyNumberFormat="1" applyFont="1" applyFill="1" applyBorder="1" applyAlignment="1">
      <alignment horizontal="center" vertical="center" wrapText="1"/>
    </xf>
    <xf numFmtId="0" fontId="15" fillId="35" borderId="0" xfId="196" applyFont="1" applyFill="1" applyBorder="1" applyAlignment="1">
      <alignment horizontal="left" vertical="center"/>
    </xf>
    <xf numFmtId="2" fontId="15" fillId="35" borderId="0" xfId="196" applyNumberFormat="1" applyFont="1" applyFill="1" applyBorder="1" applyAlignment="1">
      <alignment horizontal="center" vertical="center"/>
    </xf>
    <xf numFmtId="0" fontId="15" fillId="35" borderId="0" xfId="196" applyFont="1" applyFill="1" applyBorder="1" applyAlignment="1">
      <alignment horizontal="center" vertical="center"/>
    </xf>
    <xf numFmtId="164" fontId="15" fillId="35" borderId="0" xfId="196" applyNumberFormat="1" applyFont="1" applyFill="1" applyBorder="1" applyAlignment="1">
      <alignment horizontal="center" vertical="center"/>
    </xf>
    <xf numFmtId="166" fontId="15" fillId="35" borderId="0" xfId="196" applyNumberFormat="1" applyFont="1" applyFill="1" applyBorder="1" applyAlignment="1">
      <alignment horizontal="center" vertical="center"/>
    </xf>
    <xf numFmtId="0" fontId="15" fillId="35" borderId="0" xfId="196" applyFont="1" applyFill="1" applyBorder="1" applyAlignment="1">
      <alignment horizontal="right" vertical="center"/>
    </xf>
    <xf numFmtId="0" fontId="15" fillId="34" borderId="6" xfId="196" applyFont="1" applyFill="1" applyBorder="1" applyAlignment="1">
      <alignment horizontal="left" vertical="center"/>
    </xf>
    <xf numFmtId="2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0" fontId="15" fillId="35" borderId="6" xfId="0" applyFont="1" applyFill="1" applyBorder="1" applyAlignment="1">
      <alignment vertical="center"/>
    </xf>
    <xf numFmtId="164" fontId="15" fillId="40" borderId="6" xfId="0" applyNumberFormat="1" applyFont="1" applyFill="1" applyBorder="1" applyAlignment="1">
      <alignment horizontal="center" vertical="center"/>
    </xf>
    <xf numFmtId="164" fontId="117" fillId="40" borderId="6" xfId="0" applyNumberFormat="1" applyFont="1" applyFill="1" applyBorder="1" applyAlignment="1">
      <alignment horizontal="center" vertical="center"/>
    </xf>
    <xf numFmtId="0" fontId="109" fillId="35" borderId="0" xfId="0" applyFont="1" applyFill="1" applyBorder="1"/>
    <xf numFmtId="164" fontId="109" fillId="35" borderId="0" xfId="0" applyNumberFormat="1" applyFont="1" applyFill="1" applyBorder="1"/>
    <xf numFmtId="1" fontId="109" fillId="35" borderId="0" xfId="0" applyNumberFormat="1" applyFont="1" applyFill="1" applyBorder="1"/>
    <xf numFmtId="0" fontId="109" fillId="34" borderId="6" xfId="0" applyFont="1" applyFill="1" applyBorder="1"/>
    <xf numFmtId="164" fontId="109" fillId="34" borderId="6" xfId="0" applyNumberFormat="1" applyFont="1" applyFill="1" applyBorder="1"/>
    <xf numFmtId="1" fontId="109" fillId="34" borderId="6" xfId="0" applyNumberFormat="1" applyFont="1" applyFill="1" applyBorder="1"/>
    <xf numFmtId="0" fontId="15" fillId="0" borderId="0" xfId="0" applyFont="1" applyFill="1" applyBorder="1" applyAlignment="1">
      <alignment horizontal="left" vertical="center"/>
    </xf>
    <xf numFmtId="164" fontId="117" fillId="40" borderId="6" xfId="0" applyNumberFormat="1" applyFont="1" applyFill="1" applyBorder="1" applyAlignment="1">
      <alignment horizontal="right" vertical="center"/>
    </xf>
    <xf numFmtId="164" fontId="117" fillId="35" borderId="0" xfId="0" applyNumberFormat="1" applyFont="1" applyFill="1" applyBorder="1" applyAlignment="1">
      <alignment horizontal="right" vertical="center"/>
    </xf>
    <xf numFmtId="164" fontId="117" fillId="34" borderId="6" xfId="0" applyNumberFormat="1" applyFont="1" applyFill="1" applyBorder="1" applyAlignment="1">
      <alignment horizontal="center" vertical="center" wrapText="1"/>
    </xf>
    <xf numFmtId="164" fontId="15" fillId="35" borderId="0" xfId="0" applyNumberFormat="1" applyFont="1" applyFill="1" applyBorder="1" applyAlignment="1">
      <alignment horizontal="right" vertical="center" wrapText="1"/>
    </xf>
    <xf numFmtId="164" fontId="117" fillId="34" borderId="6" xfId="0" applyNumberFormat="1" applyFont="1" applyFill="1" applyBorder="1" applyAlignment="1">
      <alignment horizontal="left" vertical="center" wrapText="1"/>
    </xf>
    <xf numFmtId="164" fontId="15" fillId="34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/>
    <xf numFmtId="2" fontId="109" fillId="34" borderId="0" xfId="0" applyNumberFormat="1" applyFont="1" applyFill="1" applyBorder="1" applyAlignment="1">
      <alignment horizontal="left" vertical="center"/>
    </xf>
    <xf numFmtId="2" fontId="109" fillId="0" borderId="6" xfId="0" applyNumberFormat="1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right"/>
    </xf>
    <xf numFmtId="166" fontId="33" fillId="0" borderId="0" xfId="196" applyNumberFormat="1" applyFont="1"/>
    <xf numFmtId="0" fontId="135" fillId="0" borderId="6" xfId="0" applyFont="1" applyFill="1" applyBorder="1" applyAlignment="1">
      <alignment horizontal="left" vertical="center" wrapText="1"/>
    </xf>
    <xf numFmtId="2" fontId="135" fillId="0" borderId="6" xfId="0" applyNumberFormat="1" applyFont="1" applyFill="1" applyBorder="1" applyAlignment="1">
      <alignment horizontal="center" vertical="center"/>
    </xf>
    <xf numFmtId="0" fontId="135" fillId="0" borderId="6" xfId="0" applyFont="1" applyFill="1" applyBorder="1" applyAlignment="1">
      <alignment horizontal="right" vertical="center" wrapText="1"/>
    </xf>
    <xf numFmtId="0" fontId="123" fillId="0" borderId="6" xfId="0" applyFont="1" applyFill="1" applyBorder="1" applyAlignment="1">
      <alignment horizontal="left" vertical="center"/>
    </xf>
    <xf numFmtId="164" fontId="123" fillId="0" borderId="6" xfId="0" applyNumberFormat="1" applyFont="1" applyFill="1" applyBorder="1" applyAlignment="1">
      <alignment horizontal="center" vertical="center"/>
    </xf>
    <xf numFmtId="0" fontId="126" fillId="0" borderId="6" xfId="0" applyFont="1" applyFill="1" applyBorder="1" applyAlignment="1">
      <alignment horizontal="left" vertical="center" wrapText="1"/>
    </xf>
    <xf numFmtId="164" fontId="109" fillId="0" borderId="6" xfId="0" applyNumberFormat="1" applyFont="1" applyFill="1" applyBorder="1" applyAlignment="1">
      <alignment horizontal="center" vertical="center"/>
    </xf>
    <xf numFmtId="164" fontId="81" fillId="0" borderId="0" xfId="0" applyNumberFormat="1" applyFont="1" applyBorder="1"/>
    <xf numFmtId="2" fontId="13" fillId="34" borderId="6" xfId="0" applyNumberFormat="1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4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wrapText="1"/>
    </xf>
    <xf numFmtId="0" fontId="2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40" fillId="35" borderId="0" xfId="0" applyFont="1" applyFill="1" applyBorder="1" applyAlignment="1">
      <alignment horizontal="left" vertical="center"/>
    </xf>
    <xf numFmtId="2" fontId="13" fillId="35" borderId="0" xfId="0" applyNumberFormat="1" applyFont="1" applyFill="1" applyBorder="1" applyAlignment="1">
      <alignment horizontal="center" vertical="center"/>
    </xf>
    <xf numFmtId="2" fontId="109" fillId="35" borderId="0" xfId="0" applyNumberFormat="1" applyFont="1" applyFill="1" applyBorder="1" applyAlignment="1">
      <alignment horizontal="center" vertical="center" wrapText="1"/>
    </xf>
    <xf numFmtId="0" fontId="40" fillId="34" borderId="6" xfId="0" applyFont="1" applyFill="1" applyBorder="1" applyAlignment="1">
      <alignment horizontal="left" vertical="center"/>
    </xf>
    <xf numFmtId="2" fontId="109" fillId="34" borderId="6" xfId="0" applyNumberFormat="1" applyFont="1" applyFill="1" applyBorder="1" applyAlignment="1">
      <alignment horizontal="center" vertical="center" wrapText="1"/>
    </xf>
    <xf numFmtId="2" fontId="117" fillId="34" borderId="6" xfId="0" applyNumberFormat="1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164" fontId="15" fillId="34" borderId="6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0" fontId="0" fillId="0" borderId="0" xfId="0"/>
    <xf numFmtId="164" fontId="15" fillId="0" borderId="0" xfId="0" applyNumberFormat="1" applyFont="1" applyBorder="1" applyAlignment="1">
      <alignment horizontal="center"/>
    </xf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5" fillId="0" borderId="6" xfId="0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center"/>
    </xf>
    <xf numFmtId="0" fontId="154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7" fillId="0" borderId="7" xfId="0" applyFont="1" applyBorder="1" applyAlignment="1">
      <alignment horizontal="center" vertical="top" wrapText="1"/>
    </xf>
    <xf numFmtId="0" fontId="147" fillId="0" borderId="8" xfId="0" applyFont="1" applyBorder="1" applyAlignment="1">
      <alignment horizontal="center" vertical="top" wrapText="1"/>
    </xf>
    <xf numFmtId="0" fontId="147" fillId="0" borderId="9" xfId="0" applyFont="1" applyBorder="1" applyAlignment="1">
      <alignment horizontal="center" vertical="top" wrapText="1"/>
    </xf>
    <xf numFmtId="0" fontId="147" fillId="0" borderId="10" xfId="0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 wrapText="1"/>
    </xf>
    <xf numFmtId="0" fontId="147" fillId="0" borderId="11" xfId="0" applyFont="1" applyBorder="1" applyAlignment="1">
      <alignment horizontal="center" vertical="top" wrapText="1"/>
    </xf>
    <xf numFmtId="49" fontId="154" fillId="0" borderId="10" xfId="0" applyNumberFormat="1" applyFont="1" applyFill="1" applyBorder="1" applyAlignment="1">
      <alignment horizontal="center"/>
    </xf>
    <xf numFmtId="0" fontId="144" fillId="0" borderId="0" xfId="0" applyFont="1" applyBorder="1" applyAlignment="1">
      <alignment horizontal="center"/>
    </xf>
    <xf numFmtId="172" fontId="154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2" fillId="0" borderId="0" xfId="0" applyFont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2" fillId="2" borderId="0" xfId="0" applyFont="1" applyFill="1" applyBorder="1" applyAlignment="1">
      <alignment horizontal="left" vertical="center" wrapText="1"/>
    </xf>
    <xf numFmtId="0" fontId="183" fillId="0" borderId="0" xfId="0" applyFont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144" fillId="0" borderId="0" xfId="0" applyFont="1" applyFill="1" applyBorder="1" applyAlignment="1">
      <alignment horizontal="center"/>
    </xf>
    <xf numFmtId="0" fontId="146" fillId="0" borderId="0" xfId="0" applyFont="1" applyBorder="1" applyAlignment="1">
      <alignment horizontal="left" vertical="top" wrapText="1"/>
    </xf>
    <xf numFmtId="0" fontId="147" fillId="0" borderId="0" xfId="0" applyFont="1" applyBorder="1" applyAlignment="1">
      <alignment horizontal="left"/>
    </xf>
    <xf numFmtId="0" fontId="152" fillId="2" borderId="0" xfId="0" applyFont="1" applyFill="1" applyBorder="1" applyAlignment="1">
      <alignment horizontal="left" vertical="top" wrapText="1"/>
    </xf>
    <xf numFmtId="0" fontId="152" fillId="0" borderId="0" xfId="0" applyFont="1" applyFill="1" applyBorder="1" applyAlignment="1">
      <alignment horizontal="left" vertical="center" wrapText="1"/>
    </xf>
    <xf numFmtId="0" fontId="146" fillId="0" borderId="6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9" fillId="0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right"/>
    </xf>
    <xf numFmtId="0" fontId="81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left" wrapText="1"/>
    </xf>
    <xf numFmtId="0" fontId="81" fillId="0" borderId="0" xfId="0" applyFont="1" applyBorder="1" applyAlignment="1">
      <alignment horizontal="left" vertical="center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wrapText="1"/>
    </xf>
    <xf numFmtId="49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Alignment="1">
      <alignment horizontal="left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02" fillId="0" borderId="0" xfId="0" applyFont="1" applyAlignment="1">
      <alignment horizontal="right" vertical="center"/>
    </xf>
    <xf numFmtId="0" fontId="81" fillId="0" borderId="0" xfId="0" applyFont="1" applyBorder="1" applyAlignment="1">
      <alignment horizontal="left" vertical="center" wrapText="1"/>
    </xf>
    <xf numFmtId="0" fontId="81" fillId="0" borderId="0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92" fillId="0" borderId="43" xfId="196" applyFont="1" applyFill="1" applyBorder="1" applyAlignment="1">
      <alignment horizontal="center" vertical="center" wrapText="1"/>
    </xf>
    <xf numFmtId="0" fontId="193" fillId="0" borderId="56" xfId="196" applyFont="1" applyBorder="1"/>
    <xf numFmtId="0" fontId="193" fillId="0" borderId="57" xfId="196" applyFont="1" applyBorder="1"/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21" fillId="0" borderId="0" xfId="196" applyFont="1" applyAlignment="1">
      <alignment horizontal="righ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0" fontId="60" fillId="0" borderId="0" xfId="196" applyFont="1" applyBorder="1" applyAlignment="1">
      <alignment horizontal="left" vertical="center"/>
    </xf>
    <xf numFmtId="0" fontId="81" fillId="0" borderId="0" xfId="196" applyFont="1" applyBorder="1" applyAlignment="1">
      <alignment horizontal="left" wrapText="1"/>
    </xf>
    <xf numFmtId="0" fontId="47" fillId="0" borderId="55" xfId="196" applyFont="1" applyFill="1" applyBorder="1" applyAlignment="1">
      <alignment horizontal="center" vertical="center" wrapText="1"/>
    </xf>
    <xf numFmtId="0" fontId="47" fillId="0" borderId="3" xfId="196" applyFont="1" applyFill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top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3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0" fillId="0" borderId="70" xfId="0" applyBorder="1"/>
    <xf numFmtId="0" fontId="0" fillId="0" borderId="68" xfId="0" applyBorder="1"/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8" fillId="0" borderId="7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7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0" fontId="16" fillId="0" borderId="7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7" fillId="0" borderId="43" xfId="0" applyNumberFormat="1" applyFont="1" applyFill="1" applyBorder="1" applyAlignment="1">
      <alignment horizontal="center" vertical="center"/>
    </xf>
    <xf numFmtId="1" fontId="127" fillId="0" borderId="73" xfId="0" applyNumberFormat="1" applyFont="1" applyFill="1" applyBorder="1" applyAlignment="1">
      <alignment horizontal="center" vertical="center"/>
    </xf>
    <xf numFmtId="1" fontId="127" fillId="0" borderId="72" xfId="0" applyNumberFormat="1" applyFont="1" applyFill="1" applyBorder="1" applyAlignment="1">
      <alignment horizontal="center" vertical="center"/>
    </xf>
    <xf numFmtId="0" fontId="0" fillId="0" borderId="73" xfId="0" applyBorder="1"/>
    <xf numFmtId="0" fontId="165" fillId="0" borderId="0" xfId="0" applyFont="1" applyFill="1" applyBorder="1" applyAlignment="1">
      <alignment horizontal="center" wrapText="1"/>
    </xf>
    <xf numFmtId="0" fontId="0" fillId="0" borderId="0" xfId="0" applyAlignment="1"/>
    <xf numFmtId="0" fontId="120" fillId="0" borderId="0" xfId="0" applyFont="1" applyFill="1" applyBorder="1" applyAlignment="1">
      <alignment horizontal="center" vertical="center"/>
    </xf>
    <xf numFmtId="0" fontId="120" fillId="0" borderId="0" xfId="0" applyFont="1" applyFill="1" applyBorder="1" applyAlignment="1">
      <alignment horizontal="right" vertical="center" wrapText="1"/>
    </xf>
    <xf numFmtId="0" fontId="120" fillId="0" borderId="0" xfId="0" applyFont="1" applyFill="1" applyBorder="1" applyAlignment="1">
      <alignment horizontal="left" vertical="center" wrapText="1"/>
    </xf>
    <xf numFmtId="49" fontId="135" fillId="0" borderId="74" xfId="0" applyNumberFormat="1" applyFont="1" applyFill="1" applyBorder="1" applyAlignment="1">
      <alignment horizontal="center" vertical="center" wrapText="1"/>
    </xf>
    <xf numFmtId="49" fontId="135" fillId="0" borderId="3" xfId="0" applyNumberFormat="1" applyFont="1" applyFill="1" applyBorder="1" applyAlignment="1">
      <alignment horizontal="center" vertical="center" wrapText="1"/>
    </xf>
    <xf numFmtId="49" fontId="109" fillId="0" borderId="62" xfId="0" applyNumberFormat="1" applyFont="1" applyFill="1" applyBorder="1" applyAlignment="1">
      <alignment horizontal="center" vertical="center" wrapText="1"/>
    </xf>
    <xf numFmtId="49" fontId="109" fillId="0" borderId="47" xfId="0" applyNumberFormat="1" applyFont="1" applyFill="1" applyBorder="1" applyAlignment="1">
      <alignment horizontal="center" vertical="center" wrapText="1"/>
    </xf>
    <xf numFmtId="49" fontId="109" fillId="0" borderId="4" xfId="0" applyNumberFormat="1" applyFont="1" applyFill="1" applyBorder="1" applyAlignment="1">
      <alignment horizontal="center" vertical="center" wrapText="1"/>
    </xf>
    <xf numFmtId="49" fontId="109" fillId="0" borderId="60" xfId="0" applyNumberFormat="1" applyFont="1" applyFill="1" applyBorder="1" applyAlignment="1">
      <alignment horizontal="center" vertical="center" wrapText="1"/>
    </xf>
    <xf numFmtId="1" fontId="123" fillId="0" borderId="43" xfId="0" applyNumberFormat="1" applyFont="1" applyFill="1" applyBorder="1" applyAlignment="1">
      <alignment horizontal="center" vertical="center" wrapText="1"/>
    </xf>
    <xf numFmtId="1" fontId="123" fillId="0" borderId="73" xfId="0" applyNumberFormat="1" applyFont="1" applyFill="1" applyBorder="1" applyAlignment="1">
      <alignment horizontal="center" vertical="center" wrapText="1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73" xfId="0" applyNumberFormat="1" applyFont="1" applyFill="1" applyBorder="1" applyAlignment="1">
      <alignment horizontal="center" vertical="center" wrapText="1"/>
    </xf>
    <xf numFmtId="49" fontId="135" fillId="0" borderId="74" xfId="0" applyNumberFormat="1" applyFont="1" applyFill="1" applyBorder="1" applyAlignment="1">
      <alignment horizontal="center" wrapText="1"/>
    </xf>
    <xf numFmtId="49" fontId="135" fillId="0" borderId="3" xfId="0" applyNumberFormat="1" applyFont="1" applyFill="1" applyBorder="1" applyAlignment="1">
      <alignment horizontal="center" wrapText="1"/>
    </xf>
    <xf numFmtId="49" fontId="109" fillId="0" borderId="74" xfId="0" applyNumberFormat="1" applyFont="1" applyFill="1" applyBorder="1" applyAlignment="1">
      <alignment horizontal="center" vertical="center" wrapText="1"/>
    </xf>
    <xf numFmtId="49" fontId="109" fillId="0" borderId="3" xfId="0" applyNumberFormat="1" applyFont="1" applyFill="1" applyBorder="1" applyAlignment="1">
      <alignment horizontal="center" vertical="center" wrapText="1"/>
    </xf>
    <xf numFmtId="0" fontId="121" fillId="0" borderId="62" xfId="0" applyFont="1" applyFill="1" applyBorder="1" applyAlignment="1">
      <alignment horizontal="center" vertical="center"/>
    </xf>
    <xf numFmtId="0" fontId="121" fillId="0" borderId="45" xfId="0" applyFont="1" applyFill="1" applyBorder="1" applyAlignment="1">
      <alignment horizontal="center" vertical="center"/>
    </xf>
    <xf numFmtId="0" fontId="121" fillId="0" borderId="47" xfId="0" applyFont="1" applyFill="1" applyBorder="1" applyAlignment="1">
      <alignment horizontal="center" vertical="center"/>
    </xf>
    <xf numFmtId="0" fontId="121" fillId="0" borderId="4" xfId="0" applyFont="1" applyFill="1" applyBorder="1" applyAlignment="1">
      <alignment horizontal="center" vertical="center"/>
    </xf>
    <xf numFmtId="0" fontId="121" fillId="0" borderId="40" xfId="0" applyFont="1" applyFill="1" applyBorder="1" applyAlignment="1">
      <alignment horizontal="center" vertical="center"/>
    </xf>
    <xf numFmtId="0" fontId="121" fillId="0" borderId="60" xfId="0" applyFont="1" applyFill="1" applyBorder="1" applyAlignment="1">
      <alignment horizontal="center" vertical="center"/>
    </xf>
    <xf numFmtId="49" fontId="109" fillId="0" borderId="18" xfId="0" applyNumberFormat="1" applyFont="1" applyFill="1" applyBorder="1" applyAlignment="1">
      <alignment horizontal="center" vertical="center" wrapText="1"/>
    </xf>
    <xf numFmtId="49" fontId="119" fillId="0" borderId="62" xfId="0" applyNumberFormat="1" applyFont="1" applyFill="1" applyBorder="1" applyAlignment="1">
      <alignment horizontal="center" vertical="center" wrapText="1"/>
    </xf>
    <xf numFmtId="49" fontId="119" fillId="0" borderId="45" xfId="0" applyNumberFormat="1" applyFont="1" applyFill="1" applyBorder="1" applyAlignment="1">
      <alignment horizontal="center" vertical="center" wrapText="1"/>
    </xf>
    <xf numFmtId="49" fontId="119" fillId="0" borderId="47" xfId="0" applyNumberFormat="1" applyFont="1" applyFill="1" applyBorder="1" applyAlignment="1">
      <alignment horizontal="center" vertical="center" wrapText="1"/>
    </xf>
    <xf numFmtId="49" fontId="119" fillId="0" borderId="4" xfId="0" applyNumberFormat="1" applyFont="1" applyFill="1" applyBorder="1" applyAlignment="1">
      <alignment horizontal="center" vertical="center" wrapText="1"/>
    </xf>
    <xf numFmtId="49" fontId="119" fillId="0" borderId="40" xfId="0" applyNumberFormat="1" applyFont="1" applyFill="1" applyBorder="1" applyAlignment="1">
      <alignment horizontal="center" vertical="center" wrapText="1"/>
    </xf>
    <xf numFmtId="49" fontId="119" fillId="0" borderId="60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15" xfId="0" applyFont="1" applyFill="1" applyBorder="1" applyAlignment="1">
      <alignment horizontal="center" vertical="center" wrapText="1"/>
    </xf>
    <xf numFmtId="0" fontId="121" fillId="0" borderId="4" xfId="0" applyFont="1" applyFill="1" applyBorder="1" applyAlignment="1">
      <alignment horizontal="center" vertical="center" wrapText="1"/>
    </xf>
    <xf numFmtId="0" fontId="121" fillId="0" borderId="40" xfId="0" applyFont="1" applyFill="1" applyBorder="1" applyAlignment="1">
      <alignment horizontal="center" vertical="center" wrapText="1"/>
    </xf>
    <xf numFmtId="0" fontId="121" fillId="0" borderId="60" xfId="0" applyFont="1" applyFill="1" applyBorder="1" applyAlignment="1">
      <alignment horizontal="center" vertical="center" wrapText="1"/>
    </xf>
    <xf numFmtId="0" fontId="124" fillId="0" borderId="62" xfId="0" applyFont="1" applyFill="1" applyBorder="1" applyAlignment="1">
      <alignment horizontal="center" vertical="center" wrapText="1"/>
    </xf>
    <xf numFmtId="0" fontId="124" fillId="0" borderId="47" xfId="0" applyFont="1" applyFill="1" applyBorder="1" applyAlignment="1">
      <alignment horizontal="center" vertical="center" wrapText="1"/>
    </xf>
    <xf numFmtId="0" fontId="124" fillId="0" borderId="4" xfId="0" applyFont="1" applyFill="1" applyBorder="1" applyAlignment="1">
      <alignment horizontal="center" vertical="center" wrapText="1"/>
    </xf>
    <xf numFmtId="0" fontId="124" fillId="0" borderId="60" xfId="0" applyFont="1" applyFill="1" applyBorder="1" applyAlignment="1">
      <alignment horizontal="center" vertical="center" wrapText="1"/>
    </xf>
    <xf numFmtId="49" fontId="129" fillId="0" borderId="74" xfId="0" applyNumberFormat="1" applyFont="1" applyFill="1" applyBorder="1" applyAlignment="1">
      <alignment horizontal="center" vertical="center" wrapText="1"/>
    </xf>
    <xf numFmtId="49" fontId="129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3" fillId="0" borderId="74" xfId="0" applyFont="1" applyBorder="1" applyAlignment="1">
      <alignment vertical="center"/>
    </xf>
    <xf numFmtId="0" fontId="123" fillId="0" borderId="18" xfId="0" applyFont="1" applyBorder="1" applyAlignment="1">
      <alignment vertical="center"/>
    </xf>
    <xf numFmtId="0" fontId="123" fillId="0" borderId="3" xfId="0" applyFont="1" applyBorder="1" applyAlignment="1">
      <alignment vertical="center"/>
    </xf>
    <xf numFmtId="49" fontId="123" fillId="0" borderId="62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14" xfId="0" applyNumberFormat="1" applyFont="1" applyFill="1" applyBorder="1" applyAlignment="1">
      <alignment horizontal="center" vertical="center" wrapText="1"/>
    </xf>
    <xf numFmtId="49" fontId="123" fillId="0" borderId="15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0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vertical="center"/>
    </xf>
    <xf numFmtId="0" fontId="0" fillId="0" borderId="72" xfId="0" applyBorder="1"/>
    <xf numFmtId="0" fontId="123" fillId="0" borderId="6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2" fillId="0" borderId="43" xfId="0" applyNumberFormat="1" applyFont="1" applyFill="1" applyBorder="1" applyAlignment="1">
      <alignment horizontal="center" vertical="center" wrapText="1"/>
    </xf>
    <xf numFmtId="49" fontId="122" fillId="0" borderId="72" xfId="0" applyNumberFormat="1" applyFont="1" applyFill="1" applyBorder="1" applyAlignment="1">
      <alignment horizontal="center" vertical="center" wrapText="1"/>
    </xf>
    <xf numFmtId="49" fontId="122" fillId="0" borderId="73" xfId="0" applyNumberFormat="1" applyFont="1" applyFill="1" applyBorder="1" applyAlignment="1">
      <alignment horizontal="center" vertical="center" wrapText="1"/>
    </xf>
    <xf numFmtId="49" fontId="122" fillId="0" borderId="62" xfId="0" applyNumberFormat="1" applyFont="1" applyFill="1" applyBorder="1" applyAlignment="1">
      <alignment horizontal="center" vertical="center" wrapText="1"/>
    </xf>
    <xf numFmtId="49" fontId="122" fillId="0" borderId="47" xfId="0" applyNumberFormat="1" applyFont="1" applyFill="1" applyBorder="1" applyAlignment="1">
      <alignment horizontal="center" vertical="center" wrapText="1"/>
    </xf>
    <xf numFmtId="49" fontId="122" fillId="0" borderId="4" xfId="0" applyNumberFormat="1" applyFont="1" applyFill="1" applyBorder="1" applyAlignment="1">
      <alignment horizontal="center" vertical="center" wrapText="1"/>
    </xf>
    <xf numFmtId="49" fontId="122" fillId="0" borderId="60" xfId="0" applyNumberFormat="1" applyFont="1" applyFill="1" applyBorder="1" applyAlignment="1">
      <alignment horizontal="center" vertical="center" wrapText="1"/>
    </xf>
    <xf numFmtId="49" fontId="127" fillId="0" borderId="7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horizontal="center" vertical="center"/>
    </xf>
    <xf numFmtId="0" fontId="121" fillId="0" borderId="72" xfId="0" applyFont="1" applyFill="1" applyBorder="1" applyAlignment="1">
      <alignment horizontal="center" vertical="center"/>
    </xf>
    <xf numFmtId="0" fontId="121" fillId="0" borderId="73" xfId="0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23" fillId="0" borderId="74" xfId="0" applyFont="1" applyFill="1" applyBorder="1" applyAlignment="1">
      <alignment horizontal="center" vertical="center" wrapText="1"/>
    </xf>
    <xf numFmtId="0" fontId="123" fillId="0" borderId="18" xfId="0" applyFont="1" applyFill="1" applyBorder="1" applyAlignment="1">
      <alignment horizontal="center" vertical="center" wrapText="1"/>
    </xf>
    <xf numFmtId="0" fontId="123" fillId="0" borderId="3" xfId="0" applyFont="1" applyFill="1" applyBorder="1" applyAlignment="1">
      <alignment horizontal="center" vertical="center" wrapText="1"/>
    </xf>
    <xf numFmtId="0" fontId="121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0" xfId="0" applyBorder="1" applyAlignment="1">
      <alignment horizontal="center"/>
    </xf>
    <xf numFmtId="1" fontId="127" fillId="0" borderId="43" xfId="0" applyNumberFormat="1" applyFont="1" applyFill="1" applyBorder="1" applyAlignment="1">
      <alignment horizontal="center" vertical="center" wrapText="1"/>
    </xf>
    <xf numFmtId="1" fontId="166" fillId="0" borderId="43" xfId="0" applyNumberFormat="1" applyFont="1" applyFill="1" applyBorder="1" applyAlignment="1">
      <alignment horizontal="center" vertical="center" wrapText="1"/>
    </xf>
    <xf numFmtId="49" fontId="126" fillId="0" borderId="74" xfId="0" applyNumberFormat="1" applyFont="1" applyFill="1" applyBorder="1" applyAlignment="1">
      <alignment horizontal="center" vertical="center" wrapText="1"/>
    </xf>
    <xf numFmtId="49" fontId="126" fillId="0" borderId="3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/>
    </xf>
    <xf numFmtId="0" fontId="121" fillId="0" borderId="15" xfId="0" applyFont="1" applyFill="1" applyBorder="1" applyAlignment="1">
      <alignment horizontal="center" vertical="center"/>
    </xf>
    <xf numFmtId="0" fontId="165" fillId="0" borderId="40" xfId="0" applyFont="1" applyFill="1" applyBorder="1" applyAlignment="1">
      <alignment horizontal="center" wrapText="1"/>
    </xf>
    <xf numFmtId="0" fontId="120" fillId="0" borderId="0" xfId="0" applyFont="1" applyFill="1" applyBorder="1" applyAlignment="1">
      <alignment horizontal="right" vertical="center"/>
    </xf>
    <xf numFmtId="49" fontId="119" fillId="0" borderId="43" xfId="0" applyNumberFormat="1" applyFont="1" applyFill="1" applyBorder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7" fillId="0" borderId="55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56" xfId="0" applyFont="1" applyFill="1" applyBorder="1" applyAlignment="1">
      <alignment horizontal="center" wrapText="1"/>
    </xf>
    <xf numFmtId="0" fontId="27" fillId="0" borderId="57" xfId="0" applyFont="1" applyFill="1" applyBorder="1" applyAlignment="1">
      <alignment horizontal="center" wrapText="1"/>
    </xf>
    <xf numFmtId="0" fontId="29" fillId="0" borderId="40" xfId="0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right" wrapText="1"/>
    </xf>
    <xf numFmtId="0" fontId="74" fillId="0" borderId="2" xfId="0" applyFont="1" applyFill="1" applyBorder="1" applyAlignment="1">
      <alignment horizont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196" fillId="0" borderId="0" xfId="0" applyFont="1" applyFill="1" applyAlignment="1">
      <alignment horizontal="left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7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72" xfId="196" applyFont="1" applyBorder="1" applyAlignment="1">
      <alignment horizontal="center"/>
    </xf>
    <xf numFmtId="0" fontId="46" fillId="0" borderId="73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5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55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17" fillId="0" borderId="43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28" fillId="0" borderId="57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top" wrapText="1"/>
    </xf>
    <xf numFmtId="1" fontId="18" fillId="0" borderId="0" xfId="0" applyNumberFormat="1" applyFont="1" applyBorder="1" applyAlignment="1">
      <alignment horizontal="left"/>
    </xf>
    <xf numFmtId="0" fontId="16" fillId="0" borderId="44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1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40" xfId="0" applyFont="1" applyFill="1" applyBorder="1" applyAlignment="1">
      <alignment horizontal="left"/>
    </xf>
    <xf numFmtId="0" fontId="7" fillId="0" borderId="74" xfId="0" applyFont="1" applyFill="1" applyBorder="1" applyAlignment="1">
      <alignment horizontal="center" vertical="center"/>
    </xf>
    <xf numFmtId="0" fontId="47" fillId="0" borderId="4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left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40" xfId="0" applyFont="1" applyBorder="1" applyAlignment="1">
      <alignment horizontal="right"/>
    </xf>
    <xf numFmtId="0" fontId="15" fillId="0" borderId="40" xfId="0" applyFont="1" applyBorder="1" applyAlignment="1">
      <alignment horizontal="right"/>
    </xf>
    <xf numFmtId="0" fontId="17" fillId="0" borderId="45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3" fillId="0" borderId="45" xfId="0" applyFont="1" applyBorder="1" applyAlignment="1">
      <alignment horizontal="left" vertical="center" wrapText="1"/>
    </xf>
    <xf numFmtId="0" fontId="198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164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55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17" fillId="0" borderId="5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71" fillId="34" borderId="0" xfId="0" applyFont="1" applyFill="1" applyAlignment="1">
      <alignment horizontal="left" wrapText="1"/>
    </xf>
    <xf numFmtId="0" fontId="71" fillId="0" borderId="0" xfId="0" applyFont="1" applyFill="1" applyAlignment="1">
      <alignment horizontal="left" wrapText="1"/>
    </xf>
    <xf numFmtId="10" fontId="71" fillId="34" borderId="0" xfId="0" applyNumberFormat="1" applyFont="1" applyFill="1" applyAlignment="1">
      <alignment horizontal="left" wrapText="1"/>
    </xf>
    <xf numFmtId="10" fontId="71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7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/>
    </xf>
    <xf numFmtId="0" fontId="76" fillId="34" borderId="0" xfId="0" applyFont="1" applyFill="1" applyBorder="1" applyAlignment="1">
      <alignment horizontal="left" vertical="justify" wrapText="1"/>
    </xf>
    <xf numFmtId="0" fontId="70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5" fillId="0" borderId="0" xfId="0" applyFont="1" applyFill="1" applyBorder="1" applyAlignment="1">
      <alignment horizontal="left" wrapText="1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1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56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left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39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58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41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26" fillId="0" borderId="40" xfId="0" applyFont="1" applyBorder="1" applyAlignment="1">
      <alignment horizontal="center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2" fillId="0" borderId="2" xfId="232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8" fillId="0" borderId="40" xfId="232" applyFont="1" applyBorder="1" applyAlignment="1">
      <alignment horizontal="right" vertical="center"/>
    </xf>
    <xf numFmtId="0" fontId="122" fillId="0" borderId="55" xfId="0" applyFont="1" applyBorder="1" applyAlignment="1">
      <alignment horizontal="center" vertical="top" wrapText="1"/>
    </xf>
    <xf numFmtId="0" fontId="122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/>
    </xf>
    <xf numFmtId="0" fontId="122" fillId="0" borderId="43" xfId="0" applyFont="1" applyBorder="1" applyAlignment="1">
      <alignment horizontal="left"/>
    </xf>
    <xf numFmtId="0" fontId="122" fillId="0" borderId="56" xfId="0" applyFont="1" applyBorder="1" applyAlignment="1">
      <alignment horizontal="left"/>
    </xf>
    <xf numFmtId="0" fontId="122" fillId="0" borderId="57" xfId="0" applyFont="1" applyBorder="1" applyAlignment="1">
      <alignment horizontal="left"/>
    </xf>
    <xf numFmtId="0" fontId="159" fillId="0" borderId="0" xfId="0" applyFont="1" applyAlignment="1">
      <alignment horizontal="right"/>
    </xf>
    <xf numFmtId="0" fontId="159" fillId="0" borderId="0" xfId="0" applyFont="1" applyAlignment="1">
      <alignment horizontal="left"/>
    </xf>
    <xf numFmtId="0" fontId="159" fillId="0" borderId="0" xfId="232" applyFont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128" fillId="0" borderId="0" xfId="232" applyFont="1" applyBorder="1" applyAlignment="1">
      <alignment horizontal="right"/>
    </xf>
    <xf numFmtId="0" fontId="122" fillId="0" borderId="55" xfId="232" applyFont="1" applyBorder="1" applyAlignment="1">
      <alignment horizontal="center" vertical="center" wrapText="1"/>
    </xf>
    <xf numFmtId="0" fontId="122" fillId="0" borderId="18" xfId="232" applyFont="1" applyBorder="1" applyAlignment="1">
      <alignment horizontal="center" vertical="center" wrapText="1"/>
    </xf>
    <xf numFmtId="0" fontId="122" fillId="0" borderId="3" xfId="232" applyFont="1" applyBorder="1" applyAlignment="1">
      <alignment horizontal="center" vertical="center" wrapText="1"/>
    </xf>
    <xf numFmtId="0" fontId="160" fillId="0" borderId="2" xfId="0" applyFont="1" applyBorder="1" applyAlignment="1">
      <alignment horizontal="center" vertical="top" wrapText="1"/>
    </xf>
    <xf numFmtId="0" fontId="159" fillId="0" borderId="0" xfId="232" applyFont="1" applyAlignment="1">
      <alignment horizontal="left" vertical="center"/>
    </xf>
    <xf numFmtId="0" fontId="109" fillId="0" borderId="0" xfId="0" applyFont="1" applyAlignment="1">
      <alignment horizontal="left" vertical="top" wrapText="1"/>
    </xf>
    <xf numFmtId="0" fontId="15" fillId="0" borderId="78" xfId="0" applyFont="1" applyBorder="1" applyAlignment="1">
      <alignment horizontal="right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09" fillId="0" borderId="3" xfId="0" applyNumberFormat="1" applyFont="1" applyBorder="1" applyAlignment="1">
      <alignment horizontal="center" vertical="center" textRotation="88"/>
    </xf>
    <xf numFmtId="49" fontId="109" fillId="0" borderId="2" xfId="0" applyNumberFormat="1" applyFont="1" applyBorder="1" applyAlignment="1">
      <alignment horizontal="center" vertical="center" textRotation="88"/>
    </xf>
    <xf numFmtId="0" fontId="121" fillId="0" borderId="0" xfId="0" applyFont="1" applyBorder="1" applyAlignment="1">
      <alignment horizontal="center"/>
    </xf>
    <xf numFmtId="0" fontId="123" fillId="0" borderId="40" xfId="0" applyFont="1" applyBorder="1" applyAlignment="1">
      <alignment horizontal="right"/>
    </xf>
    <xf numFmtId="0" fontId="109" fillId="0" borderId="41" xfId="0" applyFont="1" applyBorder="1" applyAlignment="1">
      <alignment horizontal="right"/>
    </xf>
    <xf numFmtId="0" fontId="109" fillId="0" borderId="43" xfId="0" applyFont="1" applyBorder="1" applyAlignment="1">
      <alignment horizontal="center" vertical="center" wrapText="1"/>
    </xf>
    <xf numFmtId="0" fontId="109" fillId="0" borderId="42" xfId="0" applyFont="1" applyBorder="1" applyAlignment="1">
      <alignment horizontal="center" vertical="center" wrapText="1"/>
    </xf>
    <xf numFmtId="0" fontId="175" fillId="0" borderId="55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75" fillId="0" borderId="3" xfId="0" applyFont="1" applyBorder="1" applyAlignment="1">
      <alignment horizontal="center" vertical="top" wrapText="1"/>
    </xf>
    <xf numFmtId="0" fontId="119" fillId="0" borderId="55" xfId="232" applyFont="1" applyBorder="1" applyAlignment="1">
      <alignment horizontal="center" vertical="center" wrapText="1"/>
    </xf>
    <xf numFmtId="0" fontId="119" fillId="0" borderId="18" xfId="232" applyFont="1" applyBorder="1" applyAlignment="1">
      <alignment horizontal="center" vertical="center" wrapText="1"/>
    </xf>
    <xf numFmtId="0" fontId="119" fillId="0" borderId="3" xfId="232" applyFont="1" applyBorder="1" applyAlignment="1">
      <alignment horizontal="center" vertical="center" wrapText="1"/>
    </xf>
    <xf numFmtId="0" fontId="159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3" fillId="0" borderId="40" xfId="232" applyFont="1" applyBorder="1" applyAlignment="1">
      <alignment horizontal="right" vertical="center"/>
    </xf>
    <xf numFmtId="0" fontId="12" fillId="0" borderId="40" xfId="0" applyFont="1" applyBorder="1" applyAlignment="1">
      <alignment horizontal="right" vertical="center"/>
    </xf>
    <xf numFmtId="0" fontId="159" fillId="0" borderId="0" xfId="0" applyFont="1" applyAlignment="1">
      <alignment horizontal="left" vertical="center"/>
    </xf>
    <xf numFmtId="0" fontId="160" fillId="0" borderId="43" xfId="0" applyFont="1" applyBorder="1" applyAlignment="1">
      <alignment horizontal="center"/>
    </xf>
    <xf numFmtId="0" fontId="62" fillId="0" borderId="56" xfId="0" applyFont="1" applyBorder="1" applyAlignment="1">
      <alignment horizontal="center"/>
    </xf>
    <xf numFmtId="0" fontId="62" fillId="0" borderId="57" xfId="0" applyFont="1" applyBorder="1" applyAlignment="1">
      <alignment horizontal="center"/>
    </xf>
    <xf numFmtId="0" fontId="122" fillId="0" borderId="43" xfId="0" applyFont="1" applyBorder="1" applyAlignment="1">
      <alignment horizontal="center"/>
    </xf>
    <xf numFmtId="0" fontId="122" fillId="0" borderId="56" xfId="0" applyFont="1" applyBorder="1" applyAlignment="1">
      <alignment horizontal="center"/>
    </xf>
    <xf numFmtId="0" fontId="122" fillId="0" borderId="57" xfId="0" applyFont="1" applyBorder="1" applyAlignment="1">
      <alignment horizontal="center"/>
    </xf>
    <xf numFmtId="0" fontId="160" fillId="0" borderId="43" xfId="0" applyFont="1" applyBorder="1" applyAlignment="1">
      <alignment horizontal="center" vertical="top" wrapText="1"/>
    </xf>
    <xf numFmtId="0" fontId="132" fillId="0" borderId="55" xfId="0" applyFont="1" applyBorder="1" applyAlignment="1">
      <alignment horizontal="center" vertical="top" wrapText="1"/>
    </xf>
    <xf numFmtId="0" fontId="187" fillId="0" borderId="0" xfId="196" applyFont="1" applyAlignment="1">
      <alignment horizontal="right" vertical="top"/>
    </xf>
    <xf numFmtId="0" fontId="187" fillId="0" borderId="0" xfId="196" applyFont="1" applyAlignment="1">
      <alignment horizontal="left" vertical="top"/>
    </xf>
    <xf numFmtId="0" fontId="160" fillId="0" borderId="0" xfId="196" applyFont="1" applyAlignment="1">
      <alignment horizontal="left"/>
    </xf>
    <xf numFmtId="0" fontId="160" fillId="0" borderId="0" xfId="196" applyFont="1" applyAlignment="1">
      <alignment horizontal="right"/>
    </xf>
    <xf numFmtId="0" fontId="132" fillId="0" borderId="43" xfId="196" applyFont="1" applyBorder="1" applyAlignment="1">
      <alignment horizontal="center"/>
    </xf>
    <xf numFmtId="0" fontId="38" fillId="0" borderId="56" xfId="196" applyFont="1" applyBorder="1"/>
    <xf numFmtId="0" fontId="38" fillId="0" borderId="57" xfId="196" applyFont="1" applyBorder="1"/>
    <xf numFmtId="0" fontId="132" fillId="0" borderId="56" xfId="196" applyFont="1" applyBorder="1" applyAlignment="1">
      <alignment horizontal="center"/>
    </xf>
    <xf numFmtId="0" fontId="132" fillId="0" borderId="57" xfId="196" applyFont="1" applyBorder="1" applyAlignment="1">
      <alignment horizontal="center"/>
    </xf>
    <xf numFmtId="0" fontId="132" fillId="0" borderId="74" xfId="196" applyFont="1" applyBorder="1" applyAlignment="1">
      <alignment horizontal="left" vertical="top" wrapText="1"/>
    </xf>
    <xf numFmtId="0" fontId="38" fillId="0" borderId="3" xfId="196" applyFont="1" applyBorder="1" applyAlignment="1">
      <alignment horizontal="left" vertical="top"/>
    </xf>
    <xf numFmtId="0" fontId="132" fillId="0" borderId="43" xfId="196" applyFont="1" applyBorder="1" applyAlignment="1">
      <alignment horizontal="center" vertical="top" wrapText="1"/>
    </xf>
    <xf numFmtId="0" fontId="132" fillId="0" borderId="56" xfId="196" applyFont="1" applyBorder="1" applyAlignment="1">
      <alignment horizontal="center" vertical="top" wrapText="1"/>
    </xf>
    <xf numFmtId="0" fontId="132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2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53</xdr:row>
      <xdr:rowOff>59532</xdr:rowOff>
    </xdr:from>
    <xdr:to>
      <xdr:col>7</xdr:col>
      <xdr:colOff>369094</xdr:colOff>
      <xdr:row>61</xdr:row>
      <xdr:rowOff>142875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106889</xdr:colOff>
      <xdr:row>5</xdr:row>
      <xdr:rowOff>0</xdr:rowOff>
    </xdr:from>
    <xdr:to>
      <xdr:col>10</xdr:col>
      <xdr:colOff>149680</xdr:colOff>
      <xdr:row>31</xdr:row>
      <xdr:rowOff>27215</xdr:rowOff>
    </xdr:to>
    <xdr:grpSp>
      <xdr:nvGrpSpPr>
        <xdr:cNvPr id="1266" name="docshapegroup1"/>
        <xdr:cNvGrpSpPr>
          <a:grpSpLocks/>
        </xdr:cNvGrpSpPr>
      </xdr:nvGrpSpPr>
      <xdr:grpSpPr bwMode="auto">
        <a:xfrm>
          <a:off x="392639" y="857250"/>
          <a:ext cx="5510141" cy="6904265"/>
          <a:chOff x="107" y="442"/>
          <a:chExt cx="11460" cy="14040"/>
        </a:xfrm>
      </xdr:grpSpPr>
      <xdr:pic>
        <xdr:nvPicPr>
          <xdr:cNvPr id="1267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623" y="442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68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69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0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1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2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3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4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5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76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277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8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79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0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81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282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4168" y="2668"/>
            <a:ext cx="394" cy="3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3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84" name="docshape19"/>
          <xdr:cNvSpPr>
            <a:spLocks/>
          </xdr:cNvSpPr>
        </xdr:nvSpPr>
        <xdr:spPr bwMode="auto">
          <a:xfrm>
            <a:off x="4168" y="2668"/>
            <a:ext cx="394" cy="353"/>
          </a:xfrm>
          <a:custGeom>
            <a:avLst/>
            <a:gdLst/>
            <a:ahLst/>
            <a:cxnLst>
              <a:cxn ang="0">
                <a:pos x="79" y="353"/>
              </a:cxn>
              <a:cxn ang="0">
                <a:pos x="39" y="353"/>
              </a:cxn>
              <a:cxn ang="0">
                <a:pos x="0" y="353"/>
              </a:cxn>
              <a:cxn ang="0">
                <a:pos x="0" y="0"/>
              </a:cxn>
              <a:cxn ang="0">
                <a:pos x="62" y="0"/>
              </a:cxn>
              <a:cxn ang="0">
                <a:pos x="124" y="0"/>
              </a:cxn>
              <a:cxn ang="0">
                <a:pos x="198" y="280"/>
              </a:cxn>
              <a:cxn ang="0">
                <a:pos x="271" y="0"/>
              </a:cxn>
              <a:cxn ang="0">
                <a:pos x="332" y="0"/>
              </a:cxn>
              <a:cxn ang="0">
                <a:pos x="393" y="0"/>
              </a:cxn>
              <a:cxn ang="0">
                <a:pos x="393" y="353"/>
              </a:cxn>
              <a:cxn ang="0">
                <a:pos x="354" y="353"/>
              </a:cxn>
              <a:cxn ang="0">
                <a:pos x="314" y="353"/>
              </a:cxn>
              <a:cxn ang="0">
                <a:pos x="314" y="57"/>
              </a:cxn>
              <a:cxn ang="0">
                <a:pos x="238" y="353"/>
              </a:cxn>
              <a:cxn ang="0">
                <a:pos x="196" y="353"/>
              </a:cxn>
              <a:cxn ang="0">
                <a:pos x="155" y="353"/>
              </a:cxn>
              <a:cxn ang="0">
                <a:pos x="79" y="50"/>
              </a:cxn>
              <a:cxn ang="0">
                <a:pos x="79" y="353"/>
              </a:cxn>
            </a:cxnLst>
            <a:rect l="0" t="0" r="r" b="b"/>
            <a:pathLst>
              <a:path w="394" h="353">
                <a:moveTo>
                  <a:pt x="79" y="353"/>
                </a:moveTo>
                <a:lnTo>
                  <a:pt x="39" y="353"/>
                </a:lnTo>
                <a:lnTo>
                  <a:pt x="0" y="353"/>
                </a:lnTo>
                <a:lnTo>
                  <a:pt x="0" y="0"/>
                </a:lnTo>
                <a:lnTo>
                  <a:pt x="62" y="0"/>
                </a:lnTo>
                <a:lnTo>
                  <a:pt x="124" y="0"/>
                </a:lnTo>
                <a:lnTo>
                  <a:pt x="198" y="280"/>
                </a:lnTo>
                <a:lnTo>
                  <a:pt x="271" y="0"/>
                </a:lnTo>
                <a:lnTo>
                  <a:pt x="332" y="0"/>
                </a:lnTo>
                <a:lnTo>
                  <a:pt x="393" y="0"/>
                </a:lnTo>
                <a:lnTo>
                  <a:pt x="393" y="353"/>
                </a:lnTo>
                <a:lnTo>
                  <a:pt x="354" y="353"/>
                </a:lnTo>
                <a:lnTo>
                  <a:pt x="314" y="353"/>
                </a:lnTo>
                <a:lnTo>
                  <a:pt x="314" y="57"/>
                </a:lnTo>
                <a:lnTo>
                  <a:pt x="238" y="353"/>
                </a:lnTo>
                <a:lnTo>
                  <a:pt x="196" y="353"/>
                </a:lnTo>
                <a:lnTo>
                  <a:pt x="155" y="353"/>
                </a:lnTo>
                <a:lnTo>
                  <a:pt x="79" y="50"/>
                </a:lnTo>
                <a:lnTo>
                  <a:pt x="79" y="353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1285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4609" y="2745"/>
            <a:ext cx="297" cy="2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6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4943" y="2745"/>
            <a:ext cx="495" cy="2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7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5478" y="2660"/>
            <a:ext cx="287" cy="3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8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5958" y="2663"/>
            <a:ext cx="1238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9" name="docshape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6" y="2769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0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2" y="3045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1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3" y="3249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2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3559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93" name="docshape28"/>
          <xdr:cNvSpPr>
            <a:spLocks/>
          </xdr:cNvSpPr>
        </xdr:nvSpPr>
        <xdr:spPr bwMode="auto">
          <a:xfrm>
            <a:off x="107" y="3753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7"/>
              </a:cxn>
              <a:cxn ang="0">
                <a:pos x="23" y="70"/>
              </a:cxn>
              <a:cxn ang="0">
                <a:pos x="0" y="77"/>
              </a:cxn>
              <a:cxn ang="0">
                <a:pos x="1" y="84"/>
              </a:cxn>
              <a:cxn ang="0">
                <a:pos x="5" y="93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20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7"/>
                </a:lnTo>
                <a:lnTo>
                  <a:pt x="23" y="70"/>
                </a:lnTo>
                <a:lnTo>
                  <a:pt x="0" y="77"/>
                </a:lnTo>
                <a:lnTo>
                  <a:pt x="1" y="84"/>
                </a:lnTo>
                <a:lnTo>
                  <a:pt x="5" y="93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20"/>
                </a:lnTo>
                <a:lnTo>
                  <a:pt x="218" y="187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294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2" y="4076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5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6" y="4592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6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2" y="4776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7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6" y="4979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98" name="docshape33"/>
          <xdr:cNvSpPr>
            <a:spLocks/>
          </xdr:cNvSpPr>
        </xdr:nvSpPr>
        <xdr:spPr bwMode="auto">
          <a:xfrm>
            <a:off x="176" y="5268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8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8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8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8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299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3" y="5342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0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3" y="5559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1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76" y="6029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2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72" y="6212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3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73" y="6410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4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76" y="6854"/>
            <a:ext cx="187" cy="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5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73" y="7088"/>
            <a:ext cx="141" cy="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6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/>
          <a:srcRect/>
          <a:stretch>
            <a:fillRect/>
          </a:stretch>
        </xdr:blipFill>
        <xdr:spPr bwMode="auto">
          <a:xfrm>
            <a:off x="173" y="7259"/>
            <a:ext cx="190" cy="3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7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73" y="7820"/>
            <a:ext cx="191" cy="6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8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73" y="8793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09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3" y="9219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10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/>
          <a:srcRect/>
          <a:stretch>
            <a:fillRect/>
          </a:stretch>
        </xdr:blipFill>
        <xdr:spPr bwMode="auto">
          <a:xfrm>
            <a:off x="173" y="9383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11" name="docshape46"/>
          <xdr:cNvSpPr>
            <a:spLocks/>
          </xdr:cNvSpPr>
        </xdr:nvSpPr>
        <xdr:spPr bwMode="auto">
          <a:xfrm>
            <a:off x="176" y="9875"/>
            <a:ext cx="187" cy="198"/>
          </a:xfrm>
          <a:custGeom>
            <a:avLst/>
            <a:gdLst/>
            <a:ahLst/>
            <a:cxnLst>
              <a:cxn ang="0">
                <a:pos x="186" y="170"/>
              </a:cxn>
              <a:cxn ang="0">
                <a:pos x="0" y="170"/>
              </a:cxn>
              <a:cxn ang="0">
                <a:pos x="0" y="197"/>
              </a:cxn>
              <a:cxn ang="0">
                <a:pos x="186" y="197"/>
              </a:cxn>
              <a:cxn ang="0">
                <a:pos x="186" y="170"/>
              </a:cxn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98">
                <a:moveTo>
                  <a:pt x="186" y="170"/>
                </a:moveTo>
                <a:lnTo>
                  <a:pt x="0" y="170"/>
                </a:lnTo>
                <a:lnTo>
                  <a:pt x="0" y="197"/>
                </a:lnTo>
                <a:lnTo>
                  <a:pt x="186" y="197"/>
                </a:lnTo>
                <a:lnTo>
                  <a:pt x="186" y="170"/>
                </a:lnTo>
                <a:close/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312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/>
          <a:srcRect/>
          <a:stretch>
            <a:fillRect/>
          </a:stretch>
        </xdr:blipFill>
        <xdr:spPr bwMode="auto">
          <a:xfrm>
            <a:off x="176" y="10447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13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print"/>
          <a:srcRect/>
          <a:stretch>
            <a:fillRect/>
          </a:stretch>
        </xdr:blipFill>
        <xdr:spPr bwMode="auto">
          <a:xfrm>
            <a:off x="173" y="10647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14" name="docshape49"/>
          <xdr:cNvSpPr>
            <a:spLocks noChangeArrowheads="1"/>
          </xdr:cNvSpPr>
        </xdr:nvSpPr>
        <xdr:spPr bwMode="auto">
          <a:xfrm>
            <a:off x="176" y="10827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315" name="docshape50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/>
          <a:srcRect/>
          <a:stretch>
            <a:fillRect/>
          </a:stretch>
        </xdr:blipFill>
        <xdr:spPr bwMode="auto">
          <a:xfrm>
            <a:off x="172" y="10976"/>
            <a:ext cx="191" cy="3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95250</xdr:colOff>
      <xdr:row>4</xdr:row>
      <xdr:rowOff>190501</xdr:rowOff>
    </xdr:from>
    <xdr:to>
      <xdr:col>10</xdr:col>
      <xdr:colOff>152400</xdr:colOff>
      <xdr:row>31</xdr:row>
      <xdr:rowOff>142875</xdr:rowOff>
    </xdr:to>
    <xdr:grpSp>
      <xdr:nvGrpSpPr>
        <xdr:cNvPr id="1025" name="docshapegroup1"/>
        <xdr:cNvGrpSpPr>
          <a:grpSpLocks/>
        </xdr:cNvGrpSpPr>
      </xdr:nvGrpSpPr>
      <xdr:grpSpPr bwMode="auto">
        <a:xfrm>
          <a:off x="381000" y="838201"/>
          <a:ext cx="5524500" cy="7038974"/>
          <a:chOff x="0" y="0"/>
          <a:chExt cx="10944" cy="14177"/>
        </a:xfrm>
      </xdr:grpSpPr>
      <xdr:pic>
        <xdr:nvPicPr>
          <xdr:cNvPr id="1026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1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9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0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1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2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3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46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4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47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35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36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7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8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9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0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41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2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48"/>
          <a:srcRect/>
          <a:stretch>
            <a:fillRect/>
          </a:stretch>
        </xdr:blipFill>
        <xdr:spPr bwMode="auto">
          <a:xfrm>
            <a:off x="4329" y="2668"/>
            <a:ext cx="386" cy="3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3" name="docshape19"/>
          <xdr:cNvSpPr>
            <a:spLocks/>
          </xdr:cNvSpPr>
        </xdr:nvSpPr>
        <xdr:spPr bwMode="auto">
          <a:xfrm>
            <a:off x="4329" y="2668"/>
            <a:ext cx="386" cy="353"/>
          </a:xfrm>
          <a:custGeom>
            <a:avLst/>
            <a:gdLst/>
            <a:ahLst/>
            <a:cxnLst>
              <a:cxn ang="0">
                <a:pos x="143" y="0"/>
              </a:cxn>
              <a:cxn ang="0">
                <a:pos x="192" y="0"/>
              </a:cxn>
              <a:cxn ang="0">
                <a:pos x="241" y="0"/>
              </a:cxn>
              <a:cxn ang="0">
                <a:pos x="385" y="353"/>
              </a:cxn>
              <a:cxn ang="0">
                <a:pos x="340" y="353"/>
              </a:cxn>
              <a:cxn ang="0">
                <a:pos x="295" y="353"/>
              </a:cxn>
              <a:cxn ang="0">
                <a:pos x="268" y="281"/>
              </a:cxn>
              <a:cxn ang="0">
                <a:pos x="114" y="281"/>
              </a:cxn>
              <a:cxn ang="0">
                <a:pos x="87" y="353"/>
              </a:cxn>
              <a:cxn ang="0">
                <a:pos x="44" y="353"/>
              </a:cxn>
              <a:cxn ang="0">
                <a:pos x="0" y="353"/>
              </a:cxn>
              <a:cxn ang="0">
                <a:pos x="143" y="0"/>
              </a:cxn>
            </a:cxnLst>
            <a:rect l="0" t="0" r="r" b="b"/>
            <a:pathLst>
              <a:path w="386" h="353">
                <a:moveTo>
                  <a:pt x="143" y="0"/>
                </a:moveTo>
                <a:lnTo>
                  <a:pt x="192" y="0"/>
                </a:lnTo>
                <a:lnTo>
                  <a:pt x="241" y="0"/>
                </a:lnTo>
                <a:lnTo>
                  <a:pt x="385" y="353"/>
                </a:lnTo>
                <a:lnTo>
                  <a:pt x="340" y="353"/>
                </a:lnTo>
                <a:lnTo>
                  <a:pt x="295" y="353"/>
                </a:lnTo>
                <a:lnTo>
                  <a:pt x="268" y="281"/>
                </a:lnTo>
                <a:lnTo>
                  <a:pt x="114" y="281"/>
                </a:lnTo>
                <a:lnTo>
                  <a:pt x="87" y="353"/>
                </a:lnTo>
                <a:lnTo>
                  <a:pt x="44" y="353"/>
                </a:lnTo>
                <a:lnTo>
                  <a:pt x="0" y="353"/>
                </a:lnTo>
                <a:lnTo>
                  <a:pt x="143" y="0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1044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49"/>
          <a:srcRect/>
          <a:stretch>
            <a:fillRect/>
          </a:stretch>
        </xdr:blipFill>
        <xdr:spPr bwMode="auto">
          <a:xfrm>
            <a:off x="4754" y="2745"/>
            <a:ext cx="307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5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50"/>
          <a:srcRect/>
          <a:stretch>
            <a:fillRect/>
          </a:stretch>
        </xdr:blipFill>
        <xdr:spPr bwMode="auto">
          <a:xfrm>
            <a:off x="5100" y="2745"/>
            <a:ext cx="190" cy="2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6" name="docshape22"/>
          <xdr:cNvSpPr>
            <a:spLocks/>
          </xdr:cNvSpPr>
        </xdr:nvSpPr>
        <xdr:spPr bwMode="auto">
          <a:xfrm>
            <a:off x="5330" y="2665"/>
            <a:ext cx="81" cy="356"/>
          </a:xfrm>
          <a:custGeom>
            <a:avLst/>
            <a:gdLst/>
            <a:ahLst/>
            <a:cxnLst>
              <a:cxn ang="0">
                <a:pos x="80" y="94"/>
              </a:cxn>
              <a:cxn ang="0">
                <a:pos x="0" y="94"/>
              </a:cxn>
              <a:cxn ang="0">
                <a:pos x="0" y="355"/>
              </a:cxn>
              <a:cxn ang="0">
                <a:pos x="80" y="355"/>
              </a:cxn>
              <a:cxn ang="0">
                <a:pos x="80" y="94"/>
              </a:cxn>
              <a:cxn ang="0">
                <a:pos x="80" y="0"/>
              </a:cxn>
              <a:cxn ang="0">
                <a:pos x="0" y="0"/>
              </a:cxn>
              <a:cxn ang="0">
                <a:pos x="0" y="64"/>
              </a:cxn>
              <a:cxn ang="0">
                <a:pos x="80" y="64"/>
              </a:cxn>
              <a:cxn ang="0">
                <a:pos x="80" y="0"/>
              </a:cxn>
            </a:cxnLst>
            <a:rect l="0" t="0" r="r" b="b"/>
            <a:pathLst>
              <a:path w="81" h="356">
                <a:moveTo>
                  <a:pt x="80" y="94"/>
                </a:moveTo>
                <a:lnTo>
                  <a:pt x="0" y="94"/>
                </a:lnTo>
                <a:lnTo>
                  <a:pt x="0" y="355"/>
                </a:lnTo>
                <a:lnTo>
                  <a:pt x="80" y="355"/>
                </a:lnTo>
                <a:lnTo>
                  <a:pt x="80" y="94"/>
                </a:lnTo>
                <a:close/>
                <a:moveTo>
                  <a:pt x="80" y="0"/>
                </a:moveTo>
                <a:lnTo>
                  <a:pt x="0" y="0"/>
                </a:lnTo>
                <a:lnTo>
                  <a:pt x="0" y="64"/>
                </a:lnTo>
                <a:lnTo>
                  <a:pt x="80" y="64"/>
                </a:lnTo>
                <a:lnTo>
                  <a:pt x="80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47" name="docshape23"/>
          <xdr:cNvSpPr>
            <a:spLocks/>
          </xdr:cNvSpPr>
        </xdr:nvSpPr>
        <xdr:spPr bwMode="auto">
          <a:xfrm>
            <a:off x="5330" y="2665"/>
            <a:ext cx="81" cy="356"/>
          </a:xfrm>
          <a:custGeom>
            <a:avLst/>
            <a:gdLst/>
            <a:ahLst/>
            <a:cxnLst>
              <a:cxn ang="0">
                <a:pos x="0" y="94"/>
              </a:cxn>
              <a:cxn ang="0">
                <a:pos x="40" y="94"/>
              </a:cxn>
              <a:cxn ang="0">
                <a:pos x="80" y="94"/>
              </a:cxn>
              <a:cxn ang="0">
                <a:pos x="80" y="355"/>
              </a:cxn>
              <a:cxn ang="0">
                <a:pos x="40" y="355"/>
              </a:cxn>
              <a:cxn ang="0">
                <a:pos x="0" y="355"/>
              </a:cxn>
              <a:cxn ang="0">
                <a:pos x="0" y="94"/>
              </a:cxn>
              <a:cxn ang="0">
                <a:pos x="0" y="0"/>
              </a:cxn>
              <a:cxn ang="0">
                <a:pos x="80" y="0"/>
              </a:cxn>
              <a:cxn ang="0">
                <a:pos x="80" y="64"/>
              </a:cxn>
              <a:cxn ang="0">
                <a:pos x="0" y="64"/>
              </a:cxn>
              <a:cxn ang="0">
                <a:pos x="0" y="0"/>
              </a:cxn>
            </a:cxnLst>
            <a:rect l="0" t="0" r="r" b="b"/>
            <a:pathLst>
              <a:path w="81" h="356">
                <a:moveTo>
                  <a:pt x="0" y="94"/>
                </a:moveTo>
                <a:lnTo>
                  <a:pt x="40" y="94"/>
                </a:lnTo>
                <a:lnTo>
                  <a:pt x="80" y="94"/>
                </a:lnTo>
                <a:lnTo>
                  <a:pt x="80" y="355"/>
                </a:lnTo>
                <a:lnTo>
                  <a:pt x="40" y="355"/>
                </a:lnTo>
                <a:lnTo>
                  <a:pt x="0" y="355"/>
                </a:lnTo>
                <a:lnTo>
                  <a:pt x="0" y="94"/>
                </a:lnTo>
                <a:close/>
                <a:moveTo>
                  <a:pt x="0" y="0"/>
                </a:moveTo>
                <a:lnTo>
                  <a:pt x="80" y="0"/>
                </a:lnTo>
                <a:lnTo>
                  <a:pt x="80" y="64"/>
                </a:lnTo>
                <a:lnTo>
                  <a:pt x="0" y="64"/>
                </a:lnTo>
                <a:lnTo>
                  <a:pt x="0" y="0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round/>
            <a:headEnd/>
            <a:tailEnd/>
          </a:ln>
        </xdr:spPr>
      </xdr:sp>
      <xdr:sp macro="" textlink="">
        <xdr:nvSpPr>
          <xdr:cNvPr id="1048" name="docshape24"/>
          <xdr:cNvSpPr>
            <a:spLocks noChangeArrowheads="1"/>
          </xdr:cNvSpPr>
        </xdr:nvSpPr>
        <xdr:spPr bwMode="auto">
          <a:xfrm>
            <a:off x="5487" y="2668"/>
            <a:ext cx="80" cy="353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49" name="docshape25"/>
          <xdr:cNvSpPr>
            <a:spLocks/>
          </xdr:cNvSpPr>
        </xdr:nvSpPr>
        <xdr:spPr bwMode="auto">
          <a:xfrm>
            <a:off x="5487" y="2668"/>
            <a:ext cx="80" cy="35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39" y="0"/>
              </a:cxn>
              <a:cxn ang="0">
                <a:pos x="79" y="0"/>
              </a:cxn>
              <a:cxn ang="0">
                <a:pos x="79" y="353"/>
              </a:cxn>
              <a:cxn ang="0">
                <a:pos x="39" y="353"/>
              </a:cxn>
              <a:cxn ang="0">
                <a:pos x="0" y="353"/>
              </a:cxn>
              <a:cxn ang="0">
                <a:pos x="0" y="0"/>
              </a:cxn>
            </a:cxnLst>
            <a:rect l="0" t="0" r="r" b="b"/>
            <a:pathLst>
              <a:path w="80" h="353">
                <a:moveTo>
                  <a:pt x="0" y="0"/>
                </a:moveTo>
                <a:lnTo>
                  <a:pt x="39" y="0"/>
                </a:lnTo>
                <a:lnTo>
                  <a:pt x="79" y="0"/>
                </a:lnTo>
                <a:lnTo>
                  <a:pt x="79" y="353"/>
                </a:lnTo>
                <a:lnTo>
                  <a:pt x="39" y="353"/>
                </a:lnTo>
                <a:lnTo>
                  <a:pt x="0" y="353"/>
                </a:lnTo>
                <a:lnTo>
                  <a:pt x="0" y="0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1050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51"/>
          <a:srcRect/>
          <a:stretch>
            <a:fillRect/>
          </a:stretch>
        </xdr:blipFill>
        <xdr:spPr bwMode="auto">
          <a:xfrm>
            <a:off x="5769" y="2663"/>
            <a:ext cx="1238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1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52"/>
          <a:srcRect/>
          <a:stretch>
            <a:fillRect/>
          </a:stretch>
        </xdr:blipFill>
        <xdr:spPr bwMode="auto">
          <a:xfrm>
            <a:off x="176" y="2883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2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/>
          <a:srcRect/>
          <a:stretch>
            <a:fillRect/>
          </a:stretch>
        </xdr:blipFill>
        <xdr:spPr bwMode="auto">
          <a:xfrm>
            <a:off x="172" y="3160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3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54"/>
          <a:srcRect/>
          <a:stretch>
            <a:fillRect/>
          </a:stretch>
        </xdr:blipFill>
        <xdr:spPr bwMode="auto">
          <a:xfrm>
            <a:off x="173" y="3363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3673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5" name="docshape31"/>
          <xdr:cNvSpPr>
            <a:spLocks/>
          </xdr:cNvSpPr>
        </xdr:nvSpPr>
        <xdr:spPr bwMode="auto">
          <a:xfrm>
            <a:off x="107" y="3868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5" y="94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5" y="94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56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55"/>
          <a:srcRect/>
          <a:stretch>
            <a:fillRect/>
          </a:stretch>
        </xdr:blipFill>
        <xdr:spPr bwMode="auto">
          <a:xfrm>
            <a:off x="172" y="4191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7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76" y="4706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8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/>
          <a:srcRect/>
          <a:stretch>
            <a:fillRect/>
          </a:stretch>
        </xdr:blipFill>
        <xdr:spPr bwMode="auto">
          <a:xfrm>
            <a:off x="172" y="4890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9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56"/>
          <a:srcRect/>
          <a:stretch>
            <a:fillRect/>
          </a:stretch>
        </xdr:blipFill>
        <xdr:spPr bwMode="auto">
          <a:xfrm>
            <a:off x="176" y="5093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0" name="docshape36"/>
          <xdr:cNvSpPr>
            <a:spLocks/>
          </xdr:cNvSpPr>
        </xdr:nvSpPr>
        <xdr:spPr bwMode="auto">
          <a:xfrm>
            <a:off x="176" y="5383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10" y="31"/>
              </a:cxn>
              <a:cxn ang="0">
                <a:pos x="210" y="8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10" y="31"/>
                </a:lnTo>
                <a:lnTo>
                  <a:pt x="210" y="8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1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57"/>
          <a:srcRect/>
          <a:stretch>
            <a:fillRect/>
          </a:stretch>
        </xdr:blipFill>
        <xdr:spPr bwMode="auto">
          <a:xfrm>
            <a:off x="173" y="5456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2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58"/>
          <a:srcRect/>
          <a:stretch>
            <a:fillRect/>
          </a:stretch>
        </xdr:blipFill>
        <xdr:spPr bwMode="auto">
          <a:xfrm>
            <a:off x="173" y="5673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3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6" y="6143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4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59"/>
          <a:srcRect/>
          <a:stretch>
            <a:fillRect/>
          </a:stretch>
        </xdr:blipFill>
        <xdr:spPr bwMode="auto">
          <a:xfrm>
            <a:off x="172" y="6326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5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73" y="6524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6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60"/>
          <a:srcRect/>
          <a:stretch>
            <a:fillRect/>
          </a:stretch>
        </xdr:blipFill>
        <xdr:spPr bwMode="auto">
          <a:xfrm>
            <a:off x="124" y="6946"/>
            <a:ext cx="238" cy="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7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61"/>
          <a:srcRect/>
          <a:stretch>
            <a:fillRect/>
          </a:stretch>
        </xdr:blipFill>
        <xdr:spPr bwMode="auto">
          <a:xfrm>
            <a:off x="176" y="7325"/>
            <a:ext cx="187" cy="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8" name="docshape44"/>
          <xdr:cNvSpPr>
            <a:spLocks noChangeArrowheads="1"/>
          </xdr:cNvSpPr>
        </xdr:nvSpPr>
        <xdr:spPr bwMode="auto">
          <a:xfrm>
            <a:off x="176" y="7488"/>
            <a:ext cx="187" cy="26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69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62"/>
          <a:srcRect/>
          <a:stretch>
            <a:fillRect/>
          </a:stretch>
        </xdr:blipFill>
        <xdr:spPr bwMode="auto">
          <a:xfrm>
            <a:off x="173" y="7706"/>
            <a:ext cx="191" cy="6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0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63"/>
          <a:srcRect/>
          <a:stretch>
            <a:fillRect/>
          </a:stretch>
        </xdr:blipFill>
        <xdr:spPr bwMode="auto">
          <a:xfrm>
            <a:off x="173" y="8679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1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64"/>
          <a:srcRect/>
          <a:stretch>
            <a:fillRect/>
          </a:stretch>
        </xdr:blipFill>
        <xdr:spPr bwMode="auto">
          <a:xfrm>
            <a:off x="173" y="9105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2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65"/>
          <a:srcRect/>
          <a:stretch>
            <a:fillRect/>
          </a:stretch>
        </xdr:blipFill>
        <xdr:spPr bwMode="auto">
          <a:xfrm>
            <a:off x="173" y="9269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3" name="docshape49"/>
          <xdr:cNvSpPr>
            <a:spLocks/>
          </xdr:cNvSpPr>
        </xdr:nvSpPr>
        <xdr:spPr bwMode="auto">
          <a:xfrm>
            <a:off x="176" y="9761"/>
            <a:ext cx="187" cy="198"/>
          </a:xfrm>
          <a:custGeom>
            <a:avLst/>
            <a:gdLst/>
            <a:ahLst/>
            <a:cxnLst>
              <a:cxn ang="0">
                <a:pos x="186" y="169"/>
              </a:cxn>
              <a:cxn ang="0">
                <a:pos x="0" y="169"/>
              </a:cxn>
              <a:cxn ang="0">
                <a:pos x="0" y="197"/>
              </a:cxn>
              <a:cxn ang="0">
                <a:pos x="186" y="197"/>
              </a:cxn>
              <a:cxn ang="0">
                <a:pos x="186" y="169"/>
              </a:cxn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98">
                <a:moveTo>
                  <a:pt x="186" y="169"/>
                </a:moveTo>
                <a:lnTo>
                  <a:pt x="0" y="169"/>
                </a:lnTo>
                <a:lnTo>
                  <a:pt x="0" y="197"/>
                </a:lnTo>
                <a:lnTo>
                  <a:pt x="186" y="197"/>
                </a:lnTo>
                <a:lnTo>
                  <a:pt x="186" y="169"/>
                </a:lnTo>
                <a:close/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74" name="docshape50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/>
          <a:srcRect/>
          <a:stretch>
            <a:fillRect/>
          </a:stretch>
        </xdr:blipFill>
        <xdr:spPr bwMode="auto">
          <a:xfrm>
            <a:off x="176" y="10333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5" name="docshape51"/>
          <xdr:cNvPicPr>
            <a:picLocks noChangeAspect="1" noChangeArrowheads="1"/>
          </xdr:cNvPicPr>
        </xdr:nvPicPr>
        <xdr:blipFill>
          <a:blip xmlns:r="http://schemas.openxmlformats.org/officeDocument/2006/relationships" r:embed="rId66"/>
          <a:srcRect/>
          <a:stretch>
            <a:fillRect/>
          </a:stretch>
        </xdr:blipFill>
        <xdr:spPr bwMode="auto">
          <a:xfrm>
            <a:off x="173" y="10533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6" name="docshape52"/>
          <xdr:cNvSpPr>
            <a:spLocks noChangeArrowheads="1"/>
          </xdr:cNvSpPr>
        </xdr:nvSpPr>
        <xdr:spPr bwMode="auto">
          <a:xfrm>
            <a:off x="176" y="10713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77" name="docshape53"/>
          <xdr:cNvPicPr>
            <a:picLocks noChangeAspect="1" noChangeArrowheads="1"/>
          </xdr:cNvPicPr>
        </xdr:nvPicPr>
        <xdr:blipFill>
          <a:blip xmlns:r="http://schemas.openxmlformats.org/officeDocument/2006/relationships" r:embed="rId67"/>
          <a:srcRect/>
          <a:stretch>
            <a:fillRect/>
          </a:stretch>
        </xdr:blipFill>
        <xdr:spPr bwMode="auto">
          <a:xfrm>
            <a:off x="173" y="10862"/>
            <a:ext cx="191" cy="3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7"/>
  <sheetViews>
    <sheetView showGridLines="0" tabSelected="1" workbookViewId="0">
      <selection activeCell="X8" sqref="X8"/>
    </sheetView>
  </sheetViews>
  <sheetFormatPr defaultRowHeight="12.75"/>
  <cols>
    <col min="1" max="1" width="4.28515625" style="180" customWidth="1"/>
    <col min="2" max="2" width="3.28515625" style="738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89" customWidth="1"/>
    <col min="13" max="13" width="3.140625" style="189" customWidth="1"/>
    <col min="14" max="14" width="7.42578125" style="189" customWidth="1"/>
    <col min="15" max="15" width="8.5703125" style="189" customWidth="1"/>
    <col min="16" max="18" width="9.140625" style="189" customWidth="1"/>
    <col min="19" max="19" width="11" style="189" customWidth="1"/>
    <col min="20" max="20" width="12.5703125" style="189" customWidth="1"/>
    <col min="21" max="96" width="9.140625" style="189" customWidth="1"/>
  </cols>
  <sheetData>
    <row r="1" spans="1:96">
      <c r="B1" s="390"/>
      <c r="C1" s="191"/>
      <c r="D1" s="191"/>
      <c r="E1" s="191"/>
      <c r="F1" s="191"/>
      <c r="G1" s="191"/>
      <c r="H1" s="191"/>
      <c r="I1" s="191"/>
      <c r="J1" s="180"/>
      <c r="K1" s="180"/>
      <c r="L1" s="390"/>
    </row>
    <row r="2" spans="1:96">
      <c r="B2" s="391"/>
      <c r="C2" s="191"/>
      <c r="D2" s="191"/>
      <c r="E2" s="191"/>
      <c r="F2" s="191"/>
      <c r="G2" s="191"/>
      <c r="H2" s="191"/>
      <c r="I2" s="191"/>
      <c r="J2" s="180"/>
      <c r="K2" s="191"/>
    </row>
    <row r="3" spans="1:96">
      <c r="B3" s="391"/>
      <c r="C3" s="191"/>
      <c r="D3" s="191"/>
      <c r="E3" s="191"/>
      <c r="F3" s="191"/>
      <c r="G3" s="191"/>
      <c r="H3" s="191"/>
      <c r="I3" s="191"/>
      <c r="J3" s="180"/>
      <c r="K3" s="191"/>
    </row>
    <row r="4" spans="1:96">
      <c r="B4" s="391"/>
      <c r="C4" s="191"/>
      <c r="D4" s="191"/>
      <c r="E4" s="191"/>
      <c r="F4" s="191"/>
      <c r="G4" s="191"/>
      <c r="H4" s="191"/>
      <c r="I4" s="191"/>
      <c r="J4" s="180"/>
      <c r="K4" s="191"/>
      <c r="M4" s="190"/>
    </row>
    <row r="5" spans="1:96" ht="16.5" customHeight="1" thickBot="1">
      <c r="B5" s="391"/>
      <c r="C5" s="191"/>
      <c r="D5" s="191"/>
      <c r="E5" s="191"/>
      <c r="F5" s="191"/>
      <c r="G5" s="191"/>
      <c r="H5" s="191"/>
      <c r="I5" s="191"/>
      <c r="J5" s="191"/>
      <c r="K5" s="191"/>
    </row>
    <row r="6" spans="1:96" ht="11.25" customHeight="1">
      <c r="B6" s="391"/>
      <c r="C6" s="191"/>
      <c r="D6" s="191"/>
      <c r="F6" s="191"/>
      <c r="G6" s="191"/>
      <c r="H6" s="191"/>
      <c r="I6" s="191"/>
      <c r="J6" s="191"/>
      <c r="K6" s="191"/>
      <c r="M6" s="359"/>
      <c r="N6" s="360"/>
      <c r="O6" s="360"/>
      <c r="P6" s="360"/>
      <c r="Q6" s="360"/>
      <c r="R6" s="360"/>
      <c r="S6" s="360"/>
      <c r="T6" s="361"/>
    </row>
    <row r="7" spans="1:96" s="1080" customFormat="1" ht="31.5" customHeight="1">
      <c r="A7" s="180"/>
      <c r="B7" s="391"/>
      <c r="C7" s="191"/>
      <c r="D7" s="191"/>
      <c r="F7" s="191"/>
      <c r="G7" s="191"/>
      <c r="H7" s="191"/>
      <c r="I7" s="191"/>
      <c r="J7" s="191"/>
      <c r="K7" s="191"/>
      <c r="L7" s="189"/>
      <c r="M7" s="362"/>
      <c r="N7" s="190"/>
      <c r="O7" s="190"/>
      <c r="P7" s="190"/>
      <c r="Q7" s="1117" t="s">
        <v>2074</v>
      </c>
      <c r="R7" s="190"/>
      <c r="S7" s="190"/>
      <c r="T7" s="363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</row>
    <row r="8" spans="1:96" s="1080" customFormat="1" ht="18" customHeight="1">
      <c r="A8" s="180"/>
      <c r="B8" s="391"/>
      <c r="C8" s="191"/>
      <c r="D8" s="191"/>
      <c r="F8" s="191"/>
      <c r="G8" s="191"/>
      <c r="H8" s="191"/>
      <c r="I8" s="191"/>
      <c r="J8" s="191"/>
      <c r="K8" s="191"/>
      <c r="L8" s="189"/>
      <c r="M8" s="362"/>
      <c r="N8" s="190"/>
      <c r="O8" s="1934" t="s">
        <v>2330</v>
      </c>
      <c r="P8" s="1934"/>
      <c r="Q8" s="1934"/>
      <c r="R8" s="1934"/>
      <c r="S8" s="1934"/>
      <c r="T8" s="363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</row>
    <row r="9" spans="1:96" s="1080" customFormat="1" ht="15" customHeight="1">
      <c r="A9" s="180"/>
      <c r="B9" s="391"/>
      <c r="C9" s="191"/>
      <c r="D9" s="191"/>
      <c r="F9" s="191"/>
      <c r="G9" s="191"/>
      <c r="H9" s="191"/>
      <c r="I9" s="191"/>
      <c r="J9" s="191"/>
      <c r="K9" s="191"/>
      <c r="L9" s="189"/>
      <c r="M9" s="362"/>
      <c r="N9" s="190"/>
      <c r="O9" s="1118"/>
      <c r="P9" s="1119" t="s">
        <v>2075</v>
      </c>
      <c r="Q9" s="1120"/>
      <c r="R9" s="1120"/>
      <c r="S9" s="1120"/>
      <c r="T9" s="363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</row>
    <row r="10" spans="1:96" ht="15.75">
      <c r="A10" s="181"/>
      <c r="B10" s="391"/>
      <c r="C10" s="181"/>
      <c r="D10" s="351"/>
      <c r="E10" s="181"/>
      <c r="F10" s="181"/>
      <c r="G10" s="181"/>
      <c r="H10" s="191"/>
      <c r="I10" s="181"/>
      <c r="J10" s="181"/>
      <c r="K10" s="181"/>
      <c r="M10" s="362"/>
      <c r="N10" s="641"/>
      <c r="O10" s="641"/>
      <c r="P10" s="641"/>
      <c r="Q10" s="641"/>
      <c r="R10" s="641"/>
      <c r="S10" s="641"/>
      <c r="T10" s="363"/>
    </row>
    <row r="11" spans="1:96" ht="21">
      <c r="A11" s="181"/>
      <c r="B11" s="391"/>
      <c r="C11" s="181"/>
      <c r="D11" s="351"/>
      <c r="E11" s="181"/>
      <c r="F11" s="181"/>
      <c r="G11" s="181"/>
      <c r="H11" s="181"/>
      <c r="I11" s="181"/>
      <c r="J11" s="181"/>
      <c r="K11" s="181"/>
      <c r="M11" s="362"/>
      <c r="N11" s="641"/>
      <c r="O11" s="641"/>
      <c r="P11" s="652"/>
      <c r="Q11" s="653" t="s">
        <v>772</v>
      </c>
      <c r="R11" s="652"/>
      <c r="S11" s="641"/>
      <c r="T11" s="363"/>
    </row>
    <row r="12" spans="1:96" ht="14.25" customHeight="1">
      <c r="A12" s="181"/>
      <c r="B12" s="391"/>
      <c r="C12" s="181"/>
      <c r="D12" s="351"/>
      <c r="E12" s="181"/>
      <c r="F12" s="181"/>
      <c r="G12" s="181"/>
      <c r="H12" s="181"/>
      <c r="I12" s="181"/>
      <c r="J12" s="181"/>
      <c r="K12" s="181"/>
      <c r="M12" s="362"/>
      <c r="N12" s="641"/>
      <c r="O12" s="641"/>
      <c r="P12" s="646"/>
      <c r="Q12" s="646"/>
      <c r="R12" s="646"/>
      <c r="S12" s="641"/>
      <c r="T12" s="363"/>
    </row>
    <row r="13" spans="1:96" ht="18.75" customHeight="1">
      <c r="A13" s="181"/>
      <c r="B13" s="391"/>
      <c r="C13" s="181"/>
      <c r="D13" s="351"/>
      <c r="E13" s="181"/>
      <c r="F13" s="181"/>
      <c r="G13" s="181"/>
      <c r="H13" s="181"/>
      <c r="I13" s="181"/>
      <c r="J13" s="181"/>
      <c r="K13" s="181"/>
      <c r="M13" s="362"/>
      <c r="N13" s="641"/>
      <c r="O13" s="641"/>
      <c r="P13" s="646"/>
      <c r="Q13" s="1387" t="s">
        <v>2293</v>
      </c>
      <c r="R13" s="646"/>
      <c r="S13" s="641"/>
      <c r="T13" s="363"/>
    </row>
    <row r="14" spans="1:96" ht="16.5" customHeight="1">
      <c r="A14" s="181"/>
      <c r="B14" s="391"/>
      <c r="C14" s="181"/>
      <c r="D14" s="351"/>
      <c r="E14" s="181"/>
      <c r="F14" s="181"/>
      <c r="G14" s="181"/>
      <c r="H14" s="181"/>
      <c r="I14" s="181"/>
      <c r="J14" s="181"/>
      <c r="K14" s="181"/>
      <c r="M14" s="362"/>
      <c r="N14" s="830"/>
      <c r="O14" s="1936" t="s">
        <v>2817</v>
      </c>
      <c r="P14" s="1936"/>
      <c r="Q14" s="1936"/>
      <c r="R14" s="1936"/>
      <c r="S14" s="1936"/>
      <c r="T14" s="363"/>
    </row>
    <row r="15" spans="1:96" ht="19.5" customHeight="1">
      <c r="A15" s="181"/>
      <c r="B15" s="391"/>
      <c r="C15" s="181"/>
      <c r="D15" s="351"/>
      <c r="E15" s="181"/>
      <c r="F15" s="181"/>
      <c r="G15" s="181"/>
      <c r="H15" s="181"/>
      <c r="I15" s="181"/>
      <c r="J15" s="181"/>
      <c r="K15" s="181"/>
      <c r="M15" s="362"/>
      <c r="N15" s="1935" t="s">
        <v>1560</v>
      </c>
      <c r="O15" s="1935"/>
      <c r="P15" s="1935"/>
      <c r="Q15" s="1935"/>
      <c r="R15" s="1935"/>
      <c r="S15" s="1935"/>
      <c r="T15" s="363"/>
    </row>
    <row r="16" spans="1:96" ht="36" customHeight="1">
      <c r="A16" s="181"/>
      <c r="B16" s="391"/>
      <c r="C16" s="181"/>
      <c r="D16" s="351"/>
      <c r="E16" s="181"/>
      <c r="F16" s="1915"/>
      <c r="G16" s="1915"/>
      <c r="H16" s="1915"/>
      <c r="I16" s="1915"/>
      <c r="J16" s="1915"/>
      <c r="K16" s="181"/>
      <c r="M16" s="362"/>
      <c r="N16" s="641"/>
      <c r="O16" s="641"/>
      <c r="P16" s="1927" t="s">
        <v>2294</v>
      </c>
      <c r="Q16" s="1927"/>
      <c r="R16" s="646"/>
      <c r="S16" s="641"/>
      <c r="T16" s="363"/>
    </row>
    <row r="17" spans="1:96" ht="45.75" customHeight="1">
      <c r="A17" s="181"/>
      <c r="B17" s="391"/>
      <c r="C17" s="181"/>
      <c r="D17" s="351"/>
      <c r="E17" s="1916"/>
      <c r="F17" s="1916"/>
      <c r="G17" s="1916"/>
      <c r="H17" s="1916"/>
      <c r="I17" s="1916"/>
      <c r="J17" s="1916"/>
      <c r="K17" s="1916"/>
      <c r="M17" s="362"/>
      <c r="N17" s="641"/>
      <c r="O17" s="641"/>
      <c r="P17" s="1931" t="s">
        <v>2064</v>
      </c>
      <c r="Q17" s="1931"/>
      <c r="R17" s="1931"/>
      <c r="S17" s="1931"/>
      <c r="T17" s="363"/>
    </row>
    <row r="18" spans="1:96" s="1080" customFormat="1" ht="26.25" customHeight="1">
      <c r="A18" s="181"/>
      <c r="B18" s="391"/>
      <c r="C18" s="181"/>
      <c r="D18" s="351"/>
      <c r="E18" s="1343"/>
      <c r="F18" s="1343"/>
      <c r="G18" s="1343"/>
      <c r="H18" s="1343"/>
      <c r="I18" s="1343"/>
      <c r="J18" s="1343"/>
      <c r="K18" s="1343"/>
      <c r="L18" s="189"/>
      <c r="M18" s="362"/>
      <c r="N18" s="641"/>
      <c r="O18" s="641"/>
      <c r="P18" s="1927" t="s">
        <v>2295</v>
      </c>
      <c r="Q18" s="1927"/>
      <c r="R18" s="1927"/>
      <c r="S18" s="1386"/>
      <c r="T18" s="363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</row>
    <row r="19" spans="1:96" ht="38.25" customHeight="1">
      <c r="A19" s="181"/>
      <c r="B19" s="391"/>
      <c r="C19" s="181"/>
      <c r="D19" s="351"/>
      <c r="E19" s="352"/>
      <c r="F19" s="1932"/>
      <c r="G19" s="1932"/>
      <c r="H19" s="1932"/>
      <c r="I19" s="1932"/>
      <c r="J19" s="1932"/>
      <c r="K19" s="352"/>
      <c r="M19" s="362"/>
      <c r="N19" s="641"/>
      <c r="O19" s="641"/>
      <c r="P19" s="1933" t="s">
        <v>2738</v>
      </c>
      <c r="Q19" s="1933"/>
      <c r="R19" s="1933"/>
      <c r="S19" s="1933"/>
      <c r="T19" s="363"/>
    </row>
    <row r="20" spans="1:96" s="1568" customFormat="1" ht="4.5" customHeight="1">
      <c r="A20" s="181"/>
      <c r="B20" s="391"/>
      <c r="C20" s="181"/>
      <c r="D20" s="351"/>
      <c r="E20" s="352"/>
      <c r="F20" s="1570"/>
      <c r="G20" s="1570"/>
      <c r="H20" s="1570"/>
      <c r="I20" s="1570"/>
      <c r="J20" s="1570"/>
      <c r="K20" s="352"/>
      <c r="L20" s="189"/>
      <c r="M20" s="362"/>
      <c r="N20" s="641"/>
      <c r="O20" s="641"/>
      <c r="P20" s="1565"/>
      <c r="Q20" s="1565"/>
      <c r="R20" s="1565"/>
      <c r="S20" s="1565"/>
      <c r="T20" s="363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</row>
    <row r="21" spans="1:96" s="1568" customFormat="1" ht="40.5" customHeight="1">
      <c r="A21" s="181"/>
      <c r="B21" s="391"/>
      <c r="C21" s="181"/>
      <c r="D21" s="351"/>
      <c r="E21" s="352"/>
      <c r="F21" s="1570"/>
      <c r="G21" s="1570"/>
      <c r="H21" s="1570"/>
      <c r="I21" s="1570"/>
      <c r="J21" s="1570"/>
      <c r="K21" s="352"/>
      <c r="L21" s="189"/>
      <c r="M21" s="362"/>
      <c r="N21" s="641"/>
      <c r="O21" s="641"/>
      <c r="P21" s="1939" t="s">
        <v>2737</v>
      </c>
      <c r="Q21" s="1939"/>
      <c r="R21" s="1939"/>
      <c r="S21" s="1939"/>
      <c r="T21" s="363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</row>
    <row r="22" spans="1:96" s="1366" customFormat="1" ht="38.25" customHeight="1">
      <c r="A22" s="181"/>
      <c r="B22" s="391"/>
      <c r="C22" s="181"/>
      <c r="D22" s="351"/>
      <c r="E22" s="352"/>
      <c r="F22" s="1481"/>
      <c r="G22" s="1481"/>
      <c r="H22" s="1481"/>
      <c r="I22" s="1481"/>
      <c r="J22" s="1481"/>
      <c r="K22" s="352"/>
      <c r="L22" s="189"/>
      <c r="M22" s="362"/>
      <c r="N22" s="641"/>
      <c r="O22" s="641"/>
      <c r="P22" s="1933" t="s">
        <v>2629</v>
      </c>
      <c r="Q22" s="1933"/>
      <c r="R22" s="1933"/>
      <c r="S22" s="1933"/>
      <c r="T22" s="363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</row>
    <row r="23" spans="1:96" s="1366" customFormat="1" ht="19.5" customHeight="1">
      <c r="A23" s="181"/>
      <c r="B23" s="391"/>
      <c r="C23" s="181"/>
      <c r="D23" s="351"/>
      <c r="E23" s="352"/>
      <c r="F23" s="1481"/>
      <c r="G23" s="1481"/>
      <c r="H23" s="1481"/>
      <c r="I23" s="1481"/>
      <c r="J23" s="1481"/>
      <c r="K23" s="352"/>
      <c r="L23" s="189"/>
      <c r="M23" s="362"/>
      <c r="N23" s="641"/>
      <c r="O23" s="641"/>
      <c r="P23" s="1940" t="s">
        <v>2904</v>
      </c>
      <c r="Q23" s="1940"/>
      <c r="R23" s="1940"/>
      <c r="S23" s="1569"/>
      <c r="T23" s="363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</row>
    <row r="24" spans="1:96" ht="16.5" customHeight="1">
      <c r="A24" s="181"/>
      <c r="B24" s="391"/>
      <c r="C24" s="181"/>
      <c r="D24" s="351"/>
      <c r="E24" s="181"/>
      <c r="F24" s="181"/>
      <c r="G24" s="181"/>
      <c r="H24" s="181"/>
      <c r="I24" s="181"/>
      <c r="J24" s="181"/>
      <c r="K24" s="181"/>
      <c r="M24" s="362"/>
      <c r="N24" s="641"/>
      <c r="O24" s="797"/>
      <c r="P24" s="1940"/>
      <c r="Q24" s="1940"/>
      <c r="R24" s="1940"/>
      <c r="S24" s="1569"/>
      <c r="T24" s="363"/>
    </row>
    <row r="25" spans="1:96" ht="10.5" customHeight="1">
      <c r="A25" s="181"/>
      <c r="B25" s="391"/>
      <c r="C25" s="181"/>
      <c r="D25" s="351"/>
      <c r="E25" s="181"/>
      <c r="F25" s="181"/>
      <c r="G25" s="181"/>
      <c r="H25" s="181"/>
      <c r="I25" s="181"/>
      <c r="J25" s="181"/>
      <c r="K25" s="181"/>
      <c r="M25" s="362"/>
      <c r="N25" s="641"/>
      <c r="O25" s="641"/>
      <c r="P25" s="798"/>
      <c r="Q25" s="798"/>
      <c r="R25" s="796"/>
      <c r="S25" s="1388"/>
      <c r="T25" s="363"/>
      <c r="U25" s="733"/>
    </row>
    <row r="26" spans="1:96" ht="12.75" customHeight="1">
      <c r="A26" s="181"/>
      <c r="B26" s="391"/>
      <c r="C26" s="181"/>
      <c r="D26" s="351"/>
      <c r="E26" s="181"/>
      <c r="F26" s="181"/>
      <c r="G26" s="181"/>
      <c r="H26" s="181"/>
      <c r="I26" s="181"/>
      <c r="J26" s="181"/>
      <c r="K26" s="181"/>
      <c r="M26" s="362"/>
      <c r="N26" s="641"/>
      <c r="O26" s="641"/>
      <c r="P26" s="798" t="s">
        <v>2833</v>
      </c>
      <c r="Q26" s="798"/>
      <c r="R26" s="798"/>
      <c r="S26" s="641"/>
      <c r="T26" s="363"/>
    </row>
    <row r="27" spans="1:96" ht="16.5" customHeight="1">
      <c r="A27" s="181"/>
      <c r="B27" s="391"/>
      <c r="C27" s="181"/>
      <c r="D27" s="351"/>
      <c r="E27" s="181"/>
      <c r="F27" s="181"/>
      <c r="G27" s="181"/>
      <c r="H27" s="181"/>
      <c r="I27" s="181"/>
      <c r="J27" s="181"/>
      <c r="K27" s="181"/>
      <c r="M27" s="362"/>
      <c r="N27" s="641"/>
      <c r="O27" s="641"/>
      <c r="P27" s="799" t="s">
        <v>2874</v>
      </c>
      <c r="Q27" s="799"/>
      <c r="R27" s="799"/>
      <c r="T27" s="363"/>
    </row>
    <row r="28" spans="1:96" s="1568" customFormat="1" ht="8.25" customHeight="1">
      <c r="A28" s="181"/>
      <c r="B28" s="391"/>
      <c r="C28" s="181"/>
      <c r="D28" s="351"/>
      <c r="E28" s="181"/>
      <c r="F28" s="181"/>
      <c r="G28" s="181"/>
      <c r="H28" s="181"/>
      <c r="I28" s="181"/>
      <c r="J28" s="181"/>
      <c r="K28" s="181"/>
      <c r="L28" s="189"/>
      <c r="M28" s="362"/>
      <c r="N28" s="641"/>
      <c r="O28" s="641"/>
      <c r="P28" s="799"/>
      <c r="Q28" s="799"/>
      <c r="R28" s="799"/>
      <c r="S28" s="189"/>
      <c r="T28" s="363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</row>
    <row r="29" spans="1:96" s="1793" customFormat="1" ht="12.75" customHeight="1">
      <c r="A29" s="181"/>
      <c r="B29" s="391"/>
      <c r="C29" s="181"/>
      <c r="D29" s="351"/>
      <c r="E29" s="181"/>
      <c r="F29" s="181"/>
      <c r="G29" s="181"/>
      <c r="H29" s="181"/>
      <c r="I29" s="181"/>
      <c r="J29" s="181"/>
      <c r="K29" s="181"/>
      <c r="L29" s="189"/>
      <c r="M29" s="362"/>
      <c r="N29" s="641"/>
      <c r="O29" s="641"/>
      <c r="P29" s="798" t="s">
        <v>2971</v>
      </c>
      <c r="Q29" s="798"/>
      <c r="R29" s="798"/>
      <c r="S29" s="641"/>
      <c r="T29" s="363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</row>
    <row r="30" spans="1:96" s="1793" customFormat="1" ht="16.5" customHeight="1">
      <c r="A30" s="181"/>
      <c r="B30" s="391"/>
      <c r="C30" s="181"/>
      <c r="D30" s="351"/>
      <c r="E30" s="181"/>
      <c r="F30" s="181"/>
      <c r="G30" s="181"/>
      <c r="H30" s="181"/>
      <c r="I30" s="181"/>
      <c r="J30" s="181"/>
      <c r="K30" s="181"/>
      <c r="L30" s="189"/>
      <c r="M30" s="362"/>
      <c r="N30" s="641"/>
      <c r="O30" s="641"/>
      <c r="P30" s="799" t="s">
        <v>2970</v>
      </c>
      <c r="Q30" s="799"/>
      <c r="R30" s="799"/>
      <c r="S30" s="189"/>
      <c r="T30" s="363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</row>
    <row r="31" spans="1:96" s="1080" customFormat="1" ht="17.25" customHeight="1" thickBot="1">
      <c r="A31" s="181"/>
      <c r="B31" s="391"/>
      <c r="C31" s="181"/>
      <c r="D31" s="351"/>
      <c r="E31" s="181"/>
      <c r="F31" s="181"/>
      <c r="G31" s="181"/>
      <c r="H31" s="181"/>
      <c r="I31" s="181"/>
      <c r="J31" s="181"/>
      <c r="K31" s="181"/>
      <c r="L31" s="189"/>
      <c r="M31" s="364"/>
      <c r="N31" s="1389"/>
      <c r="O31" s="1389"/>
      <c r="P31" s="1389"/>
      <c r="Q31" s="1389"/>
      <c r="R31" s="1389"/>
      <c r="S31" s="1389"/>
      <c r="T31" s="365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</row>
    <row r="32" spans="1:96" s="1080" customFormat="1" ht="17.25" customHeight="1">
      <c r="A32" s="181"/>
      <c r="B32" s="391"/>
      <c r="C32" s="181"/>
      <c r="D32" s="351"/>
      <c r="E32" s="181"/>
      <c r="F32" s="181"/>
      <c r="G32" s="181"/>
      <c r="H32" s="181"/>
      <c r="I32" s="181"/>
      <c r="J32" s="181"/>
      <c r="K32" s="181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</row>
    <row r="33" spans="1:96" s="1080" customFormat="1" ht="17.25" customHeight="1">
      <c r="A33" s="181"/>
      <c r="B33" s="391"/>
      <c r="C33" s="181"/>
      <c r="D33" s="351"/>
      <c r="E33" s="181"/>
      <c r="F33" s="181"/>
      <c r="G33" s="181"/>
      <c r="H33" s="181"/>
      <c r="I33" s="181"/>
      <c r="J33" s="181"/>
      <c r="K33" s="181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</row>
    <row r="34" spans="1:96" s="1080" customFormat="1" ht="17.25" customHeight="1">
      <c r="A34" s="181"/>
      <c r="B34" s="391"/>
      <c r="C34" s="181"/>
      <c r="D34" s="351"/>
      <c r="E34" s="181"/>
      <c r="F34" s="181"/>
      <c r="G34" s="181"/>
      <c r="H34" s="181"/>
      <c r="I34" s="181"/>
      <c r="J34" s="181"/>
      <c r="K34" s="181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</row>
    <row r="35" spans="1:96" s="1080" customFormat="1" ht="17.25" customHeight="1">
      <c r="A35" s="181"/>
      <c r="B35" s="391"/>
      <c r="C35" s="181"/>
      <c r="D35" s="351"/>
      <c r="E35" s="181"/>
      <c r="F35" s="181"/>
      <c r="G35" s="181"/>
      <c r="H35" s="181"/>
      <c r="I35" s="181"/>
      <c r="J35" s="181"/>
      <c r="K35" s="181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</row>
    <row r="36" spans="1:96" ht="15" customHeight="1">
      <c r="A36" s="181"/>
      <c r="B36" s="391"/>
      <c r="C36" s="181"/>
      <c r="D36" s="351"/>
      <c r="E36" s="181"/>
      <c r="F36" s="181"/>
      <c r="G36" s="181"/>
      <c r="H36" s="181"/>
      <c r="I36" s="181"/>
      <c r="J36" s="181"/>
      <c r="K36" s="181"/>
    </row>
    <row r="37" spans="1:96" ht="15" customHeight="1">
      <c r="A37" s="181"/>
      <c r="B37" s="391"/>
      <c r="C37" s="181"/>
      <c r="D37" s="351"/>
      <c r="E37" s="181"/>
      <c r="F37" s="181"/>
      <c r="G37" s="181"/>
      <c r="H37" s="181"/>
      <c r="I37" s="181"/>
      <c r="J37" s="181"/>
      <c r="K37" s="181"/>
    </row>
    <row r="38" spans="1:96" ht="15" customHeight="1">
      <c r="A38" s="181"/>
      <c r="B38" s="391"/>
      <c r="C38" s="181"/>
      <c r="D38" s="351"/>
      <c r="E38" s="181"/>
      <c r="F38" s="181"/>
      <c r="G38" s="181"/>
      <c r="H38" s="181"/>
      <c r="I38" s="181"/>
      <c r="J38" s="181"/>
      <c r="K38" s="181"/>
    </row>
    <row r="39" spans="1:96" ht="12.75" customHeight="1">
      <c r="A39" s="181"/>
      <c r="B39" s="391"/>
      <c r="C39" s="181"/>
      <c r="D39" s="351"/>
      <c r="E39" s="181"/>
      <c r="F39" s="181"/>
      <c r="G39" s="181"/>
      <c r="H39" s="181"/>
      <c r="I39" s="181"/>
      <c r="J39" s="181"/>
      <c r="K39" s="181"/>
      <c r="N39" s="190"/>
      <c r="O39" s="190"/>
      <c r="P39" s="206"/>
      <c r="Q39" s="1929"/>
      <c r="R39" s="1930"/>
      <c r="S39" s="1930"/>
      <c r="T39" s="190"/>
    </row>
    <row r="40" spans="1:96" ht="21.75" customHeight="1" thickBot="1">
      <c r="A40" s="181"/>
      <c r="B40" s="391"/>
      <c r="C40" s="181"/>
      <c r="D40" s="351"/>
      <c r="E40" s="181"/>
      <c r="F40" s="181"/>
      <c r="G40" s="181"/>
      <c r="H40" s="181"/>
      <c r="I40" s="181"/>
      <c r="J40" s="181"/>
      <c r="K40" s="181"/>
      <c r="N40" s="190"/>
      <c r="O40" s="190"/>
      <c r="P40" s="190"/>
      <c r="Q40" s="190"/>
      <c r="R40" s="190"/>
      <c r="S40" s="190"/>
      <c r="T40" s="190"/>
    </row>
    <row r="41" spans="1:96" ht="30.75" customHeight="1">
      <c r="A41" s="181"/>
      <c r="B41" s="391"/>
      <c r="C41" s="654"/>
      <c r="D41" s="655"/>
      <c r="E41" s="655"/>
      <c r="F41" s="655"/>
      <c r="G41" s="655"/>
      <c r="H41" s="655"/>
      <c r="I41" s="655"/>
      <c r="J41" s="656"/>
      <c r="K41" s="181"/>
      <c r="M41" s="1920" t="s">
        <v>1285</v>
      </c>
      <c r="N41" s="1921"/>
      <c r="O41" s="1921"/>
      <c r="P41" s="1921"/>
      <c r="Q41" s="1921"/>
      <c r="R41" s="1921"/>
      <c r="S41" s="1921"/>
      <c r="T41" s="1922"/>
      <c r="CK41"/>
      <c r="CL41"/>
      <c r="CM41"/>
      <c r="CN41"/>
      <c r="CO41"/>
      <c r="CP41"/>
      <c r="CQ41"/>
      <c r="CR41"/>
    </row>
    <row r="42" spans="1:96" s="735" customFormat="1" ht="21" customHeight="1">
      <c r="A42" s="734"/>
      <c r="B42" s="391"/>
      <c r="C42" s="1917" t="s">
        <v>840</v>
      </c>
      <c r="D42" s="1918"/>
      <c r="E42" s="1918"/>
      <c r="F42" s="1918"/>
      <c r="G42" s="1918"/>
      <c r="H42" s="1918"/>
      <c r="I42" s="1918"/>
      <c r="J42" s="1919"/>
      <c r="K42" s="367"/>
      <c r="L42" s="733"/>
      <c r="M42" s="1923"/>
      <c r="N42" s="1924"/>
      <c r="O42" s="1924"/>
      <c r="P42" s="1924"/>
      <c r="Q42" s="1924"/>
      <c r="R42" s="1924"/>
      <c r="S42" s="1924"/>
      <c r="T42" s="1925"/>
      <c r="U42" s="733"/>
      <c r="V42" s="733"/>
      <c r="W42" s="733"/>
      <c r="X42" s="733"/>
      <c r="Y42" s="733"/>
      <c r="Z42" s="733"/>
      <c r="AA42" s="733"/>
      <c r="AB42" s="733"/>
      <c r="AC42" s="733"/>
      <c r="AD42" s="733"/>
      <c r="AE42" s="733"/>
      <c r="AF42" s="733"/>
      <c r="AG42" s="733"/>
      <c r="AH42" s="733"/>
      <c r="AI42" s="733"/>
      <c r="AJ42" s="733"/>
      <c r="AK42" s="733"/>
      <c r="AL42" s="733"/>
      <c r="AM42" s="733"/>
      <c r="AN42" s="733"/>
      <c r="AO42" s="733"/>
      <c r="AP42" s="733"/>
      <c r="AQ42" s="733"/>
      <c r="AR42" s="733"/>
      <c r="AS42" s="733"/>
      <c r="AT42" s="733"/>
      <c r="AU42" s="733"/>
      <c r="AV42" s="733"/>
      <c r="AW42" s="733"/>
      <c r="AX42" s="733"/>
      <c r="AY42" s="733"/>
      <c r="AZ42" s="733"/>
      <c r="BA42" s="733"/>
      <c r="BB42" s="733"/>
      <c r="BC42" s="733"/>
      <c r="BD42" s="733"/>
      <c r="BE42" s="733"/>
      <c r="BF42" s="733"/>
      <c r="BG42" s="733"/>
      <c r="BH42" s="733"/>
      <c r="BI42" s="733"/>
      <c r="BJ42" s="733"/>
      <c r="BK42" s="733"/>
      <c r="BL42" s="733"/>
      <c r="BM42" s="733"/>
      <c r="BN42" s="733"/>
      <c r="BO42" s="733"/>
      <c r="BP42" s="733"/>
      <c r="BQ42" s="733"/>
      <c r="BR42" s="733"/>
      <c r="BS42" s="733"/>
      <c r="BT42" s="733"/>
      <c r="BU42" s="733"/>
      <c r="BV42" s="733"/>
      <c r="BW42" s="733"/>
      <c r="BX42" s="733"/>
      <c r="BY42" s="733"/>
      <c r="BZ42" s="733"/>
      <c r="CA42" s="733"/>
      <c r="CB42" s="733"/>
      <c r="CC42" s="733"/>
      <c r="CD42" s="733"/>
      <c r="CE42" s="733"/>
      <c r="CF42" s="733"/>
      <c r="CG42" s="733"/>
      <c r="CH42" s="733"/>
      <c r="CI42" s="733"/>
      <c r="CJ42" s="733"/>
    </row>
    <row r="43" spans="1:96" s="737" customFormat="1" ht="19.5" customHeight="1">
      <c r="A43" s="734"/>
      <c r="B43" s="353"/>
      <c r="C43" s="1928" t="s">
        <v>841</v>
      </c>
      <c r="D43" s="1918"/>
      <c r="E43" s="1918"/>
      <c r="F43" s="1918"/>
      <c r="G43" s="1918"/>
      <c r="H43" s="1918"/>
      <c r="I43" s="1918"/>
      <c r="J43" s="1919"/>
      <c r="K43" s="368"/>
      <c r="L43" s="736"/>
      <c r="M43" s="1923"/>
      <c r="N43" s="1924"/>
      <c r="O43" s="1924"/>
      <c r="P43" s="1924"/>
      <c r="Q43" s="1924"/>
      <c r="R43" s="1924"/>
      <c r="S43" s="1924"/>
      <c r="T43" s="1925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736"/>
      <c r="AJ43" s="736"/>
      <c r="AK43" s="736"/>
      <c r="AL43" s="736"/>
      <c r="AM43" s="736"/>
      <c r="AN43" s="736"/>
      <c r="AO43" s="736"/>
      <c r="AP43" s="736"/>
      <c r="AQ43" s="736"/>
      <c r="AR43" s="736"/>
      <c r="AS43" s="736"/>
      <c r="AT43" s="736"/>
      <c r="AU43" s="736"/>
      <c r="AV43" s="736"/>
      <c r="AW43" s="736"/>
      <c r="AX43" s="736"/>
      <c r="AY43" s="736"/>
      <c r="AZ43" s="736"/>
      <c r="BA43" s="736"/>
      <c r="BB43" s="736"/>
      <c r="BC43" s="736"/>
      <c r="BD43" s="736"/>
      <c r="BE43" s="736"/>
      <c r="BF43" s="736"/>
      <c r="BG43" s="736"/>
      <c r="BH43" s="736"/>
      <c r="BI43" s="736"/>
      <c r="BJ43" s="736"/>
      <c r="BK43" s="736"/>
      <c r="BL43" s="736"/>
      <c r="BM43" s="736"/>
      <c r="BN43" s="736"/>
      <c r="BO43" s="736"/>
      <c r="BP43" s="736"/>
      <c r="BQ43" s="736"/>
      <c r="BR43" s="736"/>
      <c r="BS43" s="736"/>
      <c r="BT43" s="736"/>
      <c r="BU43" s="736"/>
      <c r="BV43" s="736"/>
      <c r="BW43" s="736"/>
      <c r="BX43" s="736"/>
      <c r="BY43" s="736"/>
      <c r="BZ43" s="736"/>
      <c r="CA43" s="736"/>
      <c r="CB43" s="736"/>
      <c r="CC43" s="736"/>
      <c r="CD43" s="736"/>
      <c r="CE43" s="736"/>
      <c r="CF43" s="736"/>
      <c r="CG43" s="736"/>
      <c r="CH43" s="736"/>
      <c r="CI43" s="736"/>
      <c r="CJ43" s="736"/>
    </row>
    <row r="44" spans="1:96" s="737" customFormat="1" ht="19.5" customHeight="1">
      <c r="A44" s="734"/>
      <c r="B44" s="353"/>
      <c r="C44" s="1496"/>
      <c r="D44" s="1494"/>
      <c r="E44" s="1494"/>
      <c r="F44" s="1494"/>
      <c r="G44" s="1494"/>
      <c r="H44" s="1494"/>
      <c r="I44" s="1494"/>
      <c r="J44" s="1495"/>
      <c r="K44" s="368"/>
      <c r="L44" s="736"/>
      <c r="M44" s="1923"/>
      <c r="N44" s="1924"/>
      <c r="O44" s="1924"/>
      <c r="P44" s="1924"/>
      <c r="Q44" s="1924"/>
      <c r="R44" s="1924"/>
      <c r="S44" s="1924"/>
      <c r="T44" s="1925"/>
      <c r="U44" s="736"/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736"/>
      <c r="AJ44" s="736"/>
      <c r="AK44" s="736"/>
      <c r="AL44" s="736"/>
      <c r="AM44" s="736"/>
      <c r="AN44" s="736"/>
      <c r="AO44" s="736"/>
      <c r="AP44" s="736"/>
      <c r="AQ44" s="736"/>
      <c r="AR44" s="736"/>
      <c r="AS44" s="736"/>
      <c r="AT44" s="736"/>
      <c r="AU44" s="736"/>
      <c r="AV44" s="736"/>
      <c r="AW44" s="736"/>
      <c r="AX44" s="736"/>
      <c r="AY44" s="736"/>
      <c r="AZ44" s="736"/>
      <c r="BA44" s="736"/>
      <c r="BB44" s="736"/>
      <c r="BC44" s="736"/>
      <c r="BD44" s="736"/>
      <c r="BE44" s="736"/>
      <c r="BF44" s="736"/>
      <c r="BG44" s="736"/>
      <c r="BH44" s="736"/>
      <c r="BI44" s="736"/>
      <c r="BJ44" s="736"/>
      <c r="BK44" s="736"/>
      <c r="BL44" s="736"/>
      <c r="BM44" s="736"/>
      <c r="BN44" s="736"/>
      <c r="BO44" s="736"/>
      <c r="BP44" s="736"/>
      <c r="BQ44" s="736"/>
      <c r="BR44" s="736"/>
      <c r="BS44" s="736"/>
      <c r="BT44" s="736"/>
      <c r="BU44" s="736"/>
      <c r="BV44" s="736"/>
      <c r="BW44" s="736"/>
      <c r="BX44" s="736"/>
      <c r="BY44" s="736"/>
      <c r="BZ44" s="736"/>
      <c r="CA44" s="736"/>
      <c r="CB44" s="736"/>
      <c r="CC44" s="736"/>
      <c r="CD44" s="736"/>
      <c r="CE44" s="736"/>
      <c r="CF44" s="736"/>
      <c r="CG44" s="736"/>
      <c r="CH44" s="736"/>
      <c r="CI44" s="736"/>
      <c r="CJ44" s="736"/>
    </row>
    <row r="45" spans="1:96" s="737" customFormat="1" ht="18.75" customHeight="1">
      <c r="A45" s="734"/>
      <c r="B45" s="353"/>
      <c r="C45" s="1926" t="s">
        <v>3005</v>
      </c>
      <c r="D45" s="1918"/>
      <c r="E45" s="1918"/>
      <c r="F45" s="1918"/>
      <c r="G45" s="1918"/>
      <c r="H45" s="1918"/>
      <c r="I45" s="1918"/>
      <c r="J45" s="1919"/>
      <c r="K45" s="369"/>
      <c r="L45" s="736"/>
      <c r="M45" s="1923"/>
      <c r="N45" s="1924"/>
      <c r="O45" s="1924"/>
      <c r="P45" s="1924"/>
      <c r="Q45" s="1924"/>
      <c r="R45" s="1924"/>
      <c r="S45" s="1924"/>
      <c r="T45" s="1925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736"/>
      <c r="AJ45" s="736"/>
      <c r="AK45" s="736"/>
      <c r="AL45" s="736"/>
      <c r="AM45" s="736"/>
      <c r="AN45" s="736"/>
      <c r="AO45" s="736"/>
      <c r="AP45" s="736"/>
      <c r="AQ45" s="736"/>
      <c r="AR45" s="736"/>
      <c r="AS45" s="736"/>
      <c r="AT45" s="736"/>
      <c r="AU45" s="736"/>
      <c r="AV45" s="736"/>
      <c r="AW45" s="736"/>
      <c r="AX45" s="736"/>
      <c r="AY45" s="736"/>
      <c r="AZ45" s="736"/>
      <c r="BA45" s="736"/>
      <c r="BB45" s="736"/>
      <c r="BC45" s="736"/>
      <c r="BD45" s="736"/>
      <c r="BE45" s="736"/>
      <c r="BF45" s="736"/>
      <c r="BG45" s="736"/>
      <c r="BH45" s="736"/>
      <c r="BI45" s="736"/>
      <c r="BJ45" s="736"/>
      <c r="BK45" s="736"/>
      <c r="BL45" s="736"/>
      <c r="BM45" s="736"/>
      <c r="BN45" s="736"/>
      <c r="BO45" s="736"/>
      <c r="BP45" s="736"/>
      <c r="BQ45" s="736"/>
      <c r="BR45" s="736"/>
      <c r="BS45" s="736"/>
      <c r="BT45" s="736"/>
      <c r="BU45" s="736"/>
      <c r="BV45" s="736"/>
      <c r="BW45" s="736"/>
      <c r="BX45" s="736"/>
      <c r="BY45" s="736"/>
      <c r="BZ45" s="736"/>
      <c r="CA45" s="736"/>
      <c r="CB45" s="736"/>
      <c r="CC45" s="736"/>
      <c r="CD45" s="736"/>
      <c r="CE45" s="736"/>
      <c r="CF45" s="736"/>
      <c r="CG45" s="736"/>
      <c r="CH45" s="736"/>
      <c r="CI45" s="736"/>
      <c r="CJ45" s="736"/>
    </row>
    <row r="46" spans="1:96" s="189" customFormat="1" ht="20.25" customHeight="1">
      <c r="B46" s="738"/>
      <c r="C46" s="649"/>
      <c r="D46" s="650"/>
      <c r="E46" s="650"/>
      <c r="F46" s="650"/>
      <c r="G46" s="650"/>
      <c r="H46" s="650"/>
      <c r="I46" s="650"/>
      <c r="J46" s="651"/>
      <c r="K46" s="366"/>
      <c r="M46" s="643"/>
      <c r="N46" s="644"/>
      <c r="O46" s="1938" t="s">
        <v>2292</v>
      </c>
      <c r="P46" s="1938"/>
      <c r="Q46" s="1938"/>
      <c r="R46" s="1938"/>
      <c r="S46" s="1938"/>
      <c r="T46" s="1202"/>
    </row>
    <row r="47" spans="1:96" s="189" customFormat="1" ht="15.75" customHeight="1">
      <c r="B47" s="738"/>
      <c r="C47" s="649"/>
      <c r="D47" s="650"/>
      <c r="E47" s="650"/>
      <c r="F47" s="650"/>
      <c r="G47" s="650"/>
      <c r="H47" s="650"/>
      <c r="I47" s="650"/>
      <c r="J47" s="651"/>
      <c r="K47" s="366"/>
      <c r="M47" s="645"/>
      <c r="N47" s="646"/>
      <c r="O47" s="1937" t="s">
        <v>2291</v>
      </c>
      <c r="P47" s="1937"/>
      <c r="Q47" s="1937"/>
      <c r="R47" s="1937"/>
      <c r="S47" s="800"/>
      <c r="T47" s="801"/>
    </row>
    <row r="48" spans="1:96" s="189" customFormat="1" ht="17.25" customHeight="1">
      <c r="B48" s="738"/>
      <c r="C48" s="649"/>
      <c r="D48" s="650"/>
      <c r="E48" s="650"/>
      <c r="F48" s="650"/>
      <c r="G48" s="650"/>
      <c r="H48" s="650"/>
      <c r="I48" s="650"/>
      <c r="J48" s="651"/>
      <c r="K48" s="366"/>
      <c r="M48" s="645"/>
      <c r="N48" s="646"/>
      <c r="O48" s="1937" t="s">
        <v>773</v>
      </c>
      <c r="P48" s="1937"/>
      <c r="Q48" s="1937"/>
      <c r="R48" s="1385"/>
      <c r="S48" s="802"/>
      <c r="T48" s="803"/>
    </row>
    <row r="49" spans="2:20" s="189" customFormat="1" ht="17.25" customHeight="1">
      <c r="B49" s="738"/>
      <c r="C49" s="657"/>
      <c r="D49" s="658"/>
      <c r="E49" s="658"/>
      <c r="F49" s="658"/>
      <c r="G49" s="658"/>
      <c r="H49" s="658"/>
      <c r="I49" s="658"/>
      <c r="J49" s="659"/>
      <c r="K49" s="366"/>
      <c r="M49" s="645"/>
      <c r="N49" s="642"/>
      <c r="O49" s="1937" t="s">
        <v>774</v>
      </c>
      <c r="P49" s="1937"/>
      <c r="Q49" s="1937"/>
      <c r="R49" s="1385"/>
      <c r="S49" s="1384"/>
      <c r="T49" s="803"/>
    </row>
    <row r="50" spans="2:20" s="189" customFormat="1" ht="24.75" customHeight="1">
      <c r="B50" s="738"/>
      <c r="C50" s="1344"/>
      <c r="D50" s="1345"/>
      <c r="E50" s="1345"/>
      <c r="F50" s="1345"/>
      <c r="G50" s="1345"/>
      <c r="H50" s="1345"/>
      <c r="I50" s="1345"/>
      <c r="J50" s="1346"/>
      <c r="K50" s="366"/>
      <c r="M50" s="648"/>
      <c r="N50" s="642"/>
      <c r="O50" s="1937" t="s">
        <v>1286</v>
      </c>
      <c r="P50" s="1937"/>
      <c r="Q50" s="1937"/>
      <c r="R50" s="1385"/>
      <c r="S50" s="1384"/>
      <c r="T50" s="803"/>
    </row>
    <row r="51" spans="2:20" s="189" customFormat="1" ht="15.75" customHeight="1">
      <c r="B51" s="738"/>
      <c r="C51" s="1344"/>
      <c r="D51" s="1345"/>
      <c r="E51" s="1345"/>
      <c r="F51" s="1345"/>
      <c r="G51" s="1345"/>
      <c r="H51" s="1345"/>
      <c r="I51" s="1345"/>
      <c r="J51" s="1346"/>
      <c r="K51" s="366"/>
      <c r="M51" s="648"/>
      <c r="N51" s="642"/>
      <c r="O51" s="1938" t="s">
        <v>2626</v>
      </c>
      <c r="P51" s="1938"/>
      <c r="Q51" s="1938"/>
      <c r="R51" s="1938"/>
      <c r="S51" s="1938"/>
      <c r="T51" s="803"/>
    </row>
    <row r="52" spans="2:20" s="189" customFormat="1" ht="15.75" customHeight="1">
      <c r="B52" s="738"/>
      <c r="C52" s="1344"/>
      <c r="D52" s="1345"/>
      <c r="E52" s="1345"/>
      <c r="F52" s="1345"/>
      <c r="G52" s="1345"/>
      <c r="H52" s="1345"/>
      <c r="I52" s="1345"/>
      <c r="J52" s="1346"/>
      <c r="K52" s="366"/>
      <c r="M52" s="648"/>
      <c r="N52" s="642"/>
      <c r="O52" s="1937" t="s">
        <v>2057</v>
      </c>
      <c r="P52" s="1937"/>
      <c r="Q52" s="1937"/>
      <c r="R52" s="1937"/>
      <c r="S52" s="800"/>
      <c r="T52" s="803"/>
    </row>
    <row r="53" spans="2:20" s="189" customFormat="1" ht="15.75" customHeight="1">
      <c r="B53" s="738"/>
      <c r="C53" s="1344"/>
      <c r="D53" s="1345"/>
      <c r="E53" s="1345"/>
      <c r="F53" s="1345"/>
      <c r="G53" s="1345"/>
      <c r="H53" s="1345"/>
      <c r="I53" s="1345"/>
      <c r="J53" s="1346"/>
      <c r="K53" s="366"/>
      <c r="M53" s="648"/>
      <c r="N53" s="642"/>
      <c r="O53" s="1937" t="s">
        <v>773</v>
      </c>
      <c r="P53" s="1937"/>
      <c r="Q53" s="1937"/>
      <c r="R53" s="1566"/>
      <c r="S53" s="802"/>
      <c r="T53" s="803"/>
    </row>
    <row r="54" spans="2:20" s="189" customFormat="1" ht="15.75" customHeight="1">
      <c r="B54" s="738"/>
      <c r="C54" s="1344"/>
      <c r="D54" s="1345"/>
      <c r="E54" s="1345"/>
      <c r="F54" s="1345"/>
      <c r="G54" s="1345"/>
      <c r="H54" s="1345"/>
      <c r="I54" s="1345"/>
      <c r="J54" s="1346"/>
      <c r="K54" s="366"/>
      <c r="M54" s="648"/>
      <c r="N54" s="642"/>
      <c r="O54" s="1937" t="s">
        <v>774</v>
      </c>
      <c r="P54" s="1937"/>
      <c r="Q54" s="1937"/>
      <c r="R54" s="1566"/>
      <c r="S54" s="1567"/>
      <c r="T54" s="803"/>
    </row>
    <row r="55" spans="2:20" s="189" customFormat="1" ht="15.75" customHeight="1">
      <c r="B55" s="738"/>
      <c r="C55" s="1344"/>
      <c r="D55" s="1345"/>
      <c r="E55" s="1345"/>
      <c r="F55" s="1345"/>
      <c r="G55" s="1345"/>
      <c r="H55" s="1345"/>
      <c r="I55" s="1345"/>
      <c r="J55" s="1346"/>
      <c r="K55" s="366"/>
      <c r="M55" s="648"/>
      <c r="N55" s="642"/>
      <c r="O55" s="1937" t="s">
        <v>1286</v>
      </c>
      <c r="P55" s="1937"/>
      <c r="Q55" s="1937"/>
      <c r="R55" s="1566"/>
      <c r="S55" s="1567"/>
      <c r="T55" s="803"/>
    </row>
    <row r="56" spans="2:20" s="189" customFormat="1" ht="15.75" customHeight="1">
      <c r="B56" s="738"/>
      <c r="C56" s="1344"/>
      <c r="D56" s="1345"/>
      <c r="E56" s="1345"/>
      <c r="F56" s="1345"/>
      <c r="G56" s="1345"/>
      <c r="H56" s="1345"/>
      <c r="I56" s="1345"/>
      <c r="J56" s="1346"/>
      <c r="K56" s="366"/>
      <c r="M56" s="648"/>
      <c r="N56" s="642"/>
      <c r="O56" s="1566"/>
      <c r="P56" s="1566"/>
      <c r="Q56" s="1566"/>
      <c r="R56" s="1566"/>
      <c r="S56" s="1567"/>
      <c r="T56" s="803"/>
    </row>
    <row r="57" spans="2:20" s="189" customFormat="1" ht="18" customHeight="1">
      <c r="B57" s="738"/>
      <c r="C57" s="660"/>
      <c r="D57" s="661"/>
      <c r="E57" s="661"/>
      <c r="F57" s="661"/>
      <c r="G57" s="661"/>
      <c r="H57" s="661"/>
      <c r="I57" s="661"/>
      <c r="J57" s="662"/>
      <c r="K57" s="370"/>
      <c r="M57" s="648"/>
      <c r="N57" s="642"/>
      <c r="O57" s="1938" t="s">
        <v>2721</v>
      </c>
      <c r="P57" s="1938"/>
      <c r="Q57" s="1938"/>
      <c r="R57" s="1938"/>
      <c r="S57" s="1938"/>
      <c r="T57" s="647"/>
    </row>
    <row r="58" spans="2:20" s="189" customFormat="1" ht="15.75" customHeight="1">
      <c r="B58" s="738"/>
      <c r="C58" s="660"/>
      <c r="D58" s="661"/>
      <c r="E58" s="661"/>
      <c r="F58" s="661"/>
      <c r="G58" s="661"/>
      <c r="H58" s="661"/>
      <c r="I58" s="661"/>
      <c r="J58" s="662"/>
      <c r="K58" s="370"/>
      <c r="M58" s="648"/>
      <c r="N58" s="642"/>
      <c r="O58" s="1937" t="s">
        <v>2057</v>
      </c>
      <c r="P58" s="1937"/>
      <c r="Q58" s="1937"/>
      <c r="R58" s="1937"/>
      <c r="S58" s="800"/>
      <c r="T58" s="647"/>
    </row>
    <row r="59" spans="2:20" s="189" customFormat="1" ht="14.25" customHeight="1">
      <c r="B59" s="738"/>
      <c r="C59" s="1344"/>
      <c r="D59" s="1345"/>
      <c r="E59" s="1345"/>
      <c r="F59" s="1345"/>
      <c r="G59" s="1345"/>
      <c r="H59" s="1345"/>
      <c r="I59" s="1345"/>
      <c r="J59" s="1346"/>
      <c r="K59" s="190"/>
      <c r="M59" s="648"/>
      <c r="N59" s="642"/>
      <c r="O59" s="1937" t="s">
        <v>773</v>
      </c>
      <c r="P59" s="1937"/>
      <c r="Q59" s="1937"/>
      <c r="R59" s="1385"/>
      <c r="S59" s="802"/>
      <c r="T59" s="647"/>
    </row>
    <row r="60" spans="2:20" s="189" customFormat="1" ht="14.25" customHeight="1">
      <c r="B60" s="738"/>
      <c r="C60" s="1478"/>
      <c r="D60" s="1479"/>
      <c r="E60" s="1479"/>
      <c r="F60" s="1479"/>
      <c r="G60" s="1479"/>
      <c r="H60" s="1479"/>
      <c r="I60" s="1479"/>
      <c r="J60" s="1480"/>
      <c r="K60" s="190"/>
      <c r="M60" s="645"/>
      <c r="N60" s="646"/>
      <c r="O60" s="1937" t="s">
        <v>774</v>
      </c>
      <c r="P60" s="1937"/>
      <c r="Q60" s="1937"/>
      <c r="R60" s="1385"/>
      <c r="S60" s="1384"/>
      <c r="T60" s="647"/>
    </row>
    <row r="61" spans="2:20" s="189" customFormat="1" ht="20.25" customHeight="1">
      <c r="B61" s="738"/>
      <c r="C61" s="1478"/>
      <c r="D61" s="1479"/>
      <c r="E61" s="1479"/>
      <c r="F61" s="1479"/>
      <c r="G61" s="1479"/>
      <c r="H61" s="1479"/>
      <c r="I61" s="1479"/>
      <c r="J61" s="1480"/>
      <c r="K61" s="190"/>
      <c r="M61" s="645"/>
      <c r="N61" s="646"/>
      <c r="O61" s="1937" t="s">
        <v>1286</v>
      </c>
      <c r="P61" s="1937"/>
      <c r="Q61" s="1937"/>
      <c r="R61" s="1385"/>
      <c r="S61" s="1384"/>
      <c r="T61" s="647"/>
    </row>
    <row r="62" spans="2:20" s="189" customFormat="1" ht="20.25" customHeight="1">
      <c r="B62" s="738"/>
      <c r="C62" s="1478"/>
      <c r="D62" s="1479"/>
      <c r="E62" s="1479"/>
      <c r="F62" s="1479"/>
      <c r="G62" s="1479"/>
      <c r="H62" s="1479"/>
      <c r="I62" s="1479"/>
      <c r="J62" s="1480"/>
      <c r="K62" s="190"/>
      <c r="M62" s="645"/>
      <c r="N62" s="646"/>
      <c r="O62" s="1476"/>
      <c r="P62" s="1476"/>
      <c r="Q62" s="1476"/>
      <c r="R62" s="1476"/>
      <c r="S62" s="1477"/>
      <c r="T62" s="647"/>
    </row>
    <row r="63" spans="2:20" s="189" customFormat="1" ht="20.25" customHeight="1">
      <c r="B63" s="738"/>
      <c r="C63" s="1478"/>
      <c r="D63" s="1479"/>
      <c r="E63" s="1479"/>
      <c r="F63" s="1479"/>
      <c r="G63" s="1479"/>
      <c r="H63" s="1479"/>
      <c r="I63" s="1479"/>
      <c r="J63" s="1480"/>
      <c r="K63" s="190"/>
      <c r="M63" s="645"/>
      <c r="N63" s="646"/>
      <c r="O63" s="1938" t="s">
        <v>2630</v>
      </c>
      <c r="P63" s="1938"/>
      <c r="Q63" s="1938"/>
      <c r="R63" s="1938"/>
      <c r="S63" s="1938"/>
      <c r="T63" s="647"/>
    </row>
    <row r="64" spans="2:20" s="189" customFormat="1" ht="14.25" customHeight="1">
      <c r="B64" s="738"/>
      <c r="C64" s="1344"/>
      <c r="D64" s="1345"/>
      <c r="E64" s="1345"/>
      <c r="F64" s="1345"/>
      <c r="G64" s="1345"/>
      <c r="H64" s="1345"/>
      <c r="I64" s="1345"/>
      <c r="J64" s="1346"/>
      <c r="K64" s="190"/>
      <c r="M64" s="645"/>
      <c r="N64" s="646"/>
      <c r="O64" s="1937" t="s">
        <v>2057</v>
      </c>
      <c r="P64" s="1937"/>
      <c r="Q64" s="1937"/>
      <c r="R64" s="1937"/>
      <c r="S64" s="800"/>
      <c r="T64" s="647"/>
    </row>
    <row r="65" spans="2:20" s="189" customFormat="1" ht="14.25" customHeight="1">
      <c r="B65" s="738"/>
      <c r="C65" s="1478"/>
      <c r="D65" s="1479"/>
      <c r="E65" s="1479"/>
      <c r="F65" s="1479"/>
      <c r="G65" s="1479"/>
      <c r="H65" s="1479"/>
      <c r="I65" s="1479"/>
      <c r="J65" s="1480"/>
      <c r="K65" s="190"/>
      <c r="M65" s="645"/>
      <c r="N65" s="646"/>
      <c r="O65" s="1937" t="s">
        <v>773</v>
      </c>
      <c r="P65" s="1937"/>
      <c r="Q65" s="1937"/>
      <c r="R65" s="1580"/>
      <c r="S65" s="802"/>
      <c r="T65" s="647"/>
    </row>
    <row r="66" spans="2:20" s="189" customFormat="1" ht="15" customHeight="1">
      <c r="B66" s="738"/>
      <c r="C66" s="660"/>
      <c r="D66" s="661"/>
      <c r="E66" s="661"/>
      <c r="F66" s="661"/>
      <c r="G66" s="661"/>
      <c r="H66" s="661"/>
      <c r="I66" s="661"/>
      <c r="J66" s="662"/>
      <c r="K66" s="190"/>
      <c r="M66" s="645"/>
      <c r="N66" s="646"/>
      <c r="O66" s="1937" t="s">
        <v>774</v>
      </c>
      <c r="P66" s="1937"/>
      <c r="Q66" s="1937"/>
      <c r="R66" s="1580"/>
      <c r="S66" s="1579"/>
      <c r="T66" s="647"/>
    </row>
    <row r="67" spans="2:20" s="189" customFormat="1" ht="19.5" customHeight="1">
      <c r="B67" s="738"/>
      <c r="C67" s="660"/>
      <c r="D67" s="661"/>
      <c r="E67" s="661"/>
      <c r="F67" s="661"/>
      <c r="G67" s="661"/>
      <c r="H67" s="661"/>
      <c r="I67" s="661"/>
      <c r="J67" s="662"/>
      <c r="K67" s="190"/>
      <c r="M67" s="645"/>
      <c r="N67" s="646"/>
      <c r="O67" s="1937" t="s">
        <v>1286</v>
      </c>
      <c r="P67" s="1937"/>
      <c r="Q67" s="1937"/>
      <c r="R67" s="1580"/>
      <c r="S67" s="1579"/>
      <c r="T67" s="647"/>
    </row>
    <row r="68" spans="2:20" s="189" customFormat="1" ht="19.5" customHeight="1">
      <c r="B68" s="738"/>
      <c r="C68" s="660"/>
      <c r="D68" s="661"/>
      <c r="E68" s="661"/>
      <c r="F68" s="661"/>
      <c r="G68" s="661"/>
      <c r="H68" s="661"/>
      <c r="I68" s="661"/>
      <c r="J68" s="662"/>
      <c r="K68" s="190"/>
      <c r="M68" s="645"/>
      <c r="N68" s="646"/>
      <c r="O68" s="1476"/>
      <c r="P68" s="1476"/>
      <c r="Q68" s="1476"/>
      <c r="R68" s="1476"/>
      <c r="S68" s="1477"/>
      <c r="T68" s="647"/>
    </row>
    <row r="69" spans="2:20" s="189" customFormat="1" ht="15.75" customHeight="1">
      <c r="B69" s="738"/>
      <c r="C69" s="660"/>
      <c r="D69" s="661"/>
      <c r="E69" s="661"/>
      <c r="F69" s="661"/>
      <c r="G69" s="661"/>
      <c r="H69" s="661"/>
      <c r="I69" s="661"/>
      <c r="J69" s="662"/>
      <c r="K69" s="190"/>
      <c r="M69" s="645"/>
      <c r="N69" s="646"/>
      <c r="O69" s="1938" t="s">
        <v>2905</v>
      </c>
      <c r="P69" s="1938"/>
      <c r="Q69" s="1938"/>
      <c r="R69" s="1938"/>
      <c r="S69" s="1938"/>
      <c r="T69" s="647"/>
    </row>
    <row r="70" spans="2:20" s="189" customFormat="1" ht="14.25" customHeight="1">
      <c r="B70" s="738"/>
      <c r="C70" s="1943"/>
      <c r="D70" s="1944"/>
      <c r="E70" s="1944"/>
      <c r="F70" s="1944"/>
      <c r="G70" s="1944"/>
      <c r="H70" s="1944"/>
      <c r="I70" s="1944"/>
      <c r="J70" s="1945"/>
      <c r="K70" s="190"/>
      <c r="M70" s="645"/>
      <c r="N70" s="646"/>
      <c r="O70" s="1937" t="s">
        <v>1484</v>
      </c>
      <c r="P70" s="1937"/>
      <c r="Q70" s="1937"/>
      <c r="R70" s="1937"/>
      <c r="S70" s="800"/>
      <c r="T70" s="1202"/>
    </row>
    <row r="71" spans="2:20" s="189" customFormat="1" ht="16.5" customHeight="1">
      <c r="B71" s="738"/>
      <c r="C71" s="660"/>
      <c r="D71" s="661"/>
      <c r="E71" s="661"/>
      <c r="F71" s="661"/>
      <c r="G71" s="661"/>
      <c r="H71" s="661"/>
      <c r="I71" s="661"/>
      <c r="J71" s="662"/>
      <c r="K71" s="190"/>
      <c r="M71" s="645"/>
      <c r="N71" s="646"/>
      <c r="O71" s="1937" t="s">
        <v>773</v>
      </c>
      <c r="P71" s="1937"/>
      <c r="Q71" s="1937"/>
      <c r="R71" s="1385"/>
      <c r="S71" s="802"/>
      <c r="T71" s="647"/>
    </row>
    <row r="72" spans="2:20" s="189" customFormat="1" ht="16.5" customHeight="1">
      <c r="B72" s="738"/>
      <c r="C72" s="660"/>
      <c r="D72" s="661"/>
      <c r="E72" s="661"/>
      <c r="F72" s="661"/>
      <c r="G72" s="661"/>
      <c r="H72" s="661"/>
      <c r="I72" s="661"/>
      <c r="J72" s="662"/>
      <c r="K72" s="190"/>
      <c r="M72" s="645"/>
      <c r="N72" s="646"/>
      <c r="O72" s="1937" t="s">
        <v>774</v>
      </c>
      <c r="P72" s="1937"/>
      <c r="Q72" s="1937"/>
      <c r="R72" s="1385"/>
      <c r="S72" s="1384"/>
      <c r="T72" s="647"/>
    </row>
    <row r="73" spans="2:20" s="189" customFormat="1" ht="16.5" customHeight="1">
      <c r="B73" s="738"/>
      <c r="C73" s="1943"/>
      <c r="D73" s="1944"/>
      <c r="E73" s="1944"/>
      <c r="F73" s="1944"/>
      <c r="G73" s="1944"/>
      <c r="H73" s="1944"/>
      <c r="I73" s="1944"/>
      <c r="J73" s="1945"/>
      <c r="K73" s="190"/>
      <c r="M73" s="645"/>
      <c r="N73" s="646"/>
      <c r="O73" s="1937" t="s">
        <v>1485</v>
      </c>
      <c r="P73" s="1937"/>
      <c r="Q73" s="1937"/>
      <c r="R73" s="1385"/>
      <c r="S73" s="1384"/>
      <c r="T73" s="647"/>
    </row>
    <row r="74" spans="2:20" s="189" customFormat="1" ht="21" customHeight="1">
      <c r="B74" s="738"/>
      <c r="C74" s="1943" t="s">
        <v>1804</v>
      </c>
      <c r="D74" s="1944"/>
      <c r="E74" s="1944"/>
      <c r="F74" s="1944"/>
      <c r="G74" s="1944"/>
      <c r="H74" s="1944"/>
      <c r="I74" s="1944"/>
      <c r="J74" s="1945"/>
      <c r="K74" s="190"/>
      <c r="M74" s="645"/>
      <c r="N74" s="646"/>
      <c r="O74" s="1473"/>
      <c r="P74" s="1473"/>
      <c r="Q74" s="1473"/>
      <c r="R74" s="1473"/>
      <c r="S74" s="1474"/>
      <c r="T74" s="647"/>
    </row>
    <row r="75" spans="2:20" s="189" customFormat="1" ht="18" customHeight="1">
      <c r="B75" s="738"/>
      <c r="C75" s="660"/>
      <c r="D75" s="661"/>
      <c r="E75" s="661"/>
      <c r="F75" s="661"/>
      <c r="G75" s="661"/>
      <c r="H75" s="661"/>
      <c r="I75" s="661"/>
      <c r="J75" s="662"/>
      <c r="K75" s="190"/>
      <c r="M75" s="645"/>
      <c r="N75" s="646"/>
      <c r="O75" s="1938" t="s">
        <v>2832</v>
      </c>
      <c r="P75" s="1938"/>
      <c r="Q75" s="1938"/>
      <c r="R75" s="1938"/>
      <c r="S75" s="1938"/>
      <c r="T75" s="647"/>
    </row>
    <row r="76" spans="2:20" s="189" customFormat="1" ht="19.5" customHeight="1">
      <c r="B76" s="738"/>
      <c r="C76" s="1943" t="s">
        <v>839</v>
      </c>
      <c r="D76" s="1944"/>
      <c r="E76" s="1944"/>
      <c r="F76" s="1944"/>
      <c r="G76" s="1944"/>
      <c r="H76" s="1944"/>
      <c r="I76" s="1944"/>
      <c r="J76" s="1945"/>
      <c r="K76" s="190"/>
      <c r="M76" s="660"/>
      <c r="N76" s="661"/>
      <c r="O76" s="1942" t="s">
        <v>2835</v>
      </c>
      <c r="P76" s="1942"/>
      <c r="Q76" s="1942"/>
      <c r="R76" s="646"/>
      <c r="S76" s="646"/>
      <c r="T76" s="662"/>
    </row>
    <row r="77" spans="2:20" s="189" customFormat="1" ht="15.75" customHeight="1">
      <c r="B77" s="738"/>
      <c r="C77" s="660"/>
      <c r="D77" s="661"/>
      <c r="E77" s="661"/>
      <c r="F77" s="661"/>
      <c r="G77" s="661"/>
      <c r="H77" s="661"/>
      <c r="I77" s="661"/>
      <c r="J77" s="662"/>
      <c r="K77" s="190"/>
      <c r="M77" s="660"/>
      <c r="N77" s="661"/>
      <c r="O77" s="1942" t="s">
        <v>773</v>
      </c>
      <c r="P77" s="1942"/>
      <c r="Q77" s="1942"/>
      <c r="R77" s="646"/>
      <c r="S77" s="646"/>
      <c r="T77" s="662"/>
    </row>
    <row r="78" spans="2:20" s="189" customFormat="1" ht="18" customHeight="1">
      <c r="B78" s="738"/>
      <c r="C78" s="660"/>
      <c r="D78" s="661"/>
      <c r="E78" s="661"/>
      <c r="F78" s="661"/>
      <c r="G78" s="661"/>
      <c r="H78" s="661"/>
      <c r="I78" s="661"/>
      <c r="J78" s="662"/>
      <c r="K78" s="190"/>
      <c r="M78" s="660"/>
      <c r="N78" s="661"/>
      <c r="O78" s="1942" t="s">
        <v>774</v>
      </c>
      <c r="P78" s="1942"/>
      <c r="Q78" s="1942"/>
      <c r="R78" s="646"/>
      <c r="S78" s="646"/>
      <c r="T78" s="662"/>
    </row>
    <row r="79" spans="2:20" s="189" customFormat="1" ht="18" customHeight="1">
      <c r="B79" s="738"/>
      <c r="C79" s="660"/>
      <c r="D79" s="661"/>
      <c r="E79" s="661"/>
      <c r="F79" s="661"/>
      <c r="G79" s="661"/>
      <c r="H79" s="661"/>
      <c r="I79" s="661"/>
      <c r="J79" s="662"/>
      <c r="M79" s="660"/>
      <c r="N79" s="661"/>
      <c r="O79" s="1937" t="s">
        <v>1485</v>
      </c>
      <c r="P79" s="1937"/>
      <c r="Q79" s="1937"/>
      <c r="R79" s="646"/>
      <c r="S79" s="646"/>
      <c r="T79" s="662"/>
    </row>
    <row r="80" spans="2:20" s="189" customFormat="1" ht="18" customHeight="1">
      <c r="B80" s="738"/>
      <c r="C80" s="660"/>
      <c r="D80" s="661"/>
      <c r="E80" s="661"/>
      <c r="F80" s="661"/>
      <c r="G80" s="661"/>
      <c r="H80" s="661"/>
      <c r="I80" s="661"/>
      <c r="J80" s="662"/>
      <c r="M80" s="660"/>
      <c r="N80" s="661"/>
      <c r="O80" s="1792"/>
      <c r="P80" s="1792"/>
      <c r="Q80" s="1792"/>
      <c r="R80" s="646"/>
      <c r="S80" s="646"/>
      <c r="T80" s="662"/>
    </row>
    <row r="81" spans="2:20" s="189" customFormat="1" ht="18" customHeight="1">
      <c r="B81" s="738"/>
      <c r="C81" s="660"/>
      <c r="D81" s="661"/>
      <c r="E81" s="661"/>
      <c r="F81" s="661"/>
      <c r="G81" s="661"/>
      <c r="H81" s="661"/>
      <c r="I81" s="661"/>
      <c r="J81" s="662"/>
      <c r="M81" s="660"/>
      <c r="N81" s="661"/>
      <c r="O81" s="1938" t="s">
        <v>2973</v>
      </c>
      <c r="P81" s="1938"/>
      <c r="Q81" s="1938"/>
      <c r="R81" s="1938"/>
      <c r="S81" s="1938"/>
      <c r="T81" s="662"/>
    </row>
    <row r="82" spans="2:20" s="189" customFormat="1" ht="18" customHeight="1">
      <c r="B82" s="738"/>
      <c r="C82" s="660"/>
      <c r="D82" s="661"/>
      <c r="E82" s="661"/>
      <c r="F82" s="661"/>
      <c r="G82" s="661"/>
      <c r="H82" s="661"/>
      <c r="I82" s="661"/>
      <c r="J82" s="662"/>
      <c r="M82" s="660"/>
      <c r="N82" s="661"/>
      <c r="O82" s="1942" t="s">
        <v>2972</v>
      </c>
      <c r="P82" s="1942"/>
      <c r="Q82" s="1942"/>
      <c r="R82" s="646"/>
      <c r="S82" s="646"/>
      <c r="T82" s="662"/>
    </row>
    <row r="83" spans="2:20" s="189" customFormat="1" ht="18" customHeight="1">
      <c r="B83" s="738"/>
      <c r="C83" s="660"/>
      <c r="D83" s="661"/>
      <c r="E83" s="661"/>
      <c r="F83" s="661"/>
      <c r="G83" s="661"/>
      <c r="H83" s="661"/>
      <c r="I83" s="661"/>
      <c r="J83" s="662"/>
      <c r="M83" s="660"/>
      <c r="N83" s="661"/>
      <c r="O83" s="1942" t="s">
        <v>773</v>
      </c>
      <c r="P83" s="1942"/>
      <c r="Q83" s="1942"/>
      <c r="R83" s="646"/>
      <c r="S83" s="646"/>
      <c r="T83" s="662"/>
    </row>
    <row r="84" spans="2:20" s="189" customFormat="1" ht="18" customHeight="1">
      <c r="B84" s="738"/>
      <c r="C84" s="660"/>
      <c r="D84" s="661"/>
      <c r="E84" s="661"/>
      <c r="F84" s="661"/>
      <c r="G84" s="661"/>
      <c r="H84" s="661"/>
      <c r="I84" s="661"/>
      <c r="J84" s="662"/>
      <c r="M84" s="660"/>
      <c r="N84" s="661"/>
      <c r="O84" s="1942" t="s">
        <v>774</v>
      </c>
      <c r="P84" s="1942"/>
      <c r="Q84" s="1942"/>
      <c r="R84" s="646"/>
      <c r="S84" s="646"/>
      <c r="T84" s="662"/>
    </row>
    <row r="85" spans="2:20" s="189" customFormat="1" ht="18" customHeight="1">
      <c r="B85" s="738"/>
      <c r="C85" s="660"/>
      <c r="D85" s="661"/>
      <c r="E85" s="661"/>
      <c r="F85" s="661"/>
      <c r="G85" s="661"/>
      <c r="H85" s="661"/>
      <c r="I85" s="661"/>
      <c r="J85" s="662"/>
      <c r="M85" s="660"/>
      <c r="N85" s="661"/>
      <c r="O85" s="1937" t="s">
        <v>1485</v>
      </c>
      <c r="P85" s="1937"/>
      <c r="Q85" s="1937"/>
      <c r="R85" s="646"/>
      <c r="S85" s="646"/>
      <c r="T85" s="662"/>
    </row>
    <row r="86" spans="2:20" s="189" customFormat="1" ht="18" customHeight="1">
      <c r="B86" s="738"/>
      <c r="C86" s="660"/>
      <c r="D86" s="661"/>
      <c r="E86" s="661"/>
      <c r="F86" s="661"/>
      <c r="G86" s="661"/>
      <c r="H86" s="661"/>
      <c r="I86" s="661"/>
      <c r="J86" s="662"/>
      <c r="M86" s="660"/>
      <c r="N86" s="661"/>
      <c r="O86" s="1792"/>
      <c r="P86" s="1792"/>
      <c r="Q86" s="1792"/>
      <c r="R86" s="646"/>
      <c r="S86" s="646"/>
      <c r="T86" s="662"/>
    </row>
    <row r="87" spans="2:20" s="189" customFormat="1" ht="20.100000000000001" customHeight="1" thickBot="1">
      <c r="B87" s="738"/>
      <c r="C87" s="1390"/>
      <c r="D87" s="1389"/>
      <c r="E87" s="1941"/>
      <c r="F87" s="1941"/>
      <c r="G87" s="1941"/>
      <c r="H87" s="1389"/>
      <c r="I87" s="1389"/>
      <c r="J87" s="1391"/>
      <c r="M87" s="1390"/>
      <c r="N87" s="1389"/>
      <c r="O87" s="1941"/>
      <c r="P87" s="1941"/>
      <c r="Q87" s="1941"/>
      <c r="R87" s="1389"/>
      <c r="S87" s="1389"/>
      <c r="T87" s="1391"/>
    </row>
    <row r="88" spans="2:20" s="189" customFormat="1">
      <c r="B88" s="738"/>
    </row>
    <row r="89" spans="2:20" s="189" customFormat="1">
      <c r="B89" s="738"/>
    </row>
    <row r="90" spans="2:20" s="189" customFormat="1">
      <c r="B90" s="738"/>
    </row>
    <row r="91" spans="2:20" s="189" customFormat="1">
      <c r="B91" s="738"/>
    </row>
    <row r="92" spans="2:20" s="189" customFormat="1">
      <c r="B92" s="738"/>
    </row>
    <row r="93" spans="2:20" s="189" customFormat="1">
      <c r="B93" s="738"/>
    </row>
    <row r="94" spans="2:20" s="189" customFormat="1">
      <c r="B94" s="738"/>
    </row>
    <row r="95" spans="2:20" s="189" customFormat="1">
      <c r="B95" s="738"/>
    </row>
    <row r="96" spans="2:20" s="189" customFormat="1">
      <c r="B96" s="738"/>
    </row>
    <row r="97" spans="2:2" s="189" customFormat="1">
      <c r="B97" s="738"/>
    </row>
    <row r="98" spans="2:2" s="189" customFormat="1">
      <c r="B98" s="738"/>
    </row>
    <row r="99" spans="2:2" s="189" customFormat="1">
      <c r="B99" s="738"/>
    </row>
    <row r="100" spans="2:2" s="189" customFormat="1">
      <c r="B100" s="738"/>
    </row>
    <row r="101" spans="2:2" s="189" customFormat="1">
      <c r="B101" s="738"/>
    </row>
    <row r="102" spans="2:2" s="189" customFormat="1">
      <c r="B102" s="738"/>
    </row>
    <row r="103" spans="2:2" s="189" customFormat="1">
      <c r="B103" s="738"/>
    </row>
    <row r="104" spans="2:2" s="189" customFormat="1">
      <c r="B104" s="738"/>
    </row>
    <row r="105" spans="2:2" s="189" customFormat="1">
      <c r="B105" s="738"/>
    </row>
    <row r="106" spans="2:2" s="189" customFormat="1">
      <c r="B106" s="738"/>
    </row>
    <row r="107" spans="2:2" s="189" customFormat="1">
      <c r="B107" s="738"/>
    </row>
    <row r="108" spans="2:2" s="189" customFormat="1">
      <c r="B108" s="738"/>
    </row>
    <row r="109" spans="2:2" s="189" customFormat="1">
      <c r="B109" s="738"/>
    </row>
    <row r="110" spans="2:2" s="189" customFormat="1">
      <c r="B110" s="738"/>
    </row>
    <row r="111" spans="2:2" s="189" customFormat="1">
      <c r="B111" s="738"/>
    </row>
    <row r="112" spans="2:2" s="189" customFormat="1">
      <c r="B112" s="738"/>
    </row>
    <row r="113" spans="2:2" s="189" customFormat="1">
      <c r="B113" s="738"/>
    </row>
    <row r="114" spans="2:2" s="189" customFormat="1">
      <c r="B114" s="738"/>
    </row>
    <row r="115" spans="2:2" s="189" customFormat="1">
      <c r="B115" s="738"/>
    </row>
    <row r="116" spans="2:2" s="189" customFormat="1">
      <c r="B116" s="738"/>
    </row>
    <row r="117" spans="2:2" s="189" customFormat="1">
      <c r="B117" s="738"/>
    </row>
    <row r="118" spans="2:2" s="189" customFormat="1">
      <c r="B118" s="738"/>
    </row>
    <row r="119" spans="2:2" s="189" customFormat="1">
      <c r="B119" s="738"/>
    </row>
    <row r="120" spans="2:2" s="189" customFormat="1">
      <c r="B120" s="738"/>
    </row>
    <row r="121" spans="2:2" s="189" customFormat="1">
      <c r="B121" s="738"/>
    </row>
    <row r="122" spans="2:2" s="189" customFormat="1">
      <c r="B122" s="738"/>
    </row>
    <row r="123" spans="2:2" s="189" customFormat="1">
      <c r="B123" s="738"/>
    </row>
    <row r="124" spans="2:2" s="189" customFormat="1">
      <c r="B124" s="738"/>
    </row>
    <row r="125" spans="2:2" s="189" customFormat="1">
      <c r="B125" s="738"/>
    </row>
    <row r="126" spans="2:2" s="189" customFormat="1">
      <c r="B126" s="738"/>
    </row>
    <row r="127" spans="2:2" s="189" customFormat="1">
      <c r="B127" s="738"/>
    </row>
    <row r="128" spans="2:2" s="189" customFormat="1">
      <c r="B128" s="738"/>
    </row>
    <row r="129" spans="2:2" s="189" customFormat="1">
      <c r="B129" s="738"/>
    </row>
    <row r="130" spans="2:2" s="189" customFormat="1">
      <c r="B130" s="738"/>
    </row>
    <row r="131" spans="2:2" s="189" customFormat="1">
      <c r="B131" s="738"/>
    </row>
    <row r="132" spans="2:2" s="189" customFormat="1">
      <c r="B132" s="738"/>
    </row>
    <row r="133" spans="2:2" s="189" customFormat="1">
      <c r="B133" s="738"/>
    </row>
    <row r="134" spans="2:2" s="189" customFormat="1">
      <c r="B134" s="738"/>
    </row>
    <row r="135" spans="2:2" s="189" customFormat="1">
      <c r="B135" s="738"/>
    </row>
    <row r="136" spans="2:2" s="189" customFormat="1">
      <c r="B136" s="738"/>
    </row>
    <row r="137" spans="2:2" s="189" customFormat="1">
      <c r="B137" s="738"/>
    </row>
    <row r="138" spans="2:2" s="189" customFormat="1">
      <c r="B138" s="738"/>
    </row>
    <row r="139" spans="2:2" s="189" customFormat="1">
      <c r="B139" s="738"/>
    </row>
    <row r="140" spans="2:2" s="189" customFormat="1">
      <c r="B140" s="738"/>
    </row>
    <row r="141" spans="2:2" s="189" customFormat="1">
      <c r="B141" s="738"/>
    </row>
    <row r="142" spans="2:2" s="189" customFormat="1">
      <c r="B142" s="738"/>
    </row>
    <row r="143" spans="2:2" s="189" customFormat="1">
      <c r="B143" s="738"/>
    </row>
    <row r="144" spans="2:2" s="189" customFormat="1">
      <c r="B144" s="738"/>
    </row>
    <row r="145" spans="2:2" s="189" customFormat="1">
      <c r="B145" s="738"/>
    </row>
    <row r="146" spans="2:2" s="189" customFormat="1">
      <c r="B146" s="738"/>
    </row>
    <row r="147" spans="2:2" s="189" customFormat="1">
      <c r="B147" s="738"/>
    </row>
    <row r="148" spans="2:2" s="189" customFormat="1">
      <c r="B148" s="738"/>
    </row>
    <row r="149" spans="2:2" s="189" customFormat="1">
      <c r="B149" s="738"/>
    </row>
    <row r="150" spans="2:2" s="189" customFormat="1">
      <c r="B150" s="738"/>
    </row>
    <row r="151" spans="2:2" s="189" customFormat="1">
      <c r="B151" s="738"/>
    </row>
    <row r="152" spans="2:2" s="189" customFormat="1">
      <c r="B152" s="738"/>
    </row>
    <row r="153" spans="2:2" s="189" customFormat="1">
      <c r="B153" s="738"/>
    </row>
    <row r="154" spans="2:2" s="189" customFormat="1">
      <c r="B154" s="738"/>
    </row>
    <row r="155" spans="2:2" s="189" customFormat="1">
      <c r="B155" s="738"/>
    </row>
    <row r="156" spans="2:2" s="189" customFormat="1">
      <c r="B156" s="738"/>
    </row>
    <row r="157" spans="2:2" s="189" customFormat="1">
      <c r="B157" s="738"/>
    </row>
    <row r="158" spans="2:2" s="189" customFormat="1">
      <c r="B158" s="738"/>
    </row>
    <row r="159" spans="2:2" s="189" customFormat="1">
      <c r="B159" s="738"/>
    </row>
    <row r="160" spans="2:2" s="189" customFormat="1">
      <c r="B160" s="738"/>
    </row>
    <row r="161" spans="2:2" s="189" customFormat="1">
      <c r="B161" s="738"/>
    </row>
    <row r="162" spans="2:2" s="189" customFormat="1">
      <c r="B162" s="738"/>
    </row>
    <row r="163" spans="2:2" s="189" customFormat="1">
      <c r="B163" s="738"/>
    </row>
    <row r="164" spans="2:2" s="189" customFormat="1">
      <c r="B164" s="738"/>
    </row>
    <row r="165" spans="2:2" s="189" customFormat="1">
      <c r="B165" s="738"/>
    </row>
    <row r="166" spans="2:2" s="189" customFormat="1">
      <c r="B166" s="738"/>
    </row>
    <row r="167" spans="2:2" s="189" customFormat="1">
      <c r="B167" s="738"/>
    </row>
    <row r="168" spans="2:2" s="189" customFormat="1">
      <c r="B168" s="738"/>
    </row>
    <row r="169" spans="2:2" s="189" customFormat="1">
      <c r="B169" s="738"/>
    </row>
    <row r="170" spans="2:2" s="189" customFormat="1">
      <c r="B170" s="738"/>
    </row>
    <row r="171" spans="2:2" s="189" customFormat="1">
      <c r="B171" s="738"/>
    </row>
    <row r="172" spans="2:2" s="189" customFormat="1">
      <c r="B172" s="738"/>
    </row>
    <row r="173" spans="2:2" s="189" customFormat="1">
      <c r="B173" s="738"/>
    </row>
    <row r="174" spans="2:2" s="189" customFormat="1">
      <c r="B174" s="738"/>
    </row>
    <row r="175" spans="2:2" s="189" customFormat="1">
      <c r="B175" s="738"/>
    </row>
    <row r="176" spans="2:2" s="189" customFormat="1">
      <c r="B176" s="738"/>
    </row>
    <row r="177" spans="2:2" s="189" customFormat="1">
      <c r="B177" s="738"/>
    </row>
    <row r="178" spans="2:2" s="189" customFormat="1">
      <c r="B178" s="738"/>
    </row>
    <row r="179" spans="2:2" s="189" customFormat="1">
      <c r="B179" s="738"/>
    </row>
    <row r="180" spans="2:2" s="189" customFormat="1">
      <c r="B180" s="738"/>
    </row>
    <row r="181" spans="2:2" s="189" customFormat="1">
      <c r="B181" s="738"/>
    </row>
    <row r="182" spans="2:2" s="189" customFormat="1">
      <c r="B182" s="738"/>
    </row>
    <row r="183" spans="2:2" s="189" customFormat="1">
      <c r="B183" s="738"/>
    </row>
    <row r="184" spans="2:2" s="189" customFormat="1">
      <c r="B184" s="738"/>
    </row>
    <row r="185" spans="2:2" s="189" customFormat="1">
      <c r="B185" s="738"/>
    </row>
    <row r="186" spans="2:2" s="189" customFormat="1">
      <c r="B186" s="738"/>
    </row>
    <row r="187" spans="2:2" s="189" customFormat="1">
      <c r="B187" s="738"/>
    </row>
    <row r="188" spans="2:2" s="189" customFormat="1">
      <c r="B188" s="738"/>
    </row>
    <row r="189" spans="2:2" s="189" customFormat="1">
      <c r="B189" s="738"/>
    </row>
    <row r="190" spans="2:2" s="189" customFormat="1">
      <c r="B190" s="738"/>
    </row>
    <row r="191" spans="2:2" s="189" customFormat="1">
      <c r="B191" s="738"/>
    </row>
    <row r="192" spans="2:2" s="189" customFormat="1">
      <c r="B192" s="738"/>
    </row>
    <row r="193" spans="2:2" s="189" customFormat="1">
      <c r="B193" s="738"/>
    </row>
    <row r="194" spans="2:2" s="189" customFormat="1">
      <c r="B194" s="738"/>
    </row>
    <row r="195" spans="2:2" s="189" customFormat="1">
      <c r="B195" s="738"/>
    </row>
    <row r="196" spans="2:2" s="189" customFormat="1">
      <c r="B196" s="738"/>
    </row>
    <row r="197" spans="2:2" s="189" customFormat="1">
      <c r="B197" s="738"/>
    </row>
    <row r="198" spans="2:2" s="189" customFormat="1">
      <c r="B198" s="738"/>
    </row>
    <row r="199" spans="2:2" s="189" customFormat="1">
      <c r="B199" s="738"/>
    </row>
    <row r="200" spans="2:2" s="189" customFormat="1">
      <c r="B200" s="738"/>
    </row>
    <row r="201" spans="2:2" s="189" customFormat="1">
      <c r="B201" s="738"/>
    </row>
    <row r="202" spans="2:2" s="189" customFormat="1">
      <c r="B202" s="738"/>
    </row>
    <row r="203" spans="2:2" s="189" customFormat="1">
      <c r="B203" s="738"/>
    </row>
    <row r="204" spans="2:2" s="189" customFormat="1">
      <c r="B204" s="738"/>
    </row>
    <row r="205" spans="2:2" s="189" customFormat="1">
      <c r="B205" s="738"/>
    </row>
    <row r="206" spans="2:2" s="189" customFormat="1">
      <c r="B206" s="738"/>
    </row>
    <row r="207" spans="2:2" s="189" customFormat="1">
      <c r="B207" s="738"/>
    </row>
    <row r="208" spans="2:2" s="189" customFormat="1">
      <c r="B208" s="738"/>
    </row>
    <row r="209" spans="2:2" s="189" customFormat="1">
      <c r="B209" s="738"/>
    </row>
    <row r="210" spans="2:2" s="189" customFormat="1">
      <c r="B210" s="738"/>
    </row>
    <row r="211" spans="2:2" s="189" customFormat="1">
      <c r="B211" s="738"/>
    </row>
    <row r="212" spans="2:2" s="189" customFormat="1">
      <c r="B212" s="738"/>
    </row>
    <row r="213" spans="2:2" s="189" customFormat="1">
      <c r="B213" s="738"/>
    </row>
    <row r="214" spans="2:2" s="189" customFormat="1">
      <c r="B214" s="738"/>
    </row>
    <row r="215" spans="2:2" s="189" customFormat="1">
      <c r="B215" s="738"/>
    </row>
    <row r="216" spans="2:2" s="189" customFormat="1">
      <c r="B216" s="738"/>
    </row>
    <row r="217" spans="2:2" s="189" customFormat="1">
      <c r="B217" s="738"/>
    </row>
    <row r="218" spans="2:2" s="189" customFormat="1">
      <c r="B218" s="738"/>
    </row>
    <row r="219" spans="2:2" s="189" customFormat="1">
      <c r="B219" s="738"/>
    </row>
    <row r="220" spans="2:2" s="189" customFormat="1">
      <c r="B220" s="738"/>
    </row>
    <row r="221" spans="2:2" s="189" customFormat="1">
      <c r="B221" s="738"/>
    </row>
    <row r="222" spans="2:2" s="189" customFormat="1">
      <c r="B222" s="738"/>
    </row>
    <row r="223" spans="2:2" s="189" customFormat="1">
      <c r="B223" s="738"/>
    </row>
    <row r="224" spans="2:2" s="189" customFormat="1">
      <c r="B224" s="738"/>
    </row>
    <row r="225" spans="2:2" s="189" customFormat="1">
      <c r="B225" s="738"/>
    </row>
    <row r="226" spans="2:2" s="189" customFormat="1">
      <c r="B226" s="738"/>
    </row>
    <row r="227" spans="2:2" s="189" customFormat="1">
      <c r="B227" s="738"/>
    </row>
    <row r="228" spans="2:2" s="189" customFormat="1">
      <c r="B228" s="738"/>
    </row>
    <row r="229" spans="2:2" s="189" customFormat="1">
      <c r="B229" s="738"/>
    </row>
    <row r="230" spans="2:2" s="189" customFormat="1">
      <c r="B230" s="738"/>
    </row>
    <row r="231" spans="2:2" s="189" customFormat="1">
      <c r="B231" s="738"/>
    </row>
    <row r="232" spans="2:2" s="189" customFormat="1">
      <c r="B232" s="738"/>
    </row>
    <row r="233" spans="2:2" s="189" customFormat="1">
      <c r="B233" s="738"/>
    </row>
    <row r="234" spans="2:2" s="189" customFormat="1">
      <c r="B234" s="738"/>
    </row>
    <row r="235" spans="2:2" s="189" customFormat="1">
      <c r="B235" s="738"/>
    </row>
    <row r="236" spans="2:2" s="189" customFormat="1">
      <c r="B236" s="738"/>
    </row>
    <row r="237" spans="2:2" s="189" customFormat="1">
      <c r="B237" s="738"/>
    </row>
    <row r="238" spans="2:2" s="189" customFormat="1">
      <c r="B238" s="738"/>
    </row>
    <row r="239" spans="2:2" s="189" customFormat="1">
      <c r="B239" s="738"/>
    </row>
    <row r="240" spans="2:2" s="189" customFormat="1">
      <c r="B240" s="738"/>
    </row>
    <row r="241" spans="2:2" s="189" customFormat="1">
      <c r="B241" s="738"/>
    </row>
    <row r="242" spans="2:2" s="189" customFormat="1">
      <c r="B242" s="738"/>
    </row>
    <row r="243" spans="2:2" s="189" customFormat="1">
      <c r="B243" s="738"/>
    </row>
    <row r="244" spans="2:2" s="189" customFormat="1">
      <c r="B244" s="738"/>
    </row>
    <row r="245" spans="2:2" s="189" customFormat="1">
      <c r="B245" s="738"/>
    </row>
    <row r="246" spans="2:2" s="189" customFormat="1">
      <c r="B246" s="738"/>
    </row>
    <row r="247" spans="2:2" s="189" customFormat="1">
      <c r="B247" s="738"/>
    </row>
    <row r="248" spans="2:2" s="189" customFormat="1">
      <c r="B248" s="738"/>
    </row>
    <row r="249" spans="2:2" s="189" customFormat="1">
      <c r="B249" s="738"/>
    </row>
    <row r="250" spans="2:2" s="189" customFormat="1">
      <c r="B250" s="738"/>
    </row>
    <row r="251" spans="2:2" s="189" customFormat="1">
      <c r="B251" s="738"/>
    </row>
    <row r="252" spans="2:2" s="189" customFormat="1">
      <c r="B252" s="738"/>
    </row>
    <row r="253" spans="2:2" s="189" customFormat="1">
      <c r="B253" s="738"/>
    </row>
    <row r="254" spans="2:2" s="189" customFormat="1">
      <c r="B254" s="738"/>
    </row>
    <row r="255" spans="2:2" s="189" customFormat="1">
      <c r="B255" s="738"/>
    </row>
    <row r="256" spans="2:2" s="189" customFormat="1">
      <c r="B256" s="738"/>
    </row>
    <row r="257" spans="2:2" s="189" customFormat="1">
      <c r="B257" s="738"/>
    </row>
    <row r="258" spans="2:2" s="189" customFormat="1">
      <c r="B258" s="738"/>
    </row>
    <row r="259" spans="2:2" s="189" customFormat="1">
      <c r="B259" s="738"/>
    </row>
    <row r="260" spans="2:2" s="189" customFormat="1">
      <c r="B260" s="738"/>
    </row>
    <row r="261" spans="2:2" s="189" customFormat="1">
      <c r="B261" s="738"/>
    </row>
    <row r="262" spans="2:2" s="189" customFormat="1">
      <c r="B262" s="738"/>
    </row>
    <row r="263" spans="2:2" s="189" customFormat="1">
      <c r="B263" s="738"/>
    </row>
    <row r="264" spans="2:2" s="189" customFormat="1">
      <c r="B264" s="738"/>
    </row>
    <row r="265" spans="2:2" s="189" customFormat="1">
      <c r="B265" s="738"/>
    </row>
    <row r="266" spans="2:2" s="189" customFormat="1">
      <c r="B266" s="738"/>
    </row>
    <row r="267" spans="2:2" s="189" customFormat="1">
      <c r="B267" s="738"/>
    </row>
    <row r="268" spans="2:2" s="189" customFormat="1">
      <c r="B268" s="738"/>
    </row>
    <row r="269" spans="2:2" s="189" customFormat="1">
      <c r="B269" s="738"/>
    </row>
    <row r="270" spans="2:2" s="189" customFormat="1">
      <c r="B270" s="738"/>
    </row>
    <row r="271" spans="2:2" s="189" customFormat="1">
      <c r="B271" s="738"/>
    </row>
    <row r="272" spans="2:2" s="189" customFormat="1">
      <c r="B272" s="738"/>
    </row>
    <row r="273" spans="2:2" s="189" customFormat="1">
      <c r="B273" s="738"/>
    </row>
    <row r="274" spans="2:2" s="189" customFormat="1">
      <c r="B274" s="738"/>
    </row>
    <row r="275" spans="2:2" s="189" customFormat="1">
      <c r="B275" s="738"/>
    </row>
    <row r="276" spans="2:2" s="189" customFormat="1">
      <c r="B276" s="738"/>
    </row>
    <row r="277" spans="2:2" s="189" customFormat="1">
      <c r="B277" s="738"/>
    </row>
    <row r="278" spans="2:2" s="189" customFormat="1">
      <c r="B278" s="738"/>
    </row>
    <row r="279" spans="2:2" s="189" customFormat="1">
      <c r="B279" s="738"/>
    </row>
    <row r="280" spans="2:2" s="189" customFormat="1">
      <c r="B280" s="738"/>
    </row>
    <row r="281" spans="2:2" s="189" customFormat="1">
      <c r="B281" s="738"/>
    </row>
    <row r="282" spans="2:2" s="189" customFormat="1">
      <c r="B282" s="738"/>
    </row>
    <row r="283" spans="2:2" s="189" customFormat="1">
      <c r="B283" s="738"/>
    </row>
    <row r="284" spans="2:2" s="189" customFormat="1">
      <c r="B284" s="738"/>
    </row>
    <row r="285" spans="2:2" s="189" customFormat="1">
      <c r="B285" s="738"/>
    </row>
    <row r="286" spans="2:2" s="189" customFormat="1">
      <c r="B286" s="738"/>
    </row>
    <row r="287" spans="2:2" s="189" customFormat="1">
      <c r="B287" s="738"/>
    </row>
    <row r="288" spans="2:2" s="189" customFormat="1">
      <c r="B288" s="738"/>
    </row>
    <row r="289" spans="2:2" s="189" customFormat="1">
      <c r="B289" s="738"/>
    </row>
    <row r="290" spans="2:2" s="189" customFormat="1">
      <c r="B290" s="738"/>
    </row>
    <row r="291" spans="2:2" s="189" customFormat="1">
      <c r="B291" s="738"/>
    </row>
    <row r="292" spans="2:2" s="189" customFormat="1">
      <c r="B292" s="738"/>
    </row>
    <row r="293" spans="2:2" s="189" customFormat="1">
      <c r="B293" s="738"/>
    </row>
    <row r="294" spans="2:2" s="189" customFormat="1">
      <c r="B294" s="738"/>
    </row>
    <row r="295" spans="2:2" s="189" customFormat="1">
      <c r="B295" s="738"/>
    </row>
    <row r="296" spans="2:2" s="189" customFormat="1">
      <c r="B296" s="738"/>
    </row>
    <row r="297" spans="2:2" s="189" customFormat="1">
      <c r="B297" s="738"/>
    </row>
    <row r="298" spans="2:2" s="189" customFormat="1">
      <c r="B298" s="738"/>
    </row>
    <row r="299" spans="2:2" s="189" customFormat="1">
      <c r="B299" s="738"/>
    </row>
    <row r="300" spans="2:2" s="189" customFormat="1">
      <c r="B300" s="738"/>
    </row>
    <row r="301" spans="2:2" s="189" customFormat="1">
      <c r="B301" s="738"/>
    </row>
    <row r="302" spans="2:2" s="189" customFormat="1">
      <c r="B302" s="738"/>
    </row>
    <row r="303" spans="2:2" s="189" customFormat="1">
      <c r="B303" s="738"/>
    </row>
    <row r="304" spans="2:2" s="189" customFormat="1">
      <c r="B304" s="738"/>
    </row>
    <row r="305" spans="2:2" s="189" customFormat="1">
      <c r="B305" s="738"/>
    </row>
    <row r="306" spans="2:2" s="189" customFormat="1">
      <c r="B306" s="738"/>
    </row>
    <row r="307" spans="2:2" s="189" customFormat="1">
      <c r="B307" s="738"/>
    </row>
    <row r="308" spans="2:2" s="189" customFormat="1">
      <c r="B308" s="738"/>
    </row>
    <row r="309" spans="2:2" s="189" customFormat="1">
      <c r="B309" s="738"/>
    </row>
    <row r="310" spans="2:2" s="189" customFormat="1">
      <c r="B310" s="738"/>
    </row>
    <row r="311" spans="2:2" s="189" customFormat="1">
      <c r="B311" s="738"/>
    </row>
    <row r="312" spans="2:2" s="189" customFormat="1">
      <c r="B312" s="738"/>
    </row>
    <row r="313" spans="2:2" s="189" customFormat="1">
      <c r="B313" s="738"/>
    </row>
    <row r="314" spans="2:2" s="189" customFormat="1">
      <c r="B314" s="738"/>
    </row>
    <row r="315" spans="2:2" s="189" customFormat="1">
      <c r="B315" s="738"/>
    </row>
    <row r="316" spans="2:2" s="189" customFormat="1">
      <c r="B316" s="738"/>
    </row>
    <row r="317" spans="2:2" s="189" customFormat="1">
      <c r="B317" s="738"/>
    </row>
    <row r="318" spans="2:2" s="189" customFormat="1">
      <c r="B318" s="738"/>
    </row>
    <row r="319" spans="2:2" s="189" customFormat="1">
      <c r="B319" s="738"/>
    </row>
    <row r="320" spans="2:2" s="189" customFormat="1">
      <c r="B320" s="738"/>
    </row>
    <row r="321" spans="2:2" s="189" customFormat="1">
      <c r="B321" s="738"/>
    </row>
    <row r="322" spans="2:2" s="189" customFormat="1">
      <c r="B322" s="738"/>
    </row>
    <row r="323" spans="2:2" s="189" customFormat="1">
      <c r="B323" s="738"/>
    </row>
    <row r="324" spans="2:2" s="189" customFormat="1">
      <c r="B324" s="738"/>
    </row>
    <row r="325" spans="2:2" s="189" customFormat="1">
      <c r="B325" s="738"/>
    </row>
    <row r="326" spans="2:2" s="189" customFormat="1">
      <c r="B326" s="738"/>
    </row>
    <row r="327" spans="2:2" s="189" customFormat="1">
      <c r="B327" s="738"/>
    </row>
    <row r="328" spans="2:2" s="189" customFormat="1">
      <c r="B328" s="738"/>
    </row>
    <row r="329" spans="2:2" s="189" customFormat="1">
      <c r="B329" s="738"/>
    </row>
    <row r="330" spans="2:2" s="189" customFormat="1">
      <c r="B330" s="738"/>
    </row>
    <row r="331" spans="2:2" s="189" customFormat="1">
      <c r="B331" s="738"/>
    </row>
    <row r="332" spans="2:2" s="189" customFormat="1">
      <c r="B332" s="738"/>
    </row>
    <row r="333" spans="2:2" s="189" customFormat="1">
      <c r="B333" s="738"/>
    </row>
    <row r="334" spans="2:2" s="189" customFormat="1">
      <c r="B334" s="738"/>
    </row>
    <row r="335" spans="2:2" s="189" customFormat="1">
      <c r="B335" s="738"/>
    </row>
    <row r="336" spans="2:2" s="189" customFormat="1">
      <c r="B336" s="738"/>
    </row>
    <row r="337" spans="2:2" s="189" customFormat="1">
      <c r="B337" s="738"/>
    </row>
    <row r="338" spans="2:2" s="189" customFormat="1">
      <c r="B338" s="738"/>
    </row>
    <row r="339" spans="2:2" s="189" customFormat="1">
      <c r="B339" s="738"/>
    </row>
    <row r="340" spans="2:2" s="189" customFormat="1">
      <c r="B340" s="738"/>
    </row>
    <row r="341" spans="2:2" s="189" customFormat="1">
      <c r="B341" s="738"/>
    </row>
    <row r="342" spans="2:2" s="189" customFormat="1">
      <c r="B342" s="738"/>
    </row>
    <row r="343" spans="2:2" s="189" customFormat="1">
      <c r="B343" s="738"/>
    </row>
    <row r="344" spans="2:2" s="189" customFormat="1">
      <c r="B344" s="738"/>
    </row>
    <row r="345" spans="2:2" s="189" customFormat="1">
      <c r="B345" s="738"/>
    </row>
    <row r="346" spans="2:2" s="189" customFormat="1">
      <c r="B346" s="738"/>
    </row>
    <row r="347" spans="2:2" s="189" customFormat="1">
      <c r="B347" s="738"/>
    </row>
    <row r="348" spans="2:2" s="189" customFormat="1">
      <c r="B348" s="738"/>
    </row>
    <row r="349" spans="2:2" s="189" customFormat="1">
      <c r="B349" s="738"/>
    </row>
    <row r="350" spans="2:2" s="189" customFormat="1">
      <c r="B350" s="738"/>
    </row>
    <row r="351" spans="2:2" s="189" customFormat="1">
      <c r="B351" s="738"/>
    </row>
    <row r="352" spans="2:2" s="189" customFormat="1">
      <c r="B352" s="738"/>
    </row>
    <row r="353" spans="2:2" s="189" customFormat="1">
      <c r="B353" s="738"/>
    </row>
    <row r="354" spans="2:2" s="189" customFormat="1">
      <c r="B354" s="738"/>
    </row>
    <row r="355" spans="2:2" s="189" customFormat="1">
      <c r="B355" s="738"/>
    </row>
    <row r="356" spans="2:2" s="189" customFormat="1">
      <c r="B356" s="738"/>
    </row>
    <row r="357" spans="2:2" s="189" customFormat="1">
      <c r="B357" s="738"/>
    </row>
    <row r="358" spans="2:2" s="189" customFormat="1">
      <c r="B358" s="738"/>
    </row>
    <row r="359" spans="2:2" s="189" customFormat="1">
      <c r="B359" s="738"/>
    </row>
    <row r="360" spans="2:2" s="189" customFormat="1">
      <c r="B360" s="738"/>
    </row>
    <row r="361" spans="2:2" s="189" customFormat="1">
      <c r="B361" s="738"/>
    </row>
    <row r="362" spans="2:2" s="189" customFormat="1">
      <c r="B362" s="738"/>
    </row>
    <row r="363" spans="2:2" s="189" customFormat="1">
      <c r="B363" s="738"/>
    </row>
    <row r="364" spans="2:2" s="189" customFormat="1">
      <c r="B364" s="738"/>
    </row>
    <row r="365" spans="2:2" s="189" customFormat="1">
      <c r="B365" s="738"/>
    </row>
    <row r="366" spans="2:2" s="189" customFormat="1">
      <c r="B366" s="738"/>
    </row>
    <row r="367" spans="2:2" s="189" customFormat="1">
      <c r="B367" s="738"/>
    </row>
    <row r="368" spans="2:2" s="189" customFormat="1">
      <c r="B368" s="738"/>
    </row>
    <row r="369" spans="2:2" s="189" customFormat="1">
      <c r="B369" s="738"/>
    </row>
    <row r="370" spans="2:2" s="189" customFormat="1">
      <c r="B370" s="738"/>
    </row>
    <row r="371" spans="2:2" s="189" customFormat="1">
      <c r="B371" s="738"/>
    </row>
    <row r="372" spans="2:2" s="189" customFormat="1">
      <c r="B372" s="738"/>
    </row>
    <row r="373" spans="2:2" s="189" customFormat="1">
      <c r="B373" s="738"/>
    </row>
    <row r="374" spans="2:2" s="189" customFormat="1">
      <c r="B374" s="738"/>
    </row>
    <row r="375" spans="2:2" s="189" customFormat="1">
      <c r="B375" s="738"/>
    </row>
    <row r="376" spans="2:2" s="189" customFormat="1">
      <c r="B376" s="738"/>
    </row>
    <row r="377" spans="2:2" s="189" customFormat="1">
      <c r="B377" s="738"/>
    </row>
    <row r="378" spans="2:2" s="189" customFormat="1">
      <c r="B378" s="738"/>
    </row>
    <row r="379" spans="2:2" s="189" customFormat="1">
      <c r="B379" s="738"/>
    </row>
    <row r="380" spans="2:2" s="189" customFormat="1">
      <c r="B380" s="738"/>
    </row>
    <row r="381" spans="2:2" s="189" customFormat="1">
      <c r="B381" s="738"/>
    </row>
    <row r="382" spans="2:2" s="189" customFormat="1">
      <c r="B382" s="738"/>
    </row>
    <row r="383" spans="2:2" s="189" customFormat="1">
      <c r="B383" s="738"/>
    </row>
    <row r="384" spans="2:2" s="189" customFormat="1">
      <c r="B384" s="738"/>
    </row>
    <row r="385" spans="2:2" s="189" customFormat="1">
      <c r="B385" s="738"/>
    </row>
    <row r="386" spans="2:2" s="189" customFormat="1">
      <c r="B386" s="738"/>
    </row>
    <row r="387" spans="2:2" s="189" customFormat="1">
      <c r="B387" s="738"/>
    </row>
    <row r="388" spans="2:2" s="189" customFormat="1">
      <c r="B388" s="738"/>
    </row>
    <row r="389" spans="2:2" s="189" customFormat="1">
      <c r="B389" s="738"/>
    </row>
    <row r="390" spans="2:2" s="189" customFormat="1">
      <c r="B390" s="738"/>
    </row>
    <row r="391" spans="2:2" s="189" customFormat="1">
      <c r="B391" s="738"/>
    </row>
    <row r="392" spans="2:2" s="189" customFormat="1">
      <c r="B392" s="738"/>
    </row>
    <row r="393" spans="2:2" s="189" customFormat="1">
      <c r="B393" s="738"/>
    </row>
    <row r="394" spans="2:2" s="189" customFormat="1">
      <c r="B394" s="738"/>
    </row>
    <row r="395" spans="2:2" s="189" customFormat="1">
      <c r="B395" s="738"/>
    </row>
    <row r="396" spans="2:2" s="189" customFormat="1">
      <c r="B396" s="738"/>
    </row>
    <row r="397" spans="2:2" s="189" customFormat="1">
      <c r="B397" s="738"/>
    </row>
    <row r="398" spans="2:2" s="189" customFormat="1">
      <c r="B398" s="738"/>
    </row>
    <row r="399" spans="2:2" s="189" customFormat="1">
      <c r="B399" s="738"/>
    </row>
    <row r="400" spans="2:2" s="189" customFormat="1">
      <c r="B400" s="738"/>
    </row>
    <row r="401" spans="2:2" s="189" customFormat="1">
      <c r="B401" s="738"/>
    </row>
    <row r="402" spans="2:2" s="189" customFormat="1">
      <c r="B402" s="738"/>
    </row>
    <row r="403" spans="2:2" s="189" customFormat="1">
      <c r="B403" s="738"/>
    </row>
    <row r="404" spans="2:2" s="189" customFormat="1">
      <c r="B404" s="738"/>
    </row>
    <row r="405" spans="2:2" s="189" customFormat="1">
      <c r="B405" s="738"/>
    </row>
    <row r="406" spans="2:2" s="189" customFormat="1">
      <c r="B406" s="738"/>
    </row>
    <row r="407" spans="2:2" s="189" customFormat="1">
      <c r="B407" s="738"/>
    </row>
    <row r="408" spans="2:2" s="189" customFormat="1">
      <c r="B408" s="738"/>
    </row>
    <row r="409" spans="2:2" s="189" customFormat="1">
      <c r="B409" s="738"/>
    </row>
    <row r="410" spans="2:2" s="189" customFormat="1">
      <c r="B410" s="738"/>
    </row>
    <row r="411" spans="2:2" s="189" customFormat="1">
      <c r="B411" s="738"/>
    </row>
    <row r="412" spans="2:2" s="189" customFormat="1">
      <c r="B412" s="738"/>
    </row>
    <row r="413" spans="2:2" s="189" customFormat="1">
      <c r="B413" s="738"/>
    </row>
    <row r="414" spans="2:2" s="189" customFormat="1">
      <c r="B414" s="738"/>
    </row>
    <row r="415" spans="2:2" s="189" customFormat="1">
      <c r="B415" s="738"/>
    </row>
    <row r="416" spans="2:2" s="189" customFormat="1">
      <c r="B416" s="738"/>
    </row>
    <row r="417" spans="2:2" s="189" customFormat="1">
      <c r="B417" s="738"/>
    </row>
    <row r="418" spans="2:2" s="189" customFormat="1">
      <c r="B418" s="738"/>
    </row>
    <row r="419" spans="2:2" s="189" customFormat="1">
      <c r="B419" s="738"/>
    </row>
    <row r="420" spans="2:2" s="189" customFormat="1">
      <c r="B420" s="738"/>
    </row>
    <row r="421" spans="2:2" s="189" customFormat="1">
      <c r="B421" s="738"/>
    </row>
    <row r="422" spans="2:2" s="189" customFormat="1">
      <c r="B422" s="738"/>
    </row>
    <row r="423" spans="2:2" s="189" customFormat="1">
      <c r="B423" s="738"/>
    </row>
    <row r="424" spans="2:2" s="189" customFormat="1">
      <c r="B424" s="738"/>
    </row>
    <row r="425" spans="2:2" s="189" customFormat="1">
      <c r="B425" s="738"/>
    </row>
    <row r="426" spans="2:2" s="189" customFormat="1">
      <c r="B426" s="738"/>
    </row>
    <row r="427" spans="2:2" s="189" customFormat="1">
      <c r="B427" s="738"/>
    </row>
    <row r="428" spans="2:2" s="189" customFormat="1">
      <c r="B428" s="738"/>
    </row>
    <row r="429" spans="2:2" s="189" customFormat="1">
      <c r="B429" s="738"/>
    </row>
    <row r="430" spans="2:2" s="189" customFormat="1">
      <c r="B430" s="738"/>
    </row>
    <row r="431" spans="2:2" s="189" customFormat="1">
      <c r="B431" s="738"/>
    </row>
    <row r="432" spans="2:2" s="189" customFormat="1">
      <c r="B432" s="738"/>
    </row>
    <row r="433" spans="2:2" s="189" customFormat="1">
      <c r="B433" s="738"/>
    </row>
    <row r="434" spans="2:2" s="189" customFormat="1">
      <c r="B434" s="738"/>
    </row>
    <row r="435" spans="2:2" s="189" customFormat="1">
      <c r="B435" s="738"/>
    </row>
    <row r="436" spans="2:2" s="189" customFormat="1">
      <c r="B436" s="738"/>
    </row>
    <row r="437" spans="2:2" s="189" customFormat="1">
      <c r="B437" s="738"/>
    </row>
    <row r="438" spans="2:2" s="189" customFormat="1">
      <c r="B438" s="738"/>
    </row>
    <row r="439" spans="2:2" s="189" customFormat="1">
      <c r="B439" s="738"/>
    </row>
    <row r="440" spans="2:2" s="189" customFormat="1">
      <c r="B440" s="738"/>
    </row>
    <row r="441" spans="2:2" s="189" customFormat="1">
      <c r="B441" s="738"/>
    </row>
    <row r="442" spans="2:2" s="189" customFormat="1">
      <c r="B442" s="738"/>
    </row>
    <row r="443" spans="2:2" s="189" customFormat="1">
      <c r="B443" s="738"/>
    </row>
    <row r="444" spans="2:2" s="189" customFormat="1">
      <c r="B444" s="738"/>
    </row>
    <row r="445" spans="2:2" s="189" customFormat="1">
      <c r="B445" s="738"/>
    </row>
    <row r="446" spans="2:2" s="189" customFormat="1">
      <c r="B446" s="738"/>
    </row>
    <row r="447" spans="2:2" s="189" customFormat="1">
      <c r="B447" s="738"/>
    </row>
    <row r="448" spans="2:2" s="189" customFormat="1">
      <c r="B448" s="738"/>
    </row>
    <row r="449" spans="2:2" s="189" customFormat="1">
      <c r="B449" s="738"/>
    </row>
    <row r="450" spans="2:2" s="189" customFormat="1">
      <c r="B450" s="738"/>
    </row>
    <row r="451" spans="2:2" s="189" customFormat="1">
      <c r="B451" s="738"/>
    </row>
    <row r="452" spans="2:2" s="189" customFormat="1">
      <c r="B452" s="738"/>
    </row>
    <row r="453" spans="2:2" s="189" customFormat="1">
      <c r="B453" s="738"/>
    </row>
    <row r="454" spans="2:2" s="189" customFormat="1">
      <c r="B454" s="738"/>
    </row>
    <row r="455" spans="2:2" s="189" customFormat="1">
      <c r="B455" s="738"/>
    </row>
    <row r="456" spans="2:2" s="189" customFormat="1">
      <c r="B456" s="738"/>
    </row>
    <row r="457" spans="2:2" s="189" customFormat="1">
      <c r="B457" s="738"/>
    </row>
    <row r="458" spans="2:2" s="189" customFormat="1">
      <c r="B458" s="738"/>
    </row>
    <row r="459" spans="2:2" s="189" customFormat="1">
      <c r="B459" s="738"/>
    </row>
    <row r="460" spans="2:2" s="189" customFormat="1">
      <c r="B460" s="738"/>
    </row>
    <row r="461" spans="2:2" s="189" customFormat="1">
      <c r="B461" s="738"/>
    </row>
    <row r="462" spans="2:2" s="189" customFormat="1">
      <c r="B462" s="738"/>
    </row>
    <row r="463" spans="2:2" s="189" customFormat="1">
      <c r="B463" s="738"/>
    </row>
    <row r="464" spans="2:2" s="189" customFormat="1">
      <c r="B464" s="738"/>
    </row>
    <row r="465" spans="2:2" s="189" customFormat="1">
      <c r="B465" s="738"/>
    </row>
    <row r="466" spans="2:2" s="189" customFormat="1">
      <c r="B466" s="738"/>
    </row>
    <row r="467" spans="2:2" s="189" customFormat="1">
      <c r="B467" s="738"/>
    </row>
    <row r="468" spans="2:2" s="189" customFormat="1">
      <c r="B468" s="738"/>
    </row>
    <row r="469" spans="2:2" s="189" customFormat="1">
      <c r="B469" s="738"/>
    </row>
    <row r="470" spans="2:2" s="189" customFormat="1">
      <c r="B470" s="738"/>
    </row>
    <row r="471" spans="2:2" s="189" customFormat="1">
      <c r="B471" s="738"/>
    </row>
    <row r="472" spans="2:2" s="189" customFormat="1">
      <c r="B472" s="738"/>
    </row>
    <row r="473" spans="2:2" s="189" customFormat="1">
      <c r="B473" s="738"/>
    </row>
    <row r="474" spans="2:2" s="189" customFormat="1">
      <c r="B474" s="738"/>
    </row>
    <row r="475" spans="2:2" s="189" customFormat="1">
      <c r="B475" s="738"/>
    </row>
    <row r="476" spans="2:2" s="189" customFormat="1">
      <c r="B476" s="738"/>
    </row>
    <row r="477" spans="2:2" s="189" customFormat="1">
      <c r="B477" s="738"/>
    </row>
    <row r="478" spans="2:2" s="189" customFormat="1">
      <c r="B478" s="738"/>
    </row>
    <row r="479" spans="2:2" s="189" customFormat="1">
      <c r="B479" s="738"/>
    </row>
    <row r="480" spans="2:2" s="189" customFormat="1">
      <c r="B480" s="738"/>
    </row>
    <row r="481" spans="2:2" s="189" customFormat="1">
      <c r="B481" s="738"/>
    </row>
    <row r="482" spans="2:2" s="189" customFormat="1">
      <c r="B482" s="738"/>
    </row>
    <row r="483" spans="2:2" s="189" customFormat="1">
      <c r="B483" s="738"/>
    </row>
    <row r="484" spans="2:2" s="189" customFormat="1">
      <c r="B484" s="738"/>
    </row>
    <row r="485" spans="2:2" s="189" customFormat="1">
      <c r="B485" s="738"/>
    </row>
    <row r="486" spans="2:2" s="189" customFormat="1">
      <c r="B486" s="738"/>
    </row>
    <row r="487" spans="2:2" s="189" customFormat="1">
      <c r="B487" s="738"/>
    </row>
    <row r="488" spans="2:2" s="189" customFormat="1">
      <c r="B488" s="738"/>
    </row>
    <row r="489" spans="2:2" s="189" customFormat="1">
      <c r="B489" s="738"/>
    </row>
    <row r="490" spans="2:2" s="189" customFormat="1">
      <c r="B490" s="738"/>
    </row>
    <row r="491" spans="2:2" s="189" customFormat="1">
      <c r="B491" s="738"/>
    </row>
    <row r="492" spans="2:2" s="189" customFormat="1">
      <c r="B492" s="738"/>
    </row>
    <row r="493" spans="2:2" s="189" customFormat="1">
      <c r="B493" s="738"/>
    </row>
    <row r="494" spans="2:2" s="189" customFormat="1">
      <c r="B494" s="738"/>
    </row>
    <row r="495" spans="2:2" s="189" customFormat="1">
      <c r="B495" s="738"/>
    </row>
    <row r="496" spans="2:2" s="189" customFormat="1">
      <c r="B496" s="738"/>
    </row>
    <row r="497" spans="2:2" s="189" customFormat="1">
      <c r="B497" s="738"/>
    </row>
    <row r="498" spans="2:2" s="189" customFormat="1">
      <c r="B498" s="738"/>
    </row>
    <row r="499" spans="2:2" s="189" customFormat="1">
      <c r="B499" s="738"/>
    </row>
    <row r="500" spans="2:2" s="189" customFormat="1">
      <c r="B500" s="738"/>
    </row>
    <row r="501" spans="2:2" s="189" customFormat="1">
      <c r="B501" s="738"/>
    </row>
    <row r="502" spans="2:2" s="189" customFormat="1">
      <c r="B502" s="738"/>
    </row>
    <row r="503" spans="2:2" s="189" customFormat="1">
      <c r="B503" s="738"/>
    </row>
    <row r="504" spans="2:2" s="189" customFormat="1">
      <c r="B504" s="738"/>
    </row>
    <row r="505" spans="2:2" s="189" customFormat="1">
      <c r="B505" s="738"/>
    </row>
    <row r="506" spans="2:2" s="189" customFormat="1">
      <c r="B506" s="738"/>
    </row>
    <row r="507" spans="2:2" s="189" customFormat="1">
      <c r="B507" s="738"/>
    </row>
    <row r="508" spans="2:2" s="189" customFormat="1">
      <c r="B508" s="738"/>
    </row>
    <row r="509" spans="2:2" s="189" customFormat="1">
      <c r="B509" s="738"/>
    </row>
    <row r="510" spans="2:2" s="189" customFormat="1">
      <c r="B510" s="738"/>
    </row>
    <row r="511" spans="2:2" s="189" customFormat="1">
      <c r="B511" s="738"/>
    </row>
    <row r="512" spans="2:2" s="189" customFormat="1">
      <c r="B512" s="738"/>
    </row>
    <row r="513" spans="2:2" s="189" customFormat="1">
      <c r="B513" s="738"/>
    </row>
    <row r="514" spans="2:2" s="189" customFormat="1">
      <c r="B514" s="738"/>
    </row>
    <row r="515" spans="2:2" s="189" customFormat="1">
      <c r="B515" s="738"/>
    </row>
    <row r="516" spans="2:2" s="189" customFormat="1">
      <c r="B516" s="738"/>
    </row>
    <row r="517" spans="2:2" s="189" customFormat="1">
      <c r="B517" s="738"/>
    </row>
    <row r="518" spans="2:2" s="189" customFormat="1">
      <c r="B518" s="738"/>
    </row>
    <row r="519" spans="2:2" s="189" customFormat="1">
      <c r="B519" s="738"/>
    </row>
    <row r="520" spans="2:2" s="189" customFormat="1">
      <c r="B520" s="738"/>
    </row>
    <row r="521" spans="2:2" s="189" customFormat="1">
      <c r="B521" s="738"/>
    </row>
    <row r="522" spans="2:2" s="189" customFormat="1">
      <c r="B522" s="738"/>
    </row>
    <row r="523" spans="2:2" s="189" customFormat="1">
      <c r="B523" s="738"/>
    </row>
    <row r="524" spans="2:2" s="189" customFormat="1">
      <c r="B524" s="738"/>
    </row>
    <row r="525" spans="2:2" s="189" customFormat="1">
      <c r="B525" s="738"/>
    </row>
    <row r="526" spans="2:2" s="189" customFormat="1">
      <c r="B526" s="738"/>
    </row>
    <row r="527" spans="2:2" s="189" customFormat="1">
      <c r="B527" s="738"/>
    </row>
    <row r="528" spans="2:2" s="189" customFormat="1">
      <c r="B528" s="738"/>
    </row>
    <row r="529" spans="2:2" s="189" customFormat="1">
      <c r="B529" s="738"/>
    </row>
    <row r="530" spans="2:2" s="189" customFormat="1">
      <c r="B530" s="738"/>
    </row>
    <row r="531" spans="2:2" s="189" customFormat="1">
      <c r="B531" s="738"/>
    </row>
    <row r="532" spans="2:2" s="189" customFormat="1">
      <c r="B532" s="738"/>
    </row>
    <row r="533" spans="2:2" s="189" customFormat="1">
      <c r="B533" s="738"/>
    </row>
    <row r="534" spans="2:2" s="189" customFormat="1">
      <c r="B534" s="738"/>
    </row>
    <row r="535" spans="2:2" s="189" customFormat="1">
      <c r="B535" s="738"/>
    </row>
    <row r="536" spans="2:2" s="189" customFormat="1">
      <c r="B536" s="738"/>
    </row>
    <row r="537" spans="2:2" s="189" customFormat="1">
      <c r="B537" s="738"/>
    </row>
    <row r="538" spans="2:2" s="189" customFormat="1">
      <c r="B538" s="738"/>
    </row>
    <row r="539" spans="2:2" s="189" customFormat="1">
      <c r="B539" s="738"/>
    </row>
    <row r="540" spans="2:2" s="189" customFormat="1">
      <c r="B540" s="738"/>
    </row>
    <row r="541" spans="2:2" s="189" customFormat="1">
      <c r="B541" s="738"/>
    </row>
    <row r="542" spans="2:2" s="189" customFormat="1">
      <c r="B542" s="738"/>
    </row>
    <row r="543" spans="2:2" s="189" customFormat="1">
      <c r="B543" s="738"/>
    </row>
    <row r="544" spans="2:2" s="189" customFormat="1">
      <c r="B544" s="738"/>
    </row>
    <row r="545" spans="2:2" s="189" customFormat="1">
      <c r="B545" s="738"/>
    </row>
    <row r="546" spans="2:2" s="189" customFormat="1">
      <c r="B546" s="738"/>
    </row>
    <row r="547" spans="2:2" s="189" customFormat="1">
      <c r="B547" s="738"/>
    </row>
    <row r="548" spans="2:2" s="189" customFormat="1">
      <c r="B548" s="738"/>
    </row>
    <row r="549" spans="2:2" s="189" customFormat="1">
      <c r="B549" s="738"/>
    </row>
    <row r="550" spans="2:2" s="189" customFormat="1">
      <c r="B550" s="738"/>
    </row>
    <row r="551" spans="2:2" s="189" customFormat="1">
      <c r="B551" s="738"/>
    </row>
    <row r="552" spans="2:2" s="189" customFormat="1">
      <c r="B552" s="738"/>
    </row>
    <row r="553" spans="2:2" s="189" customFormat="1">
      <c r="B553" s="738"/>
    </row>
    <row r="554" spans="2:2" s="189" customFormat="1">
      <c r="B554" s="738"/>
    </row>
    <row r="555" spans="2:2" s="189" customFormat="1">
      <c r="B555" s="738"/>
    </row>
    <row r="556" spans="2:2" s="189" customFormat="1">
      <c r="B556" s="738"/>
    </row>
    <row r="557" spans="2:2" s="189" customFormat="1">
      <c r="B557" s="738"/>
    </row>
    <row r="558" spans="2:2" s="189" customFormat="1">
      <c r="B558" s="738"/>
    </row>
    <row r="559" spans="2:2" s="189" customFormat="1">
      <c r="B559" s="738"/>
    </row>
    <row r="560" spans="2:2" s="189" customFormat="1">
      <c r="B560" s="738"/>
    </row>
    <row r="561" spans="2:2" s="189" customFormat="1">
      <c r="B561" s="738"/>
    </row>
    <row r="562" spans="2:2" s="189" customFormat="1">
      <c r="B562" s="738"/>
    </row>
    <row r="563" spans="2:2" s="189" customFormat="1">
      <c r="B563" s="738"/>
    </row>
    <row r="564" spans="2:2" s="189" customFormat="1">
      <c r="B564" s="738"/>
    </row>
    <row r="565" spans="2:2" s="189" customFormat="1">
      <c r="B565" s="738"/>
    </row>
    <row r="566" spans="2:2" s="189" customFormat="1">
      <c r="B566" s="738"/>
    </row>
    <row r="567" spans="2:2" s="189" customFormat="1">
      <c r="B567" s="738"/>
    </row>
    <row r="568" spans="2:2" s="189" customFormat="1">
      <c r="B568" s="738"/>
    </row>
    <row r="569" spans="2:2" s="189" customFormat="1">
      <c r="B569" s="738"/>
    </row>
    <row r="570" spans="2:2" s="189" customFormat="1">
      <c r="B570" s="738"/>
    </row>
    <row r="571" spans="2:2" s="189" customFormat="1">
      <c r="B571" s="738"/>
    </row>
    <row r="572" spans="2:2" s="189" customFormat="1">
      <c r="B572" s="738"/>
    </row>
    <row r="573" spans="2:2" s="189" customFormat="1">
      <c r="B573" s="738"/>
    </row>
    <row r="574" spans="2:2" s="189" customFormat="1">
      <c r="B574" s="738"/>
    </row>
    <row r="575" spans="2:2" s="189" customFormat="1">
      <c r="B575" s="738"/>
    </row>
    <row r="576" spans="2:2" s="189" customFormat="1">
      <c r="B576" s="738"/>
    </row>
    <row r="577" spans="2:2" s="189" customFormat="1">
      <c r="B577" s="738"/>
    </row>
    <row r="578" spans="2:2" s="189" customFormat="1">
      <c r="B578" s="738"/>
    </row>
    <row r="579" spans="2:2" s="189" customFormat="1">
      <c r="B579" s="738"/>
    </row>
    <row r="580" spans="2:2" s="189" customFormat="1">
      <c r="B580" s="738"/>
    </row>
    <row r="581" spans="2:2" s="189" customFormat="1">
      <c r="B581" s="738"/>
    </row>
    <row r="582" spans="2:2" s="189" customFormat="1">
      <c r="B582" s="738"/>
    </row>
    <row r="583" spans="2:2" s="189" customFormat="1">
      <c r="B583" s="738"/>
    </row>
    <row r="584" spans="2:2" s="189" customFormat="1">
      <c r="B584" s="738"/>
    </row>
    <row r="585" spans="2:2" s="189" customFormat="1">
      <c r="B585" s="738"/>
    </row>
    <row r="586" spans="2:2" s="189" customFormat="1">
      <c r="B586" s="738"/>
    </row>
    <row r="587" spans="2:2" s="189" customFormat="1">
      <c r="B587" s="738"/>
    </row>
    <row r="588" spans="2:2" s="189" customFormat="1">
      <c r="B588" s="738"/>
    </row>
    <row r="589" spans="2:2" s="189" customFormat="1">
      <c r="B589" s="738"/>
    </row>
    <row r="590" spans="2:2" s="189" customFormat="1">
      <c r="B590" s="738"/>
    </row>
    <row r="591" spans="2:2" s="189" customFormat="1">
      <c r="B591" s="738"/>
    </row>
    <row r="592" spans="2:2" s="189" customFormat="1">
      <c r="B592" s="738"/>
    </row>
    <row r="593" spans="2:2" s="189" customFormat="1">
      <c r="B593" s="738"/>
    </row>
    <row r="594" spans="2:2" s="189" customFormat="1">
      <c r="B594" s="738"/>
    </row>
    <row r="595" spans="2:2" s="189" customFormat="1">
      <c r="B595" s="738"/>
    </row>
    <row r="596" spans="2:2" s="189" customFormat="1">
      <c r="B596" s="738"/>
    </row>
    <row r="597" spans="2:2" s="189" customFormat="1">
      <c r="B597" s="738"/>
    </row>
    <row r="598" spans="2:2" s="189" customFormat="1">
      <c r="B598" s="738"/>
    </row>
    <row r="599" spans="2:2" s="189" customFormat="1">
      <c r="B599" s="738"/>
    </row>
    <row r="600" spans="2:2" s="189" customFormat="1">
      <c r="B600" s="738"/>
    </row>
    <row r="601" spans="2:2" s="189" customFormat="1">
      <c r="B601" s="738"/>
    </row>
    <row r="602" spans="2:2" s="189" customFormat="1">
      <c r="B602" s="738"/>
    </row>
    <row r="603" spans="2:2" s="189" customFormat="1">
      <c r="B603" s="738"/>
    </row>
    <row r="604" spans="2:2" s="189" customFormat="1">
      <c r="B604" s="738"/>
    </row>
    <row r="605" spans="2:2" s="189" customFormat="1">
      <c r="B605" s="738"/>
    </row>
    <row r="606" spans="2:2" s="189" customFormat="1">
      <c r="B606" s="738"/>
    </row>
    <row r="607" spans="2:2" s="189" customFormat="1">
      <c r="B607" s="738"/>
    </row>
    <row r="608" spans="2:2" s="189" customFormat="1">
      <c r="B608" s="738"/>
    </row>
    <row r="609" spans="2:2" s="189" customFormat="1">
      <c r="B609" s="738"/>
    </row>
    <row r="610" spans="2:2" s="189" customFormat="1">
      <c r="B610" s="738"/>
    </row>
    <row r="611" spans="2:2" s="189" customFormat="1">
      <c r="B611" s="738"/>
    </row>
    <row r="612" spans="2:2" s="189" customFormat="1">
      <c r="B612" s="738"/>
    </row>
    <row r="613" spans="2:2" s="189" customFormat="1">
      <c r="B613" s="738"/>
    </row>
    <row r="614" spans="2:2" s="189" customFormat="1">
      <c r="B614" s="738"/>
    </row>
    <row r="615" spans="2:2" s="189" customFormat="1">
      <c r="B615" s="738"/>
    </row>
    <row r="616" spans="2:2" s="189" customFormat="1">
      <c r="B616" s="738"/>
    </row>
    <row r="617" spans="2:2" s="189" customFormat="1">
      <c r="B617" s="738"/>
    </row>
    <row r="618" spans="2:2" s="189" customFormat="1">
      <c r="B618" s="738"/>
    </row>
    <row r="619" spans="2:2" s="189" customFormat="1">
      <c r="B619" s="738"/>
    </row>
    <row r="620" spans="2:2" s="189" customFormat="1">
      <c r="B620" s="738"/>
    </row>
    <row r="621" spans="2:2" s="189" customFormat="1">
      <c r="B621" s="738"/>
    </row>
    <row r="622" spans="2:2" s="189" customFormat="1">
      <c r="B622" s="738"/>
    </row>
    <row r="623" spans="2:2" s="189" customFormat="1">
      <c r="B623" s="738"/>
    </row>
    <row r="624" spans="2:2" s="189" customFormat="1">
      <c r="B624" s="738"/>
    </row>
    <row r="625" spans="2:10" s="189" customFormat="1">
      <c r="B625" s="738"/>
    </row>
    <row r="626" spans="2:10" s="189" customFormat="1">
      <c r="B626" s="738"/>
    </row>
    <row r="627" spans="2:10" s="189" customFormat="1">
      <c r="B627" s="738"/>
      <c r="C627"/>
      <c r="D627"/>
      <c r="E627"/>
      <c r="F627"/>
      <c r="G627"/>
      <c r="H627"/>
      <c r="I627"/>
      <c r="J627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9">
    <mergeCell ref="O70:R70"/>
    <mergeCell ref="O67:Q67"/>
    <mergeCell ref="O69:S69"/>
    <mergeCell ref="O63:S63"/>
    <mergeCell ref="O64:R64"/>
    <mergeCell ref="O65:Q65"/>
    <mergeCell ref="O66:Q66"/>
    <mergeCell ref="O47:R47"/>
    <mergeCell ref="O50:Q50"/>
    <mergeCell ref="O59:Q59"/>
    <mergeCell ref="O61:Q61"/>
    <mergeCell ref="O58:R58"/>
    <mergeCell ref="E87:G87"/>
    <mergeCell ref="C76:J76"/>
    <mergeCell ref="C70:J70"/>
    <mergeCell ref="C74:J74"/>
    <mergeCell ref="C73:J73"/>
    <mergeCell ref="O87:Q87"/>
    <mergeCell ref="O75:S75"/>
    <mergeCell ref="O71:Q71"/>
    <mergeCell ref="O72:Q72"/>
    <mergeCell ref="O73:Q73"/>
    <mergeCell ref="O76:Q76"/>
    <mergeCell ref="O77:Q77"/>
    <mergeCell ref="O78:Q78"/>
    <mergeCell ref="O79:Q79"/>
    <mergeCell ref="O81:S81"/>
    <mergeCell ref="O82:Q82"/>
    <mergeCell ref="O83:Q83"/>
    <mergeCell ref="O84:Q84"/>
    <mergeCell ref="O85:Q85"/>
    <mergeCell ref="O8:S8"/>
    <mergeCell ref="N15:S15"/>
    <mergeCell ref="O14:S14"/>
    <mergeCell ref="O60:Q60"/>
    <mergeCell ref="O48:Q48"/>
    <mergeCell ref="O49:Q49"/>
    <mergeCell ref="O57:S57"/>
    <mergeCell ref="O46:S46"/>
    <mergeCell ref="P21:S21"/>
    <mergeCell ref="O55:Q55"/>
    <mergeCell ref="P22:S22"/>
    <mergeCell ref="P23:R24"/>
    <mergeCell ref="O51:S51"/>
    <mergeCell ref="O52:R52"/>
    <mergeCell ref="O53:Q53"/>
    <mergeCell ref="O54:Q54"/>
    <mergeCell ref="F16:J16"/>
    <mergeCell ref="E17:K17"/>
    <mergeCell ref="C42:J42"/>
    <mergeCell ref="M41:T45"/>
    <mergeCell ref="C45:J45"/>
    <mergeCell ref="P18:R18"/>
    <mergeCell ref="P16:Q16"/>
    <mergeCell ref="C43:J43"/>
    <mergeCell ref="Q39:S39"/>
    <mergeCell ref="P17:S17"/>
    <mergeCell ref="F19:J19"/>
    <mergeCell ref="P19:S19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6"/>
  <sheetViews>
    <sheetView zoomScale="130" zoomScaleNormal="130" workbookViewId="0">
      <pane xSplit="1" ySplit="5" topLeftCell="B36" activePane="bottomRight" state="frozen"/>
      <selection activeCell="Q6" sqref="Q6"/>
      <selection pane="topRight" activeCell="Q6" sqref="Q6"/>
      <selection pane="bottomLeft" activeCell="Q6" sqref="Q6"/>
      <selection pane="bottomRight" activeCell="J54" sqref="J54:K54"/>
    </sheetView>
  </sheetViews>
  <sheetFormatPr defaultColWidth="9.140625" defaultRowHeight="12.75"/>
  <cols>
    <col min="1" max="1" width="8.85546875" style="432" customWidth="1"/>
    <col min="2" max="2" width="12.85546875" style="432" customWidth="1"/>
    <col min="3" max="3" width="13.5703125" style="432" customWidth="1"/>
    <col min="4" max="4" width="13" style="432" customWidth="1"/>
    <col min="5" max="5" width="14" style="432" customWidth="1"/>
    <col min="6" max="6" width="14.5703125" style="432" customWidth="1"/>
    <col min="7" max="7" width="15.28515625" style="432" customWidth="1"/>
    <col min="8" max="8" width="14.85546875" style="432" customWidth="1"/>
    <col min="9" max="9" width="15.85546875" style="432" customWidth="1"/>
    <col min="10" max="10" width="16" style="432" customWidth="1"/>
    <col min="11" max="11" width="15.28515625" style="432" customWidth="1"/>
    <col min="12" max="13" width="9.140625" style="432"/>
    <col min="14" max="14" width="10.42578125" style="432" customWidth="1"/>
    <col min="15" max="19" width="9.140625" style="432"/>
    <col min="20" max="20" width="10.140625" style="432" customWidth="1"/>
    <col min="21" max="16384" width="9.140625" style="432"/>
  </cols>
  <sheetData>
    <row r="1" spans="1:14" s="162" customFormat="1" ht="15" customHeight="1">
      <c r="B1" s="510"/>
      <c r="C1" s="510"/>
      <c r="D1" s="2096" t="s">
        <v>789</v>
      </c>
      <c r="E1" s="2096"/>
      <c r="F1" s="2096"/>
      <c r="G1" s="2100" t="s">
        <v>432</v>
      </c>
      <c r="H1" s="2100"/>
      <c r="I1" s="2100"/>
      <c r="J1" s="510"/>
      <c r="K1" s="1229" t="s">
        <v>212</v>
      </c>
    </row>
    <row r="2" spans="1:14" s="165" customFormat="1" ht="11.25" customHeight="1">
      <c r="F2" s="1065"/>
      <c r="K2" s="1230" t="s">
        <v>24</v>
      </c>
    </row>
    <row r="3" spans="1:14" s="165" customFormat="1" ht="11.25" customHeight="1">
      <c r="A3" s="1971" t="s">
        <v>932</v>
      </c>
      <c r="B3" s="2136" t="s">
        <v>484</v>
      </c>
      <c r="C3" s="2139" t="s">
        <v>1177</v>
      </c>
      <c r="D3" s="2011" t="s">
        <v>806</v>
      </c>
      <c r="E3" s="2137"/>
      <c r="F3" s="2138"/>
      <c r="G3" s="2137" t="s">
        <v>150</v>
      </c>
      <c r="H3" s="2137"/>
      <c r="I3" s="2138"/>
      <c r="J3" s="2136" t="s">
        <v>756</v>
      </c>
      <c r="K3" s="2136" t="s">
        <v>884</v>
      </c>
    </row>
    <row r="4" spans="1:14" s="165" customFormat="1" ht="11.25" customHeight="1">
      <c r="A4" s="1971"/>
      <c r="B4" s="1955"/>
      <c r="C4" s="1955"/>
      <c r="D4" s="1227" t="s">
        <v>382</v>
      </c>
      <c r="E4" s="1227" t="s">
        <v>478</v>
      </c>
      <c r="F4" s="1227" t="s">
        <v>385</v>
      </c>
      <c r="G4" s="1227" t="s">
        <v>382</v>
      </c>
      <c r="H4" s="1227" t="s">
        <v>478</v>
      </c>
      <c r="I4" s="1228" t="s">
        <v>477</v>
      </c>
      <c r="J4" s="1955"/>
      <c r="K4" s="1955"/>
    </row>
    <row r="5" spans="1:14" s="512" customFormat="1" ht="16.5" customHeight="1">
      <c r="A5" s="1971"/>
      <c r="B5" s="333">
        <v>1</v>
      </c>
      <c r="C5" s="333">
        <v>2</v>
      </c>
      <c r="D5" s="511">
        <v>3</v>
      </c>
      <c r="E5" s="498">
        <v>4</v>
      </c>
      <c r="F5" s="511" t="s">
        <v>213</v>
      </c>
      <c r="G5" s="333">
        <v>6</v>
      </c>
      <c r="H5" s="333">
        <v>7</v>
      </c>
      <c r="I5" s="333" t="s">
        <v>216</v>
      </c>
      <c r="J5" s="498">
        <v>9</v>
      </c>
      <c r="K5" s="498" t="s">
        <v>214</v>
      </c>
    </row>
    <row r="6" spans="1:14" ht="11.85" customHeight="1">
      <c r="A6" s="306" t="s">
        <v>189</v>
      </c>
      <c r="B6" s="452">
        <v>137011.5</v>
      </c>
      <c r="C6" s="287">
        <v>9.4</v>
      </c>
      <c r="D6" s="452">
        <v>2162.1</v>
      </c>
      <c r="E6" s="287">
        <v>2320.9</v>
      </c>
      <c r="F6" s="287">
        <f t="shared" ref="F6" si="0">D6+E6</f>
        <v>4483</v>
      </c>
      <c r="G6" s="452">
        <v>14837.8</v>
      </c>
      <c r="H6" s="287">
        <v>273618.90000000002</v>
      </c>
      <c r="I6" s="287">
        <f t="shared" ref="I6" si="1">G6+H6</f>
        <v>288456.7</v>
      </c>
      <c r="J6" s="287">
        <v>83570.100000000006</v>
      </c>
      <c r="K6" s="287">
        <f t="shared" ref="K6" si="2">B6+C6+F6+I6+J6</f>
        <v>513530.69999999995</v>
      </c>
      <c r="M6" s="513"/>
    </row>
    <row r="7" spans="1:14" ht="11.85" customHeight="1">
      <c r="A7" s="1581" t="s">
        <v>705</v>
      </c>
      <c r="B7" s="455">
        <v>155823.70000000001</v>
      </c>
      <c r="C7" s="455">
        <v>5.8</v>
      </c>
      <c r="D7" s="455">
        <v>2533.9</v>
      </c>
      <c r="E7" s="455">
        <v>3231.1</v>
      </c>
      <c r="F7" s="455">
        <v>5765</v>
      </c>
      <c r="G7" s="455">
        <v>12790.5</v>
      </c>
      <c r="H7" s="455">
        <v>334233.59999999998</v>
      </c>
      <c r="I7" s="455">
        <v>347024.1</v>
      </c>
      <c r="J7" s="455">
        <v>92021.6</v>
      </c>
      <c r="K7" s="455">
        <v>600640.19999999995</v>
      </c>
      <c r="M7" s="513"/>
    </row>
    <row r="8" spans="1:14" s="350" customFormat="1" ht="11.85" customHeight="1">
      <c r="A8" s="392" t="s">
        <v>814</v>
      </c>
      <c r="B8" s="450">
        <v>174978.3</v>
      </c>
      <c r="C8" s="450">
        <v>2.2999999999999998</v>
      </c>
      <c r="D8" s="450">
        <v>3450</v>
      </c>
      <c r="E8" s="450">
        <v>5171.6000000000004</v>
      </c>
      <c r="F8" s="450">
        <v>8621.6</v>
      </c>
      <c r="G8" s="450">
        <v>5968.1</v>
      </c>
      <c r="H8" s="450">
        <v>371817.6</v>
      </c>
      <c r="I8" s="450">
        <v>377785.69999999995</v>
      </c>
      <c r="J8" s="450">
        <v>100452.9</v>
      </c>
      <c r="K8" s="450">
        <v>661840.79999999993</v>
      </c>
      <c r="M8" s="513"/>
    </row>
    <row r="9" spans="1:14" s="348" customFormat="1" ht="11.85" customHeight="1">
      <c r="A9" s="1581" t="s">
        <v>991</v>
      </c>
      <c r="B9" s="455">
        <v>194106.4</v>
      </c>
      <c r="C9" s="455">
        <v>0</v>
      </c>
      <c r="D9" s="455">
        <v>5184.7</v>
      </c>
      <c r="E9" s="455">
        <v>5839.1</v>
      </c>
      <c r="F9" s="455">
        <v>11023.8</v>
      </c>
      <c r="G9" s="455">
        <v>7468.8</v>
      </c>
      <c r="H9" s="455">
        <v>419702.1</v>
      </c>
      <c r="I9" s="455">
        <v>427170.89999999997</v>
      </c>
      <c r="J9" s="455">
        <v>112230.3</v>
      </c>
      <c r="K9" s="455">
        <v>744531.4</v>
      </c>
      <c r="L9" s="350"/>
      <c r="M9" s="513"/>
    </row>
    <row r="10" spans="1:14" s="348" customFormat="1" ht="11.85" customHeight="1">
      <c r="A10" s="392" t="s">
        <v>1042</v>
      </c>
      <c r="B10" s="450">
        <v>215482.2</v>
      </c>
      <c r="C10" s="450">
        <v>0</v>
      </c>
      <c r="D10" s="450">
        <v>5215.7</v>
      </c>
      <c r="E10" s="450">
        <v>7348.3</v>
      </c>
      <c r="F10" s="450">
        <v>12564</v>
      </c>
      <c r="G10" s="450">
        <v>11313.3</v>
      </c>
      <c r="H10" s="450">
        <v>475125.2</v>
      </c>
      <c r="I10" s="450">
        <v>486438.5</v>
      </c>
      <c r="J10" s="450">
        <v>124669.9</v>
      </c>
      <c r="K10" s="450">
        <v>839154.6</v>
      </c>
      <c r="M10" s="518"/>
    </row>
    <row r="11" spans="1:14" s="348" customFormat="1" ht="11.85" customHeight="1">
      <c r="A11" s="1581" t="s">
        <v>1163</v>
      </c>
      <c r="B11" s="455">
        <v>252862.6</v>
      </c>
      <c r="C11" s="455">
        <v>0</v>
      </c>
      <c r="D11" s="455">
        <v>6541.6</v>
      </c>
      <c r="E11" s="455">
        <v>9916</v>
      </c>
      <c r="F11" s="455">
        <v>16457.599999999999</v>
      </c>
      <c r="G11" s="455">
        <v>9139.7000000000007</v>
      </c>
      <c r="H11" s="455">
        <v>565645.19999999995</v>
      </c>
      <c r="I11" s="455">
        <v>574784.89999999991</v>
      </c>
      <c r="J11" s="455">
        <v>135861.70000000001</v>
      </c>
      <c r="K11" s="455">
        <v>979966.79999999981</v>
      </c>
      <c r="M11" s="518"/>
    </row>
    <row r="12" spans="1:14" s="348" customFormat="1" ht="11.85" customHeight="1">
      <c r="A12" s="392" t="s">
        <v>1187</v>
      </c>
      <c r="B12" s="450">
        <v>288377.59999999998</v>
      </c>
      <c r="C12" s="450">
        <v>0</v>
      </c>
      <c r="D12" s="450">
        <v>7732.4</v>
      </c>
      <c r="E12" s="450">
        <v>14235.7</v>
      </c>
      <c r="F12" s="450">
        <v>21968.1</v>
      </c>
      <c r="G12" s="450">
        <v>9154.4</v>
      </c>
      <c r="H12" s="450">
        <v>651090.5</v>
      </c>
      <c r="I12" s="450">
        <v>660244.9</v>
      </c>
      <c r="J12" s="450">
        <v>159057.29999999999</v>
      </c>
      <c r="K12" s="450">
        <v>1129647.8999999999</v>
      </c>
      <c r="M12" s="518"/>
    </row>
    <row r="13" spans="1:14" s="348" customFormat="1" ht="11.85" customHeight="1">
      <c r="A13" s="1581" t="s">
        <v>1311</v>
      </c>
      <c r="B13" s="455">
        <v>329523</v>
      </c>
      <c r="C13" s="455">
        <v>0</v>
      </c>
      <c r="D13" s="455">
        <v>1415.9</v>
      </c>
      <c r="E13" s="455">
        <v>20902.7</v>
      </c>
      <c r="F13" s="455">
        <v>22318.600000000002</v>
      </c>
      <c r="G13" s="455">
        <v>10709.7</v>
      </c>
      <c r="H13" s="455">
        <v>766225.4</v>
      </c>
      <c r="I13" s="455">
        <v>776935.1</v>
      </c>
      <c r="J13" s="455">
        <v>183088.4</v>
      </c>
      <c r="K13" s="455">
        <v>1311865.0999999999</v>
      </c>
      <c r="M13" s="518"/>
      <c r="N13" s="517"/>
    </row>
    <row r="14" spans="1:14" s="170" customFormat="1" ht="11.85" customHeight="1">
      <c r="A14" s="392" t="s">
        <v>1420</v>
      </c>
      <c r="B14" s="450">
        <v>398418.5</v>
      </c>
      <c r="C14" s="450">
        <v>0</v>
      </c>
      <c r="D14" s="450">
        <v>2252.4</v>
      </c>
      <c r="E14" s="450">
        <v>28546.6</v>
      </c>
      <c r="F14" s="450">
        <v>30799</v>
      </c>
      <c r="G14" s="450">
        <v>12577.7</v>
      </c>
      <c r="H14" s="450">
        <v>846542.1</v>
      </c>
      <c r="I14" s="450">
        <v>859119.79999999993</v>
      </c>
      <c r="J14" s="450">
        <v>203477.6</v>
      </c>
      <c r="K14" s="450">
        <v>1491814.9</v>
      </c>
    </row>
    <row r="15" spans="1:14" ht="11.85" customHeight="1">
      <c r="A15" s="1581" t="s">
        <v>1502</v>
      </c>
      <c r="B15" s="455">
        <v>483323.5</v>
      </c>
      <c r="C15" s="455">
        <v>0</v>
      </c>
      <c r="D15" s="455">
        <v>2519.4</v>
      </c>
      <c r="E15" s="455">
        <v>30302.1</v>
      </c>
      <c r="F15" s="455">
        <v>32821.5</v>
      </c>
      <c r="G15" s="455">
        <v>17966.599999999999</v>
      </c>
      <c r="H15" s="455">
        <v>922464.1</v>
      </c>
      <c r="I15" s="455">
        <v>940430.7</v>
      </c>
      <c r="J15" s="455">
        <v>214172.7</v>
      </c>
      <c r="K15" s="455">
        <v>1670748.4</v>
      </c>
      <c r="L15" s="513"/>
    </row>
    <row r="16" spans="1:14" ht="11.85" customHeight="1">
      <c r="A16" s="392" t="s">
        <v>1555</v>
      </c>
      <c r="B16" s="450">
        <v>564520</v>
      </c>
      <c r="C16" s="450">
        <v>0</v>
      </c>
      <c r="D16" s="450">
        <v>2522.8000000000002</v>
      </c>
      <c r="E16" s="450">
        <v>29500</v>
      </c>
      <c r="F16" s="450">
        <v>32022.799999999999</v>
      </c>
      <c r="G16" s="450">
        <v>18449.099999999999</v>
      </c>
      <c r="H16" s="450">
        <v>994526.9</v>
      </c>
      <c r="I16" s="450">
        <v>1012976</v>
      </c>
      <c r="J16" s="450">
        <v>235190</v>
      </c>
      <c r="K16" s="450">
        <v>1844708.8</v>
      </c>
      <c r="L16" s="513"/>
      <c r="M16" s="513"/>
    </row>
    <row r="17" spans="1:15" ht="11.85" customHeight="1">
      <c r="A17" s="1650" t="s">
        <v>1836</v>
      </c>
      <c r="B17" s="455">
        <v>647012.1</v>
      </c>
      <c r="C17" s="455">
        <v>0</v>
      </c>
      <c r="D17" s="455">
        <v>3617.6623075949301</v>
      </c>
      <c r="E17" s="455">
        <v>28991.292731279518</v>
      </c>
      <c r="F17" s="455">
        <v>32608.955038874446</v>
      </c>
      <c r="G17" s="455">
        <v>25434.9005207714</v>
      </c>
      <c r="H17" s="455">
        <v>1133333.5170284815</v>
      </c>
      <c r="I17" s="455">
        <v>1158768.417549253</v>
      </c>
      <c r="J17" s="455">
        <v>263754.42741187243</v>
      </c>
      <c r="K17" s="455">
        <v>2102143.9</v>
      </c>
      <c r="L17" s="513"/>
      <c r="M17" s="513"/>
      <c r="N17" s="513"/>
      <c r="O17" s="513"/>
    </row>
    <row r="18" spans="1:15" ht="11.85" customHeight="1">
      <c r="A18" s="1447" t="s">
        <v>2088</v>
      </c>
      <c r="B18" s="533">
        <v>747846.852503762</v>
      </c>
      <c r="C18" s="533">
        <v>0</v>
      </c>
      <c r="D18" s="533">
        <v>3588.2760941767501</v>
      </c>
      <c r="E18" s="533">
        <v>30604.57865103833</v>
      </c>
      <c r="F18" s="533">
        <v>34192.854745215081</v>
      </c>
      <c r="G18" s="533">
        <v>33362.150288469296</v>
      </c>
      <c r="H18" s="533">
        <v>1245158.7816230939</v>
      </c>
      <c r="I18" s="533">
        <v>1278520.9319115633</v>
      </c>
      <c r="J18" s="533">
        <v>294103.7256432448</v>
      </c>
      <c r="K18" s="533">
        <v>2354664.3648037855</v>
      </c>
      <c r="L18" s="513"/>
      <c r="M18" s="513"/>
      <c r="N18" s="513"/>
      <c r="O18" s="513"/>
    </row>
    <row r="19" spans="1:15" ht="11.85" customHeight="1">
      <c r="A19" s="848" t="s">
        <v>2228</v>
      </c>
      <c r="B19" s="531">
        <f>B31</f>
        <v>765636.51602964511</v>
      </c>
      <c r="C19" s="531">
        <f t="shared" ref="C19:K19" si="3">C31</f>
        <v>0</v>
      </c>
      <c r="D19" s="531">
        <f t="shared" si="3"/>
        <v>3347.7066646281901</v>
      </c>
      <c r="E19" s="531">
        <f t="shared" si="3"/>
        <v>30452.255932425949</v>
      </c>
      <c r="F19" s="531">
        <f t="shared" si="3"/>
        <v>33799.962597054138</v>
      </c>
      <c r="G19" s="531">
        <f t="shared" si="3"/>
        <v>37659.8685549316</v>
      </c>
      <c r="H19" s="531">
        <f t="shared" si="3"/>
        <v>1375521.9983677785</v>
      </c>
      <c r="I19" s="531">
        <f t="shared" si="3"/>
        <v>1413181.8669227101</v>
      </c>
      <c r="J19" s="531">
        <f t="shared" si="3"/>
        <v>313899.63275917998</v>
      </c>
      <c r="K19" s="531">
        <f t="shared" si="3"/>
        <v>2526517.9783085892</v>
      </c>
      <c r="L19" s="513"/>
      <c r="M19" s="513"/>
      <c r="N19" s="513"/>
      <c r="O19" s="513"/>
    </row>
    <row r="20" spans="1:15" ht="11.85" customHeight="1">
      <c r="A20" s="392" t="s">
        <v>559</v>
      </c>
      <c r="B20" s="454">
        <v>749917.32000000007</v>
      </c>
      <c r="C20" s="450">
        <v>0</v>
      </c>
      <c r="D20" s="450">
        <v>3713.6875311875497</v>
      </c>
      <c r="E20" s="450">
        <v>29785.700799992475</v>
      </c>
      <c r="F20" s="450">
        <f t="shared" ref="F20:F31" si="4">D20+E20</f>
        <v>33499.388331180024</v>
      </c>
      <c r="G20" s="450">
        <v>33289.928454311404</v>
      </c>
      <c r="H20" s="450">
        <v>1237108.1722655939</v>
      </c>
      <c r="I20" s="450">
        <f t="shared" ref="I20:I31" si="5">G20+H20</f>
        <v>1270398.1007199052</v>
      </c>
      <c r="J20" s="450">
        <v>294126.86327698687</v>
      </c>
      <c r="K20" s="450">
        <f t="shared" ref="K20:K43" si="6">B20+C20+F20+I20+J20</f>
        <v>2347941.6723280721</v>
      </c>
      <c r="L20" s="513"/>
      <c r="M20" s="513"/>
      <c r="N20" s="513"/>
      <c r="O20" s="513"/>
    </row>
    <row r="21" spans="1:15" ht="11.85" customHeight="1">
      <c r="A21" s="378" t="s">
        <v>560</v>
      </c>
      <c r="B21" s="441">
        <v>741304.62595023506</v>
      </c>
      <c r="C21" s="455">
        <v>0</v>
      </c>
      <c r="D21" s="455">
        <v>3649.8199072733896</v>
      </c>
      <c r="E21" s="455">
        <v>30088.422279361614</v>
      </c>
      <c r="F21" s="455">
        <f t="shared" si="4"/>
        <v>33738.242186635005</v>
      </c>
      <c r="G21" s="455">
        <v>33674.441936745599</v>
      </c>
      <c r="H21" s="455">
        <v>1246128.1908982855</v>
      </c>
      <c r="I21" s="455">
        <f t="shared" si="5"/>
        <v>1279802.632835031</v>
      </c>
      <c r="J21" s="455">
        <f>294946.750215073+0.1</f>
        <v>294946.85021507298</v>
      </c>
      <c r="K21" s="455">
        <f t="shared" si="6"/>
        <v>2349792.351186974</v>
      </c>
      <c r="L21" s="513"/>
      <c r="M21" s="513"/>
      <c r="N21" s="513"/>
      <c r="O21" s="513"/>
    </row>
    <row r="22" spans="1:15" ht="11.85" customHeight="1">
      <c r="A22" s="392" t="s">
        <v>554</v>
      </c>
      <c r="B22" s="454">
        <v>730228.59799513698</v>
      </c>
      <c r="C22" s="450">
        <v>0</v>
      </c>
      <c r="D22" s="450">
        <v>3645.4347070581703</v>
      </c>
      <c r="E22" s="450">
        <v>30261.246717213839</v>
      </c>
      <c r="F22" s="450">
        <f t="shared" si="4"/>
        <v>33906.681424272007</v>
      </c>
      <c r="G22" s="450">
        <v>34611.629079399798</v>
      </c>
      <c r="H22" s="450">
        <v>1261685.1522274225</v>
      </c>
      <c r="I22" s="450">
        <f t="shared" si="5"/>
        <v>1296296.7813068223</v>
      </c>
      <c r="J22" s="450">
        <v>297580.67870496202</v>
      </c>
      <c r="K22" s="450">
        <f t="shared" si="6"/>
        <v>2358012.7394311936</v>
      </c>
      <c r="L22" s="513"/>
      <c r="M22" s="513"/>
      <c r="N22" s="513"/>
      <c r="O22" s="513"/>
    </row>
    <row r="23" spans="1:15" ht="11.85" customHeight="1">
      <c r="A23" s="378" t="s">
        <v>561</v>
      </c>
      <c r="B23" s="441">
        <v>726991.41182724002</v>
      </c>
      <c r="C23" s="455">
        <v>0</v>
      </c>
      <c r="D23" s="455">
        <v>3587.1713437734002</v>
      </c>
      <c r="E23" s="455">
        <v>31147.555847445867</v>
      </c>
      <c r="F23" s="455">
        <f t="shared" si="4"/>
        <v>34734.727191219266</v>
      </c>
      <c r="G23" s="455">
        <v>34874.046316645603</v>
      </c>
      <c r="H23" s="455">
        <v>1273085.6240741035</v>
      </c>
      <c r="I23" s="455">
        <f t="shared" si="5"/>
        <v>1307959.6703907491</v>
      </c>
      <c r="J23" s="455">
        <v>300807.37931096705</v>
      </c>
      <c r="K23" s="455">
        <f t="shared" si="6"/>
        <v>2370493.1887201755</v>
      </c>
      <c r="L23" s="513"/>
      <c r="M23" s="513"/>
      <c r="N23" s="513"/>
      <c r="O23" s="513"/>
    </row>
    <row r="24" spans="1:15" ht="11.85" customHeight="1">
      <c r="A24" s="392" t="s">
        <v>562</v>
      </c>
      <c r="B24" s="454">
        <v>721287.10344529501</v>
      </c>
      <c r="C24" s="450">
        <v>0</v>
      </c>
      <c r="D24" s="450">
        <v>3589.1334593099295</v>
      </c>
      <c r="E24" s="450">
        <v>30729.27334071758</v>
      </c>
      <c r="F24" s="450">
        <f t="shared" si="4"/>
        <v>34318.406800027507</v>
      </c>
      <c r="G24" s="450">
        <v>35750.1636428446</v>
      </c>
      <c r="H24" s="450">
        <v>1289347.9860277299</v>
      </c>
      <c r="I24" s="450">
        <f t="shared" si="5"/>
        <v>1325098.1496705746</v>
      </c>
      <c r="J24" s="450">
        <f>11.4+303091.467395136</f>
        <v>303102.86739513604</v>
      </c>
      <c r="K24" s="450">
        <f t="shared" si="6"/>
        <v>2383806.5273110331</v>
      </c>
      <c r="L24" s="513"/>
      <c r="M24" s="513"/>
      <c r="N24" s="513"/>
      <c r="O24" s="513"/>
    </row>
    <row r="25" spans="1:15" ht="11.85" customHeight="1">
      <c r="A25" s="378" t="s">
        <v>555</v>
      </c>
      <c r="B25" s="441">
        <v>707202.36131322512</v>
      </c>
      <c r="C25" s="455">
        <v>0</v>
      </c>
      <c r="D25" s="455">
        <v>3584.6410179423601</v>
      </c>
      <c r="E25" s="455">
        <v>32105.064475072755</v>
      </c>
      <c r="F25" s="455">
        <f t="shared" si="4"/>
        <v>35689.705493015113</v>
      </c>
      <c r="G25" s="455">
        <v>36925.110938513593</v>
      </c>
      <c r="H25" s="455">
        <v>1309499.1285177036</v>
      </c>
      <c r="I25" s="455">
        <f t="shared" si="5"/>
        <v>1346424.2394562173</v>
      </c>
      <c r="J25" s="455">
        <f>306597.270553297-173.7</f>
        <v>306423.570553297</v>
      </c>
      <c r="K25" s="455">
        <f t="shared" si="6"/>
        <v>2395739.8768157545</v>
      </c>
      <c r="L25" s="513"/>
      <c r="M25" s="513"/>
      <c r="N25" s="513"/>
      <c r="O25" s="513"/>
    </row>
    <row r="26" spans="1:15" ht="11.85" customHeight="1">
      <c r="A26" s="392" t="s">
        <v>563</v>
      </c>
      <c r="B26" s="454">
        <v>721950.02782348613</v>
      </c>
      <c r="C26" s="450">
        <v>0</v>
      </c>
      <c r="D26" s="450">
        <v>3491.2470441133996</v>
      </c>
      <c r="E26" s="450">
        <v>31609.471789124236</v>
      </c>
      <c r="F26" s="450">
        <f t="shared" si="4"/>
        <v>35100.718833237639</v>
      </c>
      <c r="G26" s="450">
        <v>35984.229261848799</v>
      </c>
      <c r="H26" s="450">
        <v>1306562.5554245734</v>
      </c>
      <c r="I26" s="450">
        <f t="shared" si="5"/>
        <v>1342546.7846864222</v>
      </c>
      <c r="J26" s="453">
        <f>307835.098297977-94.2</f>
        <v>307740.89829797699</v>
      </c>
      <c r="K26" s="450">
        <f t="shared" si="6"/>
        <v>2407338.4296411234</v>
      </c>
      <c r="L26" s="513"/>
      <c r="M26" s="513"/>
      <c r="N26" s="513"/>
      <c r="O26" s="513"/>
    </row>
    <row r="27" spans="1:15" ht="11.85" customHeight="1">
      <c r="A27" s="378" t="s">
        <v>564</v>
      </c>
      <c r="B27" s="441">
        <v>732381.00667171902</v>
      </c>
      <c r="C27" s="455">
        <v>0</v>
      </c>
      <c r="D27" s="455">
        <v>3502.0075648972797</v>
      </c>
      <c r="E27" s="455">
        <v>31026.399980469974</v>
      </c>
      <c r="F27" s="455">
        <f t="shared" si="4"/>
        <v>34528.407545367256</v>
      </c>
      <c r="G27" s="455">
        <v>35911.234347405298</v>
      </c>
      <c r="H27" s="455">
        <v>1315064.7287557377</v>
      </c>
      <c r="I27" s="455">
        <f t="shared" si="5"/>
        <v>1350975.963103143</v>
      </c>
      <c r="J27" s="455">
        <f>309049.132024876-59.9</f>
        <v>308989.23202487599</v>
      </c>
      <c r="K27" s="455">
        <f t="shared" si="6"/>
        <v>2426874.609345105</v>
      </c>
      <c r="L27" s="513"/>
      <c r="M27" s="513"/>
      <c r="N27" s="513"/>
      <c r="O27" s="513"/>
    </row>
    <row r="28" spans="1:15" ht="11.85" customHeight="1">
      <c r="A28" s="392" t="s">
        <v>556</v>
      </c>
      <c r="B28" s="454">
        <v>739836.05829066201</v>
      </c>
      <c r="C28" s="450">
        <v>0</v>
      </c>
      <c r="D28" s="450">
        <v>3497.7091009384003</v>
      </c>
      <c r="E28" s="450">
        <v>31869.050025919005</v>
      </c>
      <c r="F28" s="450">
        <f t="shared" si="4"/>
        <v>35366.759126857403</v>
      </c>
      <c r="G28" s="450">
        <v>35750.953809744904</v>
      </c>
      <c r="H28" s="450">
        <v>1335529.3385589498</v>
      </c>
      <c r="I28" s="450">
        <f t="shared" si="5"/>
        <v>1371280.2923686947</v>
      </c>
      <c r="J28" s="453">
        <f>310891.126221912-305</f>
        <v>310586.12622191198</v>
      </c>
      <c r="K28" s="450">
        <f t="shared" si="6"/>
        <v>2457069.2360081263</v>
      </c>
      <c r="L28" s="513"/>
      <c r="M28" s="513"/>
      <c r="N28" s="513"/>
      <c r="O28" s="513"/>
    </row>
    <row r="29" spans="1:15" ht="11.85" customHeight="1">
      <c r="A29" s="378" t="s">
        <v>565</v>
      </c>
      <c r="B29" s="441">
        <v>762734.79588745115</v>
      </c>
      <c r="C29" s="455">
        <v>0</v>
      </c>
      <c r="D29" s="455">
        <v>3353.8306364865202</v>
      </c>
      <c r="E29" s="455">
        <v>31603.76280450726</v>
      </c>
      <c r="F29" s="455">
        <f t="shared" si="4"/>
        <v>34957.593440993776</v>
      </c>
      <c r="G29" s="455">
        <v>36115.590207848501</v>
      </c>
      <c r="H29" s="455">
        <v>1338738.8705848656</v>
      </c>
      <c r="I29" s="455">
        <f t="shared" si="5"/>
        <v>1374854.460792714</v>
      </c>
      <c r="J29" s="455">
        <v>310276.44841960969</v>
      </c>
      <c r="K29" s="455">
        <f t="shared" si="6"/>
        <v>2482823.2985407687</v>
      </c>
      <c r="L29" s="513"/>
      <c r="M29" s="513"/>
      <c r="N29" s="513"/>
      <c r="O29" s="513"/>
    </row>
    <row r="30" spans="1:15" ht="11.85" customHeight="1">
      <c r="A30" s="392" t="s">
        <v>566</v>
      </c>
      <c r="B30" s="454">
        <v>768842.89566831302</v>
      </c>
      <c r="C30" s="450">
        <v>0</v>
      </c>
      <c r="D30" s="450">
        <v>3335.1119400429097</v>
      </c>
      <c r="E30" s="450">
        <v>30957.569226900443</v>
      </c>
      <c r="F30" s="450">
        <f t="shared" si="4"/>
        <v>34292.681166943352</v>
      </c>
      <c r="G30" s="450">
        <v>36626.783615982895</v>
      </c>
      <c r="H30" s="450">
        <v>1358420.0537788344</v>
      </c>
      <c r="I30" s="450">
        <f t="shared" si="5"/>
        <v>1395046.8373948173</v>
      </c>
      <c r="J30" s="450">
        <f>311606.18872846+18.8</f>
        <v>311624.98872845998</v>
      </c>
      <c r="K30" s="450">
        <f t="shared" si="6"/>
        <v>2509807.4029585337</v>
      </c>
      <c r="L30" s="513"/>
      <c r="M30" s="513"/>
      <c r="N30" s="513"/>
      <c r="O30" s="513"/>
    </row>
    <row r="31" spans="1:15" ht="11.85" customHeight="1">
      <c r="A31" s="1446" t="s">
        <v>557</v>
      </c>
      <c r="B31" s="441">
        <v>765636.51602964511</v>
      </c>
      <c r="C31" s="455">
        <v>0</v>
      </c>
      <c r="D31" s="455">
        <v>3347.7066646281901</v>
      </c>
      <c r="E31" s="455">
        <v>30452.255932425949</v>
      </c>
      <c r="F31" s="455">
        <f t="shared" si="4"/>
        <v>33799.962597054138</v>
      </c>
      <c r="G31" s="455">
        <v>37659.8685549316</v>
      </c>
      <c r="H31" s="455">
        <v>1375521.9983677785</v>
      </c>
      <c r="I31" s="455">
        <f t="shared" si="5"/>
        <v>1413181.8669227101</v>
      </c>
      <c r="J31" s="455">
        <f>314163.13275918-263.5</f>
        <v>313899.63275917998</v>
      </c>
      <c r="K31" s="455">
        <f t="shared" si="6"/>
        <v>2526517.9783085892</v>
      </c>
      <c r="L31" s="513"/>
      <c r="M31" s="513"/>
      <c r="N31" s="513"/>
      <c r="O31" s="513"/>
    </row>
    <row r="32" spans="1:15" ht="11.85" customHeight="1">
      <c r="A32" s="1447" t="s">
        <v>2500</v>
      </c>
      <c r="B32" s="533">
        <f>B44</f>
        <v>830346.8</v>
      </c>
      <c r="C32" s="533">
        <f t="shared" ref="C32:K32" si="7">C44</f>
        <v>0</v>
      </c>
      <c r="D32" s="533">
        <f t="shared" si="7"/>
        <v>2363.1434585245097</v>
      </c>
      <c r="E32" s="533">
        <f t="shared" si="7"/>
        <v>30826.308748839998</v>
      </c>
      <c r="F32" s="533">
        <f t="shared" si="7"/>
        <v>33189.452207364506</v>
      </c>
      <c r="G32" s="533">
        <f t="shared" si="7"/>
        <v>35246.962483798205</v>
      </c>
      <c r="H32" s="533">
        <f t="shared" si="7"/>
        <v>1477817.1887107571</v>
      </c>
      <c r="I32" s="533">
        <f t="shared" si="7"/>
        <v>1513064.1511945552</v>
      </c>
      <c r="J32" s="533">
        <f t="shared" si="7"/>
        <v>322194.65000000002</v>
      </c>
      <c r="K32" s="533">
        <f t="shared" si="7"/>
        <v>2698795.0534019195</v>
      </c>
      <c r="L32" s="513"/>
      <c r="M32" s="513"/>
      <c r="N32" s="513"/>
      <c r="O32" s="513"/>
    </row>
    <row r="33" spans="1:13" ht="11.85" customHeight="1">
      <c r="A33" s="1464" t="s">
        <v>559</v>
      </c>
      <c r="B33" s="441">
        <v>780521.18719323212</v>
      </c>
      <c r="C33" s="455">
        <v>0</v>
      </c>
      <c r="D33" s="455">
        <v>3349.5211236978398</v>
      </c>
      <c r="E33" s="455">
        <v>29095.88714588113</v>
      </c>
      <c r="F33" s="455">
        <f>D33+E33</f>
        <v>32445.408269578969</v>
      </c>
      <c r="G33" s="455">
        <v>38206.559980418497</v>
      </c>
      <c r="H33" s="455">
        <v>1371757.0071629062</v>
      </c>
      <c r="I33" s="455">
        <f>G33+H33</f>
        <v>1409963.5671433248</v>
      </c>
      <c r="J33" s="455">
        <v>313196.2095992</v>
      </c>
      <c r="K33" s="455">
        <f t="shared" si="6"/>
        <v>2536126.3722053361</v>
      </c>
      <c r="L33" s="513"/>
      <c r="M33" s="513"/>
    </row>
    <row r="34" spans="1:13" ht="11.85" customHeight="1">
      <c r="A34" s="392" t="s">
        <v>560</v>
      </c>
      <c r="B34" s="454">
        <v>771847.366706923</v>
      </c>
      <c r="C34" s="450">
        <v>0</v>
      </c>
      <c r="D34" s="450">
        <v>3362.2743543024199</v>
      </c>
      <c r="E34" s="450">
        <v>28191.901033495134</v>
      </c>
      <c r="F34" s="450">
        <f>D34+E34</f>
        <v>31554.175387797553</v>
      </c>
      <c r="G34" s="450">
        <v>37453.427583310098</v>
      </c>
      <c r="H34" s="450">
        <v>1382513.1799171905</v>
      </c>
      <c r="I34" s="450">
        <f>G34+H34</f>
        <v>1419966.6075005005</v>
      </c>
      <c r="J34" s="450">
        <v>310602.3</v>
      </c>
      <c r="K34" s="450">
        <f t="shared" si="6"/>
        <v>2533970.4495952209</v>
      </c>
      <c r="L34" s="513"/>
      <c r="M34" s="513"/>
    </row>
    <row r="35" spans="1:13" ht="11.85" customHeight="1">
      <c r="A35" s="1472" t="s">
        <v>554</v>
      </c>
      <c r="B35" s="441">
        <v>756973.22217422794</v>
      </c>
      <c r="C35" s="455">
        <v>0</v>
      </c>
      <c r="D35" s="455">
        <v>3363.3486986155503</v>
      </c>
      <c r="E35" s="455">
        <v>28379.458638885437</v>
      </c>
      <c r="F35" s="455">
        <f>D35+E35</f>
        <v>31742.807337500988</v>
      </c>
      <c r="G35" s="455">
        <v>35855.137606929602</v>
      </c>
      <c r="H35" s="455">
        <v>1391902.42333643</v>
      </c>
      <c r="I35" s="455">
        <f>G35+H35</f>
        <v>1427757.5609433595</v>
      </c>
      <c r="J35" s="455">
        <f>310875.111206243-358.2</f>
        <v>310516.91120624298</v>
      </c>
      <c r="K35" s="455">
        <f t="shared" si="6"/>
        <v>2526990.5016613314</v>
      </c>
      <c r="L35" s="513"/>
      <c r="M35" s="513"/>
    </row>
    <row r="36" spans="1:13" ht="11.85" customHeight="1">
      <c r="A36" s="392" t="s">
        <v>561</v>
      </c>
      <c r="B36" s="454">
        <v>774269.72781654098</v>
      </c>
      <c r="C36" s="450">
        <v>0</v>
      </c>
      <c r="D36" s="450">
        <v>3358.1168288926597</v>
      </c>
      <c r="E36" s="450">
        <v>27858.564996198249</v>
      </c>
      <c r="F36" s="450">
        <f>D36+E36</f>
        <v>31216.681825090909</v>
      </c>
      <c r="G36" s="450">
        <v>36103.061625065704</v>
      </c>
      <c r="H36" s="450">
        <v>1396108.6126015091</v>
      </c>
      <c r="I36" s="450">
        <f>G36+H36</f>
        <v>1432211.6742265748</v>
      </c>
      <c r="J36" s="450">
        <f>311158.174897001-268.4</f>
        <v>310889.77489700099</v>
      </c>
      <c r="K36" s="450">
        <f t="shared" si="6"/>
        <v>2548587.8587652072</v>
      </c>
      <c r="L36" s="513"/>
      <c r="M36" s="513"/>
    </row>
    <row r="37" spans="1:13" ht="11.85" customHeight="1">
      <c r="A37" s="1756" t="s">
        <v>562</v>
      </c>
      <c r="B37" s="441">
        <v>782572.64833041595</v>
      </c>
      <c r="C37" s="455">
        <v>0</v>
      </c>
      <c r="D37" s="455">
        <v>3369.2399343349102</v>
      </c>
      <c r="E37" s="455">
        <v>28888.074022416171</v>
      </c>
      <c r="F37" s="455">
        <f t="shared" ref="F37:F52" si="8">D37+E37</f>
        <v>32257.313956751081</v>
      </c>
      <c r="G37" s="455">
        <v>36467.936621685098</v>
      </c>
      <c r="H37" s="455">
        <v>1401363.9988405711</v>
      </c>
      <c r="I37" s="455">
        <f t="shared" ref="I37:I44" si="9">G37+H37</f>
        <v>1437831.9354622562</v>
      </c>
      <c r="J37" s="455">
        <v>312476.34215790615</v>
      </c>
      <c r="K37" s="455">
        <f t="shared" si="6"/>
        <v>2565138.239907329</v>
      </c>
      <c r="L37" s="513"/>
      <c r="M37" s="513"/>
    </row>
    <row r="38" spans="1:13" ht="11.85" customHeight="1">
      <c r="A38" s="392" t="s">
        <v>555</v>
      </c>
      <c r="B38" s="454">
        <v>754936.03911423299</v>
      </c>
      <c r="C38" s="450">
        <v>0</v>
      </c>
      <c r="D38" s="450">
        <v>3403.0604523292295</v>
      </c>
      <c r="E38" s="450">
        <v>31781.956093920198</v>
      </c>
      <c r="F38" s="450">
        <f t="shared" si="8"/>
        <v>35185.016546249426</v>
      </c>
      <c r="G38" s="450">
        <v>37229.588436028796</v>
      </c>
      <c r="H38" s="450">
        <v>1415584.0197307547</v>
      </c>
      <c r="I38" s="450">
        <f t="shared" si="9"/>
        <v>1452813.6081667833</v>
      </c>
      <c r="J38" s="450">
        <v>317968.0524178202</v>
      </c>
      <c r="K38" s="450">
        <f t="shared" si="6"/>
        <v>2560902.7162450859</v>
      </c>
      <c r="L38" s="513"/>
      <c r="M38" s="513"/>
    </row>
    <row r="39" spans="1:13" ht="11.85" customHeight="1">
      <c r="A39" s="1836" t="s">
        <v>563</v>
      </c>
      <c r="B39" s="441">
        <v>768434.93216388696</v>
      </c>
      <c r="C39" s="455">
        <v>0</v>
      </c>
      <c r="D39" s="455">
        <v>3492.7162286396497</v>
      </c>
      <c r="E39" s="455">
        <v>30819.745028139911</v>
      </c>
      <c r="F39" s="455">
        <f t="shared" si="8"/>
        <v>34312.461256779563</v>
      </c>
      <c r="G39" s="455">
        <v>36992.657663816797</v>
      </c>
      <c r="H39" s="455">
        <v>1412588.2557263509</v>
      </c>
      <c r="I39" s="455">
        <f t="shared" si="9"/>
        <v>1449580.9133901678</v>
      </c>
      <c r="J39" s="455">
        <f>317618.856849579-303.8</f>
        <v>317315.05684957904</v>
      </c>
      <c r="K39" s="455">
        <f t="shared" si="6"/>
        <v>2569643.3636604133</v>
      </c>
      <c r="L39" s="513"/>
      <c r="M39" s="513"/>
    </row>
    <row r="40" spans="1:13" ht="11.85" customHeight="1">
      <c r="A40" s="392" t="s">
        <v>564</v>
      </c>
      <c r="B40" s="454">
        <v>766321.9449</v>
      </c>
      <c r="C40" s="450">
        <v>0</v>
      </c>
      <c r="D40" s="450">
        <v>3504.4029171529796</v>
      </c>
      <c r="E40" s="450">
        <v>29802.574082518295</v>
      </c>
      <c r="F40" s="450">
        <f t="shared" si="8"/>
        <v>33306.976999671271</v>
      </c>
      <c r="G40" s="450">
        <v>37295.063553688196</v>
      </c>
      <c r="H40" s="450">
        <v>1415744.831824739</v>
      </c>
      <c r="I40" s="450">
        <f t="shared" si="9"/>
        <v>1453039.8953784271</v>
      </c>
      <c r="J40" s="450">
        <f>319413.594327992-57.6</f>
        <v>319355.99432799203</v>
      </c>
      <c r="K40" s="450">
        <f t="shared" si="6"/>
        <v>2572024.8116060905</v>
      </c>
      <c r="L40" s="513"/>
      <c r="M40" s="513"/>
    </row>
    <row r="41" spans="1:13" ht="11.85" customHeight="1">
      <c r="A41" s="1571" t="s">
        <v>556</v>
      </c>
      <c r="B41" s="441">
        <v>791750.1949</v>
      </c>
      <c r="C41" s="455">
        <v>0</v>
      </c>
      <c r="D41" s="455">
        <v>2346.1754934597493</v>
      </c>
      <c r="E41" s="455">
        <v>30547.731198409427</v>
      </c>
      <c r="F41" s="455">
        <f t="shared" si="8"/>
        <v>32893.906691869175</v>
      </c>
      <c r="G41" s="455">
        <v>36835.265007108399</v>
      </c>
      <c r="H41" s="455">
        <v>1452236.4951334489</v>
      </c>
      <c r="I41" s="455">
        <f t="shared" si="9"/>
        <v>1489071.7601405573</v>
      </c>
      <c r="J41" s="455">
        <f>320104.592656134-234.1</f>
        <v>319870.49265613401</v>
      </c>
      <c r="K41" s="455">
        <f t="shared" si="6"/>
        <v>2633586.3543885606</v>
      </c>
      <c r="L41" s="513"/>
      <c r="M41" s="513"/>
    </row>
    <row r="42" spans="1:13" ht="11.85" customHeight="1">
      <c r="A42" s="392" t="s">
        <v>565</v>
      </c>
      <c r="B42" s="454">
        <v>796948.4449</v>
      </c>
      <c r="C42" s="450">
        <v>0</v>
      </c>
      <c r="D42" s="450">
        <v>2366.7200259968699</v>
      </c>
      <c r="E42" s="450">
        <v>30888.751557107276</v>
      </c>
      <c r="F42" s="450">
        <f t="shared" si="8"/>
        <v>33255.471583104147</v>
      </c>
      <c r="G42" s="450">
        <v>37863.014437127102</v>
      </c>
      <c r="H42" s="450">
        <v>1454746.9079170206</v>
      </c>
      <c r="I42" s="450">
        <f t="shared" si="9"/>
        <v>1492609.9223541478</v>
      </c>
      <c r="J42" s="450">
        <v>319385.7</v>
      </c>
      <c r="K42" s="450">
        <f t="shared" si="6"/>
        <v>2642199.5388372522</v>
      </c>
      <c r="L42" s="513"/>
      <c r="M42" s="513"/>
    </row>
    <row r="43" spans="1:13" ht="11.85" customHeight="1">
      <c r="A43" s="1619" t="s">
        <v>566</v>
      </c>
      <c r="B43" s="441">
        <v>812351.10000000009</v>
      </c>
      <c r="C43" s="455">
        <v>0</v>
      </c>
      <c r="D43" s="455">
        <v>2393.9569095119195</v>
      </c>
      <c r="E43" s="455">
        <v>31679.562948849794</v>
      </c>
      <c r="F43" s="455">
        <f t="shared" si="8"/>
        <v>34073.519858361717</v>
      </c>
      <c r="G43" s="455">
        <v>37722.110859254106</v>
      </c>
      <c r="H43" s="455">
        <v>1469238.6530765411</v>
      </c>
      <c r="I43" s="455">
        <f t="shared" si="9"/>
        <v>1506960.7639357953</v>
      </c>
      <c r="J43" s="455">
        <v>322013.92851204216</v>
      </c>
      <c r="K43" s="455">
        <f t="shared" si="6"/>
        <v>2675399.3123061992</v>
      </c>
      <c r="L43" s="513"/>
      <c r="M43" s="513"/>
    </row>
    <row r="44" spans="1:13" s="469" customFormat="1" ht="11.85" customHeight="1">
      <c r="A44" s="392" t="s">
        <v>557</v>
      </c>
      <c r="B44" s="454">
        <v>830346.8</v>
      </c>
      <c r="C44" s="450">
        <v>0</v>
      </c>
      <c r="D44" s="450">
        <v>2363.1434585245097</v>
      </c>
      <c r="E44" s="450">
        <v>30826.308748839998</v>
      </c>
      <c r="F44" s="450">
        <f t="shared" si="8"/>
        <v>33189.452207364506</v>
      </c>
      <c r="G44" s="450">
        <v>35246.962483798205</v>
      </c>
      <c r="H44" s="450">
        <v>1477817.1887107571</v>
      </c>
      <c r="I44" s="450">
        <f t="shared" si="9"/>
        <v>1513064.1511945552</v>
      </c>
      <c r="J44" s="450">
        <f>322592.25-397.6</f>
        <v>322194.65000000002</v>
      </c>
      <c r="K44" s="450">
        <f>B44+C44+F44+I44+J44</f>
        <v>2698795.0534019195</v>
      </c>
      <c r="L44" s="518"/>
      <c r="M44" s="513"/>
    </row>
    <row r="45" spans="1:13" s="469" customFormat="1" ht="11.85" customHeight="1">
      <c r="A45" s="848" t="s">
        <v>2754</v>
      </c>
      <c r="B45" s="441"/>
      <c r="C45" s="455"/>
      <c r="D45" s="455"/>
      <c r="E45" s="455"/>
      <c r="F45" s="455"/>
      <c r="G45" s="455"/>
      <c r="H45" s="455"/>
      <c r="I45" s="455"/>
      <c r="J45" s="455"/>
      <c r="K45" s="455"/>
      <c r="L45" s="518"/>
      <c r="M45" s="518"/>
    </row>
    <row r="46" spans="1:13" s="469" customFormat="1" ht="11.85" customHeight="1">
      <c r="A46" s="392" t="s">
        <v>559</v>
      </c>
      <c r="B46" s="454">
        <v>844360.2</v>
      </c>
      <c r="C46" s="450">
        <v>0</v>
      </c>
      <c r="D46" s="450">
        <v>2357.9221153169597</v>
      </c>
      <c r="E46" s="450">
        <v>31094.161157334038</v>
      </c>
      <c r="F46" s="450">
        <f>D46+E46</f>
        <v>33452.083272650998</v>
      </c>
      <c r="G46" s="450">
        <v>35294.348074684298</v>
      </c>
      <c r="H46" s="450">
        <v>1473500.1974859473</v>
      </c>
      <c r="I46" s="450">
        <f>G46+H46</f>
        <v>1508794.5455606317</v>
      </c>
      <c r="J46" s="450">
        <v>321374.17</v>
      </c>
      <c r="K46" s="450">
        <f>B46+C46+F46+I46+J46</f>
        <v>2707980.9988332824</v>
      </c>
      <c r="L46" s="518"/>
      <c r="M46" s="513"/>
    </row>
    <row r="47" spans="1:13" s="469" customFormat="1" ht="11.85" customHeight="1">
      <c r="A47" s="1664" t="s">
        <v>560</v>
      </c>
      <c r="B47" s="441">
        <v>840870.9</v>
      </c>
      <c r="C47" s="455">
        <v>0</v>
      </c>
      <c r="D47" s="455">
        <v>2372.9327232946998</v>
      </c>
      <c r="E47" s="455">
        <v>31185.058726930059</v>
      </c>
      <c r="F47" s="455">
        <f t="shared" si="8"/>
        <v>33557.991450224756</v>
      </c>
      <c r="G47" s="455">
        <v>35046.845301626301</v>
      </c>
      <c r="H47" s="455">
        <v>1483083.8833944988</v>
      </c>
      <c r="I47" s="455">
        <f t="shared" ref="I47:I52" si="10">G47+H47</f>
        <v>1518130.7286961251</v>
      </c>
      <c r="J47" s="455">
        <v>316911.86000000004</v>
      </c>
      <c r="K47" s="455">
        <f t="shared" ref="K47" si="11">B47+C47+F47+I47+J47</f>
        <v>2709471.4801463499</v>
      </c>
      <c r="L47" s="518"/>
      <c r="M47" s="513"/>
    </row>
    <row r="48" spans="1:13" s="469" customFormat="1" ht="11.85" customHeight="1">
      <c r="A48" s="392" t="s">
        <v>554</v>
      </c>
      <c r="B48" s="454">
        <v>861302.9</v>
      </c>
      <c r="C48" s="450">
        <v>0</v>
      </c>
      <c r="D48" s="450">
        <v>2361.2279255758804</v>
      </c>
      <c r="E48" s="450">
        <v>32463.340779104485</v>
      </c>
      <c r="F48" s="450">
        <f t="shared" si="8"/>
        <v>34824.568704680365</v>
      </c>
      <c r="G48" s="450">
        <v>34027.523289573706</v>
      </c>
      <c r="H48" s="450">
        <v>1489040.0366952822</v>
      </c>
      <c r="I48" s="450">
        <f t="shared" si="10"/>
        <v>1523067.5599848558</v>
      </c>
      <c r="J48" s="450">
        <v>319196.74800000002</v>
      </c>
      <c r="K48" s="450">
        <f>B48+C48+F48+I48+J48</f>
        <v>2738391.7766895364</v>
      </c>
      <c r="L48" s="518"/>
      <c r="M48" s="513"/>
    </row>
    <row r="49" spans="1:13" s="588" customFormat="1" ht="11.85" customHeight="1">
      <c r="A49" s="1756" t="s">
        <v>561</v>
      </c>
      <c r="B49" s="441">
        <v>875143.10000000009</v>
      </c>
      <c r="C49" s="455">
        <v>0</v>
      </c>
      <c r="D49" s="455">
        <v>1747.54975283467</v>
      </c>
      <c r="E49" s="455">
        <v>32199.346778212959</v>
      </c>
      <c r="F49" s="455">
        <f t="shared" si="8"/>
        <v>33946.896531047627</v>
      </c>
      <c r="G49" s="455">
        <v>33336.024391438899</v>
      </c>
      <c r="H49" s="455">
        <v>1493847.2200389204</v>
      </c>
      <c r="I49" s="455">
        <f t="shared" si="10"/>
        <v>1527183.2444303592</v>
      </c>
      <c r="J49" s="455">
        <v>320552.47840984102</v>
      </c>
      <c r="K49" s="455">
        <f>B49+C49+F49+I49+J49</f>
        <v>2756825.719371248</v>
      </c>
      <c r="L49" s="513"/>
      <c r="M49" s="513"/>
    </row>
    <row r="50" spans="1:13" s="469" customFormat="1" ht="11.85" customHeight="1">
      <c r="A50" s="392" t="s">
        <v>562</v>
      </c>
      <c r="B50" s="454">
        <v>898860.1</v>
      </c>
      <c r="C50" s="450">
        <v>0</v>
      </c>
      <c r="D50" s="450">
        <v>1753.18434033989</v>
      </c>
      <c r="E50" s="450">
        <v>32923.222509957588</v>
      </c>
      <c r="F50" s="450">
        <f t="shared" si="8"/>
        <v>34676.406850297477</v>
      </c>
      <c r="G50" s="450">
        <v>32737.4471652346</v>
      </c>
      <c r="H50" s="450">
        <v>1504663.686452375</v>
      </c>
      <c r="I50" s="450">
        <f t="shared" si="10"/>
        <v>1537401.1336176097</v>
      </c>
      <c r="J50" s="450">
        <v>323605.714460271</v>
      </c>
      <c r="K50" s="450">
        <f t="shared" ref="K50:K52" si="12">B50+C50+F50+I50+J50</f>
        <v>2794543.3549281782</v>
      </c>
      <c r="L50" s="513"/>
      <c r="M50" s="513"/>
    </row>
    <row r="51" spans="1:13" s="469" customFormat="1" ht="11.85" customHeight="1">
      <c r="A51" s="1836" t="s">
        <v>555</v>
      </c>
      <c r="B51" s="441">
        <v>894728.6</v>
      </c>
      <c r="C51" s="441">
        <v>0</v>
      </c>
      <c r="D51" s="455">
        <v>1763.02312879139</v>
      </c>
      <c r="E51" s="455">
        <v>35275.887175611875</v>
      </c>
      <c r="F51" s="455">
        <f t="shared" si="8"/>
        <v>37038.910304403267</v>
      </c>
      <c r="G51" s="455">
        <v>34844.899361571202</v>
      </c>
      <c r="H51" s="455">
        <v>1501833.0216296341</v>
      </c>
      <c r="I51" s="455">
        <f t="shared" si="10"/>
        <v>1536677.9209912054</v>
      </c>
      <c r="J51" s="455">
        <v>328456.21999999997</v>
      </c>
      <c r="K51" s="455">
        <f t="shared" si="12"/>
        <v>2796901.6512956088</v>
      </c>
      <c r="L51" s="513"/>
      <c r="M51" s="513"/>
    </row>
    <row r="52" spans="1:13" s="469" customFormat="1" ht="11.25" customHeight="1" thickBot="1">
      <c r="A52" s="812" t="s">
        <v>563</v>
      </c>
      <c r="B52" s="1794">
        <v>906885.5</v>
      </c>
      <c r="C52" s="1839">
        <v>0</v>
      </c>
      <c r="D52" s="1839">
        <v>1760.8579035028499</v>
      </c>
      <c r="E52" s="1839">
        <v>34873.216525411051</v>
      </c>
      <c r="F52" s="1839">
        <f t="shared" si="8"/>
        <v>36634.074428913904</v>
      </c>
      <c r="G52" s="1839">
        <v>35047.970393342504</v>
      </c>
      <c r="H52" s="1839">
        <v>1496646.3605801992</v>
      </c>
      <c r="I52" s="1839">
        <f t="shared" si="10"/>
        <v>1531694.3309735416</v>
      </c>
      <c r="J52" s="1839">
        <v>327714.29997478519</v>
      </c>
      <c r="K52" s="1839">
        <f t="shared" si="12"/>
        <v>2802928.2053772407</v>
      </c>
      <c r="L52" s="513"/>
      <c r="M52" s="1728"/>
    </row>
    <row r="53" spans="1:13" s="469" customFormat="1" ht="11.25" customHeight="1">
      <c r="A53" s="514" t="s">
        <v>215</v>
      </c>
      <c r="B53" s="255" t="s">
        <v>1373</v>
      </c>
      <c r="C53" s="255"/>
      <c r="D53" s="255"/>
      <c r="E53" s="255"/>
      <c r="F53" s="255"/>
      <c r="G53" s="515" t="s">
        <v>1222</v>
      </c>
      <c r="H53" s="516"/>
      <c r="I53" s="516"/>
      <c r="J53" s="516"/>
      <c r="K53" s="516"/>
      <c r="L53" s="513"/>
      <c r="M53" s="1728"/>
    </row>
    <row r="54" spans="1:13" s="469" customFormat="1" ht="11.25" customHeight="1">
      <c r="A54" s="218"/>
      <c r="B54" s="256" t="s">
        <v>1352</v>
      </c>
      <c r="C54" s="256"/>
      <c r="D54" s="256"/>
      <c r="E54" s="1127" t="s">
        <v>1309</v>
      </c>
      <c r="F54" s="920"/>
      <c r="G54" s="920"/>
      <c r="H54" s="920"/>
      <c r="I54" s="920"/>
      <c r="J54" s="920"/>
      <c r="K54" s="920"/>
      <c r="L54" s="513"/>
      <c r="M54" s="1728"/>
    </row>
    <row r="55" spans="1:13" s="469" customFormat="1" ht="11.25" customHeight="1">
      <c r="A55" s="513"/>
      <c r="B55" s="513"/>
      <c r="C55" s="513"/>
      <c r="D55" s="920"/>
      <c r="E55" s="513"/>
      <c r="F55" s="920"/>
      <c r="G55" s="920"/>
      <c r="H55" s="920"/>
      <c r="I55" s="920"/>
      <c r="J55" s="920"/>
      <c r="K55" s="920"/>
      <c r="L55" s="513"/>
    </row>
    <row r="56" spans="1:13" s="469" customFormat="1" ht="11.25" customHeight="1">
      <c r="A56" s="513"/>
      <c r="B56" s="513"/>
      <c r="C56" s="513"/>
      <c r="D56" s="920"/>
      <c r="E56" s="513"/>
      <c r="F56" s="920"/>
      <c r="G56" s="920"/>
      <c r="H56" s="920"/>
      <c r="I56" s="920"/>
      <c r="K56" s="920"/>
      <c r="L56" s="513"/>
    </row>
    <row r="57" spans="1:13" s="469" customFormat="1" ht="11.25" customHeight="1">
      <c r="A57" s="513"/>
      <c r="B57" s="513"/>
      <c r="C57" s="513"/>
      <c r="D57" s="920"/>
      <c r="E57" s="513"/>
      <c r="F57" s="920"/>
      <c r="G57" s="920"/>
      <c r="H57" s="920"/>
      <c r="I57" s="920"/>
      <c r="K57" s="920"/>
      <c r="L57" s="513"/>
    </row>
    <row r="58" spans="1:13" ht="11.25" customHeight="1">
      <c r="A58" s="513"/>
      <c r="B58" s="513"/>
      <c r="C58" s="513"/>
      <c r="D58" s="920"/>
      <c r="E58" s="513"/>
      <c r="F58" s="920"/>
      <c r="G58" s="920"/>
      <c r="H58" s="920"/>
      <c r="I58" s="920"/>
      <c r="J58" s="469"/>
      <c r="K58" s="920"/>
      <c r="L58" s="513"/>
    </row>
    <row r="59" spans="1:13" ht="11.25" customHeight="1">
      <c r="A59" s="513"/>
      <c r="B59" s="513"/>
      <c r="C59" s="513"/>
      <c r="D59" s="920"/>
      <c r="E59" s="513"/>
      <c r="F59" s="920"/>
      <c r="G59" s="469"/>
      <c r="H59" s="920"/>
      <c r="I59" s="920"/>
      <c r="J59" s="920"/>
      <c r="K59" s="920"/>
      <c r="L59" s="513"/>
    </row>
    <row r="60" spans="1:13" ht="11.25" customHeight="1">
      <c r="A60" s="513"/>
      <c r="B60" s="513"/>
      <c r="C60" s="513"/>
      <c r="D60" s="920"/>
      <c r="E60" s="513"/>
      <c r="F60" s="920"/>
      <c r="G60" s="518"/>
      <c r="H60" s="920"/>
      <c r="I60" s="920"/>
      <c r="J60" s="920"/>
      <c r="K60" s="920"/>
      <c r="L60" s="513"/>
    </row>
    <row r="61" spans="1:13" ht="11.25" customHeight="1">
      <c r="A61" s="513"/>
      <c r="B61" s="513"/>
      <c r="C61" s="513"/>
      <c r="D61" s="920"/>
      <c r="E61" s="513"/>
      <c r="F61" s="920"/>
      <c r="G61" s="518"/>
      <c r="H61" s="920"/>
      <c r="I61" s="920"/>
      <c r="J61" s="920"/>
      <c r="K61" s="920"/>
      <c r="L61" s="518"/>
    </row>
    <row r="62" spans="1:13" ht="11.25" customHeight="1">
      <c r="A62" s="513"/>
      <c r="B62" s="513"/>
      <c r="C62" s="513"/>
      <c r="D62" s="920"/>
      <c r="E62" s="513"/>
      <c r="F62" s="920"/>
      <c r="H62" s="920"/>
      <c r="I62" s="1729"/>
      <c r="K62" s="920"/>
      <c r="L62" s="518"/>
    </row>
    <row r="63" spans="1:13" ht="11.25" customHeight="1">
      <c r="A63" s="513"/>
      <c r="B63" s="513"/>
      <c r="C63" s="513"/>
      <c r="D63" s="920"/>
      <c r="E63" s="513"/>
      <c r="F63" s="920"/>
      <c r="G63" s="518"/>
      <c r="H63" s="920"/>
      <c r="I63" s="920"/>
      <c r="J63" s="920"/>
      <c r="K63" s="920"/>
      <c r="L63" s="518"/>
    </row>
    <row r="64" spans="1:13" ht="11.25" customHeight="1">
      <c r="A64" s="513"/>
      <c r="B64" s="513"/>
      <c r="C64" s="513"/>
      <c r="D64" s="920"/>
      <c r="E64" s="513"/>
      <c r="F64" s="920"/>
      <c r="G64" s="518"/>
      <c r="H64" s="920"/>
      <c r="I64" s="920"/>
      <c r="J64" s="920"/>
      <c r="K64" s="920"/>
      <c r="L64" s="518"/>
    </row>
    <row r="65" spans="1:12" ht="11.25" customHeight="1">
      <c r="A65" s="513"/>
      <c r="B65" s="513"/>
      <c r="C65" s="513"/>
      <c r="D65" s="518"/>
      <c r="E65" s="513"/>
      <c r="F65" s="920"/>
      <c r="G65" s="518"/>
      <c r="H65" s="518"/>
      <c r="I65" s="920"/>
      <c r="J65" s="518"/>
      <c r="K65" s="920"/>
      <c r="L65" s="518"/>
    </row>
    <row r="66" spans="1:12" ht="11.25" customHeight="1">
      <c r="A66" s="513"/>
      <c r="B66" s="513"/>
      <c r="C66" s="513"/>
      <c r="D66" s="518"/>
      <c r="E66" s="518"/>
      <c r="F66" s="513"/>
      <c r="G66" s="518"/>
      <c r="H66" s="518"/>
      <c r="I66" s="513"/>
      <c r="J66" s="518"/>
      <c r="L66" s="518"/>
    </row>
    <row r="67" spans="1:12" ht="11.25" customHeight="1">
      <c r="B67" s="513"/>
      <c r="C67" s="513"/>
      <c r="D67" s="518"/>
      <c r="E67" s="518"/>
      <c r="F67" s="513"/>
      <c r="G67" s="518"/>
      <c r="H67" s="518"/>
      <c r="I67" s="513"/>
      <c r="J67" s="518"/>
      <c r="L67" s="518"/>
    </row>
    <row r="68" spans="1:12" ht="11.25" customHeight="1">
      <c r="B68" s="513"/>
      <c r="C68" s="513"/>
      <c r="D68" s="518"/>
      <c r="E68" s="518"/>
      <c r="G68" s="518"/>
      <c r="H68" s="518"/>
      <c r="J68" s="518"/>
      <c r="L68" s="518"/>
    </row>
    <row r="69" spans="1:12" ht="11.25" customHeight="1">
      <c r="B69" s="513"/>
      <c r="C69" s="513"/>
      <c r="D69" s="518"/>
      <c r="E69" s="518"/>
      <c r="G69" s="518"/>
      <c r="H69" s="518"/>
      <c r="J69" s="518"/>
    </row>
    <row r="70" spans="1:12" ht="11.25" customHeight="1">
      <c r="B70" s="513"/>
      <c r="C70" s="518"/>
      <c r="D70" s="518"/>
      <c r="E70" s="518"/>
      <c r="G70" s="518"/>
      <c r="H70" s="518"/>
      <c r="J70" s="518"/>
    </row>
    <row r="71" spans="1:12" ht="11.25" customHeight="1">
      <c r="B71" s="513"/>
      <c r="C71" s="518"/>
      <c r="D71" s="518"/>
      <c r="E71" s="518"/>
      <c r="G71" s="518"/>
      <c r="H71" s="518"/>
      <c r="J71" s="518"/>
    </row>
    <row r="72" spans="1:12" ht="11.25" customHeight="1">
      <c r="B72" s="513"/>
      <c r="C72" s="518"/>
      <c r="D72" s="518"/>
      <c r="E72" s="518"/>
      <c r="G72" s="518"/>
      <c r="H72" s="518"/>
      <c r="J72" s="518"/>
    </row>
    <row r="73" spans="1:12" ht="11.25" customHeight="1">
      <c r="B73" s="513"/>
      <c r="C73" s="518"/>
      <c r="D73" s="518"/>
      <c r="E73" s="518"/>
      <c r="G73" s="518"/>
      <c r="H73" s="518"/>
      <c r="J73" s="518"/>
    </row>
    <row r="74" spans="1:12" ht="11.25" customHeight="1">
      <c r="B74" s="513"/>
      <c r="C74" s="518"/>
      <c r="D74" s="518"/>
      <c r="E74" s="518"/>
      <c r="G74" s="518"/>
      <c r="H74" s="518"/>
      <c r="J74" s="518"/>
    </row>
    <row r="75" spans="1:12" ht="11.25" customHeight="1">
      <c r="B75" s="513"/>
      <c r="C75" s="518"/>
      <c r="D75" s="518"/>
      <c r="E75" s="518"/>
      <c r="G75" s="518"/>
      <c r="H75" s="518"/>
    </row>
    <row r="76" spans="1:12" ht="11.25" customHeight="1">
      <c r="B76" s="513"/>
      <c r="C76" s="513"/>
      <c r="D76" s="513"/>
      <c r="E76" s="518"/>
      <c r="F76" s="513"/>
      <c r="G76" s="513"/>
      <c r="H76" s="513"/>
      <c r="I76" s="513"/>
      <c r="J76" s="513"/>
      <c r="K76" s="513"/>
    </row>
    <row r="77" spans="1:12" ht="11.25" customHeight="1">
      <c r="B77" s="513"/>
      <c r="C77" s="513"/>
      <c r="D77" s="513"/>
      <c r="E77" s="513"/>
      <c r="F77" s="513"/>
      <c r="G77" s="513"/>
      <c r="H77" s="513"/>
      <c r="I77" s="513"/>
      <c r="J77" s="513"/>
      <c r="K77" s="513"/>
    </row>
    <row r="78" spans="1:12" ht="11.25" customHeight="1">
      <c r="B78" s="513"/>
      <c r="C78" s="513"/>
      <c r="D78" s="513"/>
      <c r="E78" s="513"/>
      <c r="F78" s="513"/>
      <c r="G78" s="513"/>
      <c r="H78" s="513"/>
      <c r="I78" s="513"/>
      <c r="J78" s="513"/>
      <c r="K78" s="513"/>
    </row>
    <row r="79" spans="1:12" ht="11.25" customHeight="1">
      <c r="B79" s="513"/>
      <c r="C79" s="513"/>
      <c r="D79" s="513"/>
      <c r="E79" s="513"/>
      <c r="F79" s="513"/>
      <c r="G79" s="513"/>
      <c r="H79" s="513"/>
      <c r="I79" s="513"/>
      <c r="J79" s="513"/>
      <c r="K79" s="513"/>
    </row>
    <row r="80" spans="1:12" ht="11.25" customHeight="1">
      <c r="B80" s="513"/>
      <c r="C80" s="513"/>
      <c r="D80" s="513"/>
      <c r="E80" s="513"/>
      <c r="F80" s="513"/>
      <c r="G80" s="513"/>
      <c r="H80" s="513"/>
      <c r="I80" s="513"/>
      <c r="J80" s="513"/>
      <c r="K80" s="513"/>
    </row>
    <row r="81" spans="2:11" ht="11.25" customHeight="1">
      <c r="B81" s="513"/>
      <c r="C81" s="513"/>
      <c r="D81" s="513"/>
      <c r="E81" s="513"/>
      <c r="F81" s="513"/>
      <c r="G81" s="513"/>
      <c r="H81" s="513"/>
      <c r="I81" s="513"/>
      <c r="J81" s="513"/>
      <c r="K81" s="513"/>
    </row>
    <row r="82" spans="2:11">
      <c r="B82" s="513"/>
      <c r="C82" s="513"/>
      <c r="D82" s="513"/>
      <c r="E82" s="513"/>
      <c r="F82" s="513"/>
      <c r="G82" s="513"/>
      <c r="H82" s="513"/>
      <c r="I82" s="513"/>
      <c r="J82" s="513"/>
      <c r="K82" s="513"/>
    </row>
    <row r="83" spans="2:11">
      <c r="B83" s="513"/>
      <c r="C83" s="513"/>
      <c r="D83" s="513"/>
      <c r="E83" s="513"/>
      <c r="F83" s="513"/>
      <c r="G83" s="513"/>
      <c r="H83" s="513"/>
      <c r="I83" s="513"/>
      <c r="J83" s="513"/>
      <c r="K83" s="513"/>
    </row>
    <row r="84" spans="2:11">
      <c r="B84" s="513"/>
      <c r="C84" s="513"/>
      <c r="D84" s="513"/>
      <c r="E84" s="513"/>
      <c r="F84" s="513"/>
      <c r="G84" s="513"/>
      <c r="H84" s="513"/>
      <c r="I84" s="513"/>
      <c r="J84" s="513"/>
      <c r="K84" s="513"/>
    </row>
    <row r="85" spans="2:11">
      <c r="B85" s="513"/>
      <c r="C85" s="513"/>
      <c r="D85" s="513"/>
      <c r="E85" s="513"/>
      <c r="F85" s="513"/>
      <c r="G85" s="513"/>
      <c r="H85" s="513"/>
      <c r="I85" s="513"/>
      <c r="J85" s="513"/>
      <c r="K85" s="513"/>
    </row>
    <row r="86" spans="2:11">
      <c r="B86" s="513"/>
      <c r="C86" s="513"/>
      <c r="D86" s="513"/>
      <c r="E86" s="513"/>
      <c r="F86" s="513"/>
      <c r="G86" s="513"/>
      <c r="H86" s="513"/>
      <c r="I86" s="513"/>
      <c r="J86" s="513"/>
      <c r="K86" s="513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0" priority="60" stopIfTrue="1">
      <formula>MOD(ROW(),2)=1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71"/>
  <sheetViews>
    <sheetView zoomScale="130" zoomScaleNormal="130" zoomScaleSheetLayoutView="110" workbookViewId="0">
      <pane xSplit="1" ySplit="8" topLeftCell="B45" activePane="bottomRight" state="frozen"/>
      <selection activeCell="Q6" sqref="Q6"/>
      <selection pane="topRight" activeCell="Q6" sqref="Q6"/>
      <selection pane="bottomLeft" activeCell="Q6" sqref="Q6"/>
      <selection pane="bottomRight" activeCell="G1" sqref="G1"/>
    </sheetView>
  </sheetViews>
  <sheetFormatPr defaultRowHeight="12.75"/>
  <cols>
    <col min="1" max="1" width="7.85546875" style="1679" customWidth="1"/>
    <col min="2" max="2" width="7.28515625" style="1679" customWidth="1"/>
    <col min="3" max="3" width="8" style="1679" customWidth="1"/>
    <col min="4" max="4" width="5.85546875" style="1679" customWidth="1"/>
    <col min="5" max="5" width="6" style="1679" customWidth="1"/>
    <col min="6" max="6" width="7.42578125" style="1679" customWidth="1"/>
    <col min="7" max="7" width="7.7109375" style="1679" customWidth="1"/>
    <col min="8" max="8" width="8" style="1679" customWidth="1"/>
    <col min="9" max="9" width="6.85546875" style="1679" customWidth="1"/>
    <col min="10" max="10" width="6.7109375" style="1679" customWidth="1"/>
    <col min="11" max="11" width="6" style="1679" customWidth="1"/>
    <col min="12" max="12" width="5.7109375" style="1679" customWidth="1"/>
    <col min="13" max="13" width="4.28515625" style="1679" customWidth="1"/>
    <col min="14" max="14" width="7.140625" style="1679" customWidth="1"/>
    <col min="15" max="15" width="5.85546875" style="1679" customWidth="1"/>
    <col min="16" max="16" width="7" style="1679" bestFit="1" customWidth="1"/>
    <col min="17" max="17" width="5.7109375" style="1679" customWidth="1"/>
    <col min="18" max="18" width="7.28515625" style="1679" customWidth="1"/>
    <col min="19" max="19" width="5" style="1679" customWidth="1"/>
    <col min="20" max="20" width="6.140625" style="1679" customWidth="1"/>
    <col min="21" max="21" width="5.28515625" style="1679" customWidth="1"/>
    <col min="22" max="22" width="7" style="1679" customWidth="1"/>
    <col min="23" max="23" width="6.5703125" style="1679" bestFit="1" customWidth="1"/>
    <col min="24" max="24" width="6" style="1679" customWidth="1"/>
    <col min="25" max="25" width="7.85546875" style="1679" bestFit="1" customWidth="1"/>
    <col min="26" max="28" width="6.85546875" style="1679" customWidth="1"/>
    <col min="29" max="29" width="4.7109375" style="1679" customWidth="1"/>
    <col min="30" max="30" width="6.85546875" style="1679" customWidth="1"/>
    <col min="31" max="31" width="6" style="1679" customWidth="1"/>
    <col min="32" max="32" width="5.42578125" style="1679" customWidth="1"/>
    <col min="33" max="33" width="5.140625" style="1679" customWidth="1"/>
    <col min="34" max="34" width="7.28515625" style="1679" customWidth="1"/>
    <col min="35" max="35" width="5.42578125" style="1679" customWidth="1"/>
    <col min="36" max="36" width="6.140625" style="1679" customWidth="1"/>
    <col min="37" max="37" width="5.28515625" style="1679" customWidth="1"/>
    <col min="38" max="38" width="8.28515625" style="1679" customWidth="1"/>
    <col min="39" max="39" width="7.7109375" style="1679" customWidth="1"/>
    <col min="40" max="40" width="6.5703125" style="1679" customWidth="1"/>
    <col min="41" max="41" width="5.7109375" style="1679" bestFit="1" customWidth="1"/>
    <col min="42" max="42" width="6.5703125" style="1679" customWidth="1"/>
    <col min="43" max="43" width="5.140625" style="1679" customWidth="1"/>
    <col min="44" max="45" width="6.7109375" style="1679" customWidth="1"/>
    <col min="46" max="46" width="6.85546875" style="1679" customWidth="1"/>
    <col min="47" max="47" width="6.7109375" style="1679" customWidth="1"/>
    <col min="48" max="48" width="6.42578125" style="1679" customWidth="1"/>
    <col min="49" max="49" width="5" style="1679" customWidth="1"/>
    <col min="50" max="50" width="7.42578125" style="1679" customWidth="1"/>
    <col min="51" max="51" width="6.140625" style="1679" customWidth="1"/>
    <col min="52" max="52" width="5" style="1679" customWidth="1"/>
    <col min="53" max="53" width="8" style="1679" customWidth="1"/>
    <col min="54" max="54" width="6.42578125" style="1679" customWidth="1"/>
    <col min="55" max="55" width="6.140625" style="180" customWidth="1"/>
    <col min="56" max="56" width="6.85546875" style="1679" customWidth="1"/>
    <col min="57" max="57" width="6.140625" style="1679" customWidth="1"/>
    <col min="58" max="59" width="6.85546875" style="1679" customWidth="1"/>
    <col min="60" max="60" width="7.85546875" style="1679" customWidth="1"/>
    <col min="61" max="61" width="7.42578125" style="1679" customWidth="1"/>
    <col min="62" max="62" width="7.5703125" style="1679" customWidth="1"/>
    <col min="63" max="63" width="9.5703125" style="1679" customWidth="1"/>
    <col min="64" max="64" width="7.42578125" style="1679" customWidth="1"/>
    <col min="65" max="65" width="8.28515625" style="1679" customWidth="1"/>
    <col min="66" max="66" width="5.28515625" style="1679" customWidth="1"/>
    <col min="67" max="67" width="8.28515625" style="1679" customWidth="1"/>
    <col min="68" max="69" width="7.5703125" style="1679" customWidth="1"/>
    <col min="70" max="71" width="6" style="1679" customWidth="1"/>
    <col min="72" max="72" width="9.140625" style="1679"/>
    <col min="73" max="75" width="11.85546875" style="1679" bestFit="1" customWidth="1"/>
    <col min="76" max="16384" width="9.140625" style="1679"/>
  </cols>
  <sheetData>
    <row r="1" spans="1:75" ht="16.5" customHeight="1">
      <c r="A1" s="552"/>
      <c r="B1" s="552"/>
      <c r="C1" s="552"/>
      <c r="D1" s="552"/>
      <c r="E1" s="552"/>
      <c r="F1" s="553"/>
      <c r="G1" s="553"/>
      <c r="H1" s="553"/>
      <c r="I1" s="2147" t="s">
        <v>2871</v>
      </c>
      <c r="J1" s="2147"/>
      <c r="K1" s="2147"/>
      <c r="L1" s="2148" t="s">
        <v>2870</v>
      </c>
      <c r="M1" s="2148"/>
      <c r="N1" s="2148"/>
      <c r="O1" s="2148"/>
      <c r="P1" s="2148"/>
      <c r="Q1" s="2148"/>
      <c r="R1" s="553"/>
      <c r="S1" s="552"/>
      <c r="T1" s="552"/>
      <c r="U1" s="2232" t="s">
        <v>1536</v>
      </c>
      <c r="V1" s="2232"/>
      <c r="W1" s="2232"/>
      <c r="X1" s="2232"/>
      <c r="Y1" s="580"/>
      <c r="Z1" s="552"/>
      <c r="AA1" s="552"/>
      <c r="AB1" s="552"/>
      <c r="AC1" s="552"/>
      <c r="AD1" s="552"/>
      <c r="AE1" s="552"/>
      <c r="AF1" s="553"/>
      <c r="AG1" s="553"/>
      <c r="AH1" s="2147" t="s">
        <v>2871</v>
      </c>
      <c r="AI1" s="2147"/>
      <c r="AJ1" s="2147"/>
      <c r="AK1" s="2147"/>
      <c r="AL1" s="2148" t="s">
        <v>2870</v>
      </c>
      <c r="AM1" s="2148"/>
      <c r="AN1" s="2148"/>
      <c r="AO1" s="2148"/>
      <c r="AP1" s="2148"/>
      <c r="AQ1" s="2148"/>
      <c r="AR1" s="552"/>
      <c r="AS1" s="2146" t="s">
        <v>1997</v>
      </c>
      <c r="AT1" s="2146"/>
      <c r="AU1" s="2146"/>
      <c r="AV1" s="2146"/>
      <c r="AW1" s="2146"/>
      <c r="AX1" s="1684"/>
      <c r="AY1" s="552"/>
      <c r="AZ1" s="552"/>
      <c r="BA1" s="552"/>
      <c r="BB1" s="552"/>
      <c r="BC1" s="553"/>
      <c r="BD1" s="553"/>
      <c r="BE1" s="553"/>
      <c r="BF1" s="2147" t="s">
        <v>2871</v>
      </c>
      <c r="BG1" s="2147"/>
      <c r="BH1" s="2147"/>
      <c r="BI1" s="2147"/>
      <c r="BJ1" s="2148" t="s">
        <v>2870</v>
      </c>
      <c r="BK1" s="2148"/>
      <c r="BL1" s="2148"/>
      <c r="BM1" s="2148"/>
      <c r="BN1" s="2148"/>
      <c r="BO1" s="2148"/>
      <c r="BP1" s="2146" t="s">
        <v>1998</v>
      </c>
      <c r="BQ1" s="2146"/>
      <c r="BR1" s="2146"/>
      <c r="BS1" s="2146"/>
      <c r="BT1" s="1684"/>
      <c r="BU1" s="1684"/>
    </row>
    <row r="2" spans="1:75" ht="12.75" customHeight="1">
      <c r="A2" s="554"/>
      <c r="B2" s="554"/>
      <c r="C2" s="554"/>
      <c r="D2" s="554"/>
      <c r="E2" s="554"/>
      <c r="F2" s="554"/>
      <c r="G2" s="554"/>
      <c r="H2" s="554"/>
      <c r="I2" s="1686"/>
      <c r="J2" s="1686"/>
      <c r="K2" s="1686"/>
      <c r="L2" s="1686"/>
      <c r="M2" s="1686"/>
      <c r="N2" s="1686"/>
      <c r="O2" s="1686"/>
      <c r="P2" s="1686"/>
      <c r="Q2" s="1686"/>
      <c r="R2" s="1686"/>
      <c r="S2" s="552"/>
      <c r="T2" s="552"/>
      <c r="U2" s="2231" t="s">
        <v>1543</v>
      </c>
      <c r="V2" s="2231"/>
      <c r="W2" s="2231"/>
      <c r="X2" s="2231"/>
      <c r="Y2" s="580"/>
      <c r="Z2" s="552"/>
      <c r="AA2" s="552"/>
      <c r="AB2" s="552"/>
      <c r="AC2" s="552"/>
      <c r="AD2" s="552"/>
      <c r="AE2" s="552"/>
      <c r="AF2" s="552"/>
      <c r="AG2" s="1686"/>
      <c r="AH2" s="1686"/>
      <c r="AI2" s="1686"/>
      <c r="AJ2" s="1686"/>
      <c r="AK2" s="1686"/>
      <c r="AL2" s="1686"/>
      <c r="AM2" s="1686"/>
      <c r="AN2" s="1686"/>
      <c r="AO2" s="552"/>
      <c r="AP2" s="552"/>
      <c r="AQ2" s="552"/>
      <c r="AR2" s="552"/>
      <c r="AS2" s="2231" t="s">
        <v>1999</v>
      </c>
      <c r="AT2" s="2231"/>
      <c r="AU2" s="2231"/>
      <c r="AV2" s="2231"/>
      <c r="AW2" s="2231"/>
      <c r="AX2" s="191"/>
      <c r="AY2" s="552"/>
      <c r="AZ2" s="552"/>
      <c r="BA2" s="552"/>
      <c r="BB2" s="1686"/>
      <c r="BC2" s="1686"/>
      <c r="BD2" s="1686"/>
      <c r="BE2" s="1686"/>
      <c r="BF2" s="1686"/>
      <c r="BG2" s="1686"/>
      <c r="BH2" s="1686"/>
      <c r="BI2" s="552"/>
      <c r="BJ2" s="552"/>
      <c r="BK2" s="552"/>
      <c r="BL2" s="1686"/>
      <c r="BM2" s="1686"/>
      <c r="BN2" s="1686"/>
      <c r="BO2" s="1686"/>
      <c r="BP2" s="1686"/>
      <c r="BQ2" s="2144" t="s">
        <v>24</v>
      </c>
      <c r="BR2" s="2145"/>
      <c r="BS2" s="2145"/>
      <c r="BT2" s="191"/>
      <c r="BU2" s="191"/>
    </row>
    <row r="3" spans="1:75" ht="10.5" customHeight="1">
      <c r="A3" s="2189" t="s">
        <v>481</v>
      </c>
      <c r="B3" s="2163" t="s">
        <v>1091</v>
      </c>
      <c r="C3" s="2164"/>
      <c r="D3" s="2164"/>
      <c r="E3" s="2164"/>
      <c r="F3" s="2164"/>
      <c r="G3" s="2165"/>
      <c r="H3" s="2192" t="s">
        <v>2143</v>
      </c>
      <c r="I3" s="2193"/>
      <c r="J3" s="2198" t="s">
        <v>2419</v>
      </c>
      <c r="K3" s="2199"/>
      <c r="L3" s="2199"/>
      <c r="M3" s="2199"/>
      <c r="N3" s="2199"/>
      <c r="O3" s="2199"/>
      <c r="P3" s="2199"/>
      <c r="Q3" s="2199"/>
      <c r="R3" s="2199"/>
      <c r="S3" s="2199"/>
      <c r="T3" s="2199"/>
      <c r="U3" s="2199"/>
      <c r="V3" s="2199"/>
      <c r="W3" s="2199"/>
      <c r="X3" s="2143"/>
      <c r="Y3" s="2200" t="s">
        <v>2000</v>
      </c>
      <c r="Z3" s="1685"/>
      <c r="AA3" s="1537"/>
      <c r="AB3" s="1537"/>
      <c r="AC3" s="1537"/>
      <c r="AD3" s="1537"/>
      <c r="AE3" s="1537"/>
      <c r="AF3" s="1537"/>
      <c r="AG3" s="1537"/>
      <c r="AH3" s="1537"/>
      <c r="AI3" s="1537"/>
      <c r="AJ3" s="1537" t="s">
        <v>2001</v>
      </c>
      <c r="AK3" s="1537"/>
      <c r="AL3" s="1537" t="s">
        <v>2002</v>
      </c>
      <c r="AM3" s="1537"/>
      <c r="AN3" s="1537"/>
      <c r="AO3" s="1537"/>
      <c r="AP3" s="1537"/>
      <c r="AQ3" s="1537"/>
      <c r="AR3" s="1537"/>
      <c r="AS3" s="1537"/>
      <c r="AT3" s="1537"/>
      <c r="AU3" s="2213"/>
      <c r="AV3" s="2213"/>
      <c r="AW3" s="2214"/>
      <c r="AX3" s="2216" t="s">
        <v>481</v>
      </c>
      <c r="AY3" s="2219" t="s">
        <v>2003</v>
      </c>
      <c r="AZ3" s="2219"/>
      <c r="BA3" s="2219"/>
      <c r="BB3" s="2219"/>
      <c r="BC3" s="2163" t="s">
        <v>1162</v>
      </c>
      <c r="BD3" s="2164"/>
      <c r="BE3" s="2164"/>
      <c r="BF3" s="2165"/>
      <c r="BG3" s="2163" t="s">
        <v>1118</v>
      </c>
      <c r="BH3" s="2220"/>
      <c r="BI3" s="2221"/>
      <c r="BJ3" s="2163" t="s">
        <v>2264</v>
      </c>
      <c r="BK3" s="2164"/>
      <c r="BL3" s="2164"/>
      <c r="BM3" s="2165"/>
      <c r="BN3" s="2163" t="s">
        <v>1092</v>
      </c>
      <c r="BO3" s="2164"/>
      <c r="BP3" s="2164"/>
      <c r="BQ3" s="2165"/>
      <c r="BR3" s="2161" t="s">
        <v>2004</v>
      </c>
      <c r="BS3" s="2161" t="s">
        <v>2005</v>
      </c>
    </row>
    <row r="4" spans="1:75" ht="9" customHeight="1">
      <c r="A4" s="2190"/>
      <c r="B4" s="2166"/>
      <c r="C4" s="2167"/>
      <c r="D4" s="2167"/>
      <c r="E4" s="2167"/>
      <c r="F4" s="2167"/>
      <c r="G4" s="2168"/>
      <c r="H4" s="2194"/>
      <c r="I4" s="2195"/>
      <c r="J4" s="2212" t="s">
        <v>1093</v>
      </c>
      <c r="K4" s="2213"/>
      <c r="L4" s="2213"/>
      <c r="M4" s="2213"/>
      <c r="N4" s="2213"/>
      <c r="O4" s="2213"/>
      <c r="P4" s="2213"/>
      <c r="Q4" s="2213"/>
      <c r="R4" s="2213"/>
      <c r="S4" s="2213"/>
      <c r="T4" s="2213"/>
      <c r="U4" s="2213"/>
      <c r="V4" s="2213"/>
      <c r="W4" s="2213"/>
      <c r="X4" s="2214"/>
      <c r="Y4" s="2201"/>
      <c r="Z4" s="2212" t="s">
        <v>1094</v>
      </c>
      <c r="AA4" s="2213"/>
      <c r="AB4" s="2213"/>
      <c r="AC4" s="2213"/>
      <c r="AD4" s="2213"/>
      <c r="AE4" s="2213"/>
      <c r="AF4" s="2213"/>
      <c r="AG4" s="2213"/>
      <c r="AH4" s="2213"/>
      <c r="AI4" s="2213"/>
      <c r="AJ4" s="2213"/>
      <c r="AK4" s="2213"/>
      <c r="AL4" s="2213"/>
      <c r="AM4" s="2214"/>
      <c r="AN4" s="2170" t="s">
        <v>1095</v>
      </c>
      <c r="AO4" s="2171"/>
      <c r="AP4" s="2171"/>
      <c r="AQ4" s="2172"/>
      <c r="AR4" s="2176" t="s">
        <v>1096</v>
      </c>
      <c r="AS4" s="2177"/>
      <c r="AT4" s="2177"/>
      <c r="AU4" s="2177"/>
      <c r="AV4" s="2177"/>
      <c r="AW4" s="2178"/>
      <c r="AX4" s="2217"/>
      <c r="AY4" s="2182" t="s">
        <v>1096</v>
      </c>
      <c r="AZ4" s="2183"/>
      <c r="BA4" s="2163" t="s">
        <v>477</v>
      </c>
      <c r="BB4" s="2165"/>
      <c r="BC4" s="2166"/>
      <c r="BD4" s="2167"/>
      <c r="BE4" s="2167"/>
      <c r="BF4" s="2168"/>
      <c r="BG4" s="2222"/>
      <c r="BH4" s="2223"/>
      <c r="BI4" s="2224"/>
      <c r="BJ4" s="2166"/>
      <c r="BK4" s="2167"/>
      <c r="BL4" s="2167"/>
      <c r="BM4" s="2168"/>
      <c r="BN4" s="2166"/>
      <c r="BO4" s="2167"/>
      <c r="BP4" s="2167"/>
      <c r="BQ4" s="2168"/>
      <c r="BR4" s="2169"/>
      <c r="BS4" s="2169"/>
    </row>
    <row r="5" spans="1:75" ht="21" customHeight="1">
      <c r="A5" s="2190"/>
      <c r="B5" s="2192" t="s">
        <v>2144</v>
      </c>
      <c r="C5" s="2193"/>
      <c r="D5" s="2192" t="s">
        <v>1097</v>
      </c>
      <c r="E5" s="2193"/>
      <c r="F5" s="2192" t="s">
        <v>2145</v>
      </c>
      <c r="G5" s="2193"/>
      <c r="H5" s="2194"/>
      <c r="I5" s="2195"/>
      <c r="J5" s="2233" t="s">
        <v>2420</v>
      </c>
      <c r="K5" s="2199"/>
      <c r="L5" s="2199"/>
      <c r="M5" s="2143"/>
      <c r="N5" s="2203" t="s">
        <v>1098</v>
      </c>
      <c r="O5" s="2204"/>
      <c r="P5" s="2204"/>
      <c r="Q5" s="2205"/>
      <c r="R5" s="2203" t="s">
        <v>1099</v>
      </c>
      <c r="S5" s="2204"/>
      <c r="T5" s="2204"/>
      <c r="U5" s="2205"/>
      <c r="V5" s="2206" t="s">
        <v>477</v>
      </c>
      <c r="W5" s="2207"/>
      <c r="X5" s="2210" t="s">
        <v>2667</v>
      </c>
      <c r="Y5" s="2201"/>
      <c r="Z5" s="2203" t="s">
        <v>1514</v>
      </c>
      <c r="AA5" s="2204"/>
      <c r="AB5" s="2204"/>
      <c r="AC5" s="2205"/>
      <c r="AD5" s="2203" t="s">
        <v>1098</v>
      </c>
      <c r="AE5" s="2204"/>
      <c r="AF5" s="2204"/>
      <c r="AG5" s="2205"/>
      <c r="AH5" s="2203" t="s">
        <v>1100</v>
      </c>
      <c r="AI5" s="2204"/>
      <c r="AJ5" s="2204"/>
      <c r="AK5" s="2205"/>
      <c r="AL5" s="2206" t="s">
        <v>477</v>
      </c>
      <c r="AM5" s="2207"/>
      <c r="AN5" s="2173"/>
      <c r="AO5" s="2174"/>
      <c r="AP5" s="2174"/>
      <c r="AQ5" s="2175"/>
      <c r="AR5" s="2179"/>
      <c r="AS5" s="2180"/>
      <c r="AT5" s="2180"/>
      <c r="AU5" s="2180"/>
      <c r="AV5" s="2180"/>
      <c r="AW5" s="2181"/>
      <c r="AX5" s="2217"/>
      <c r="AY5" s="2184"/>
      <c r="AZ5" s="2185"/>
      <c r="BA5" s="2229"/>
      <c r="BB5" s="2230"/>
      <c r="BC5" s="2161" t="s">
        <v>1093</v>
      </c>
      <c r="BD5" s="2161" t="s">
        <v>1094</v>
      </c>
      <c r="BE5" s="2161" t="s">
        <v>1101</v>
      </c>
      <c r="BF5" s="2161" t="s">
        <v>477</v>
      </c>
      <c r="BG5" s="2227" t="s">
        <v>1102</v>
      </c>
      <c r="BH5" s="2192" t="s">
        <v>2421</v>
      </c>
      <c r="BI5" s="2193"/>
      <c r="BJ5" s="2161" t="s">
        <v>2265</v>
      </c>
      <c r="BK5" s="2151" t="s">
        <v>2266</v>
      </c>
      <c r="BL5" s="2152"/>
      <c r="BM5" s="2159" t="s">
        <v>2267</v>
      </c>
      <c r="BN5" s="2149" t="s">
        <v>1103</v>
      </c>
      <c r="BO5" s="2151" t="s">
        <v>1104</v>
      </c>
      <c r="BP5" s="2152"/>
      <c r="BQ5" s="2186" t="s">
        <v>1105</v>
      </c>
      <c r="BR5" s="2169"/>
      <c r="BS5" s="2169"/>
    </row>
    <row r="6" spans="1:75" ht="41.25" customHeight="1">
      <c r="A6" s="2190"/>
      <c r="B6" s="2196"/>
      <c r="C6" s="2197"/>
      <c r="D6" s="2196"/>
      <c r="E6" s="2197"/>
      <c r="F6" s="2196"/>
      <c r="G6" s="2197"/>
      <c r="H6" s="2196"/>
      <c r="I6" s="2197"/>
      <c r="J6" s="2155" t="s">
        <v>2006</v>
      </c>
      <c r="K6" s="2156"/>
      <c r="L6" s="2155" t="s">
        <v>1107</v>
      </c>
      <c r="M6" s="2156"/>
      <c r="N6" s="2155" t="s">
        <v>1106</v>
      </c>
      <c r="O6" s="2156"/>
      <c r="P6" s="2155" t="s">
        <v>1107</v>
      </c>
      <c r="Q6" s="2156"/>
      <c r="R6" s="2155" t="s">
        <v>1106</v>
      </c>
      <c r="S6" s="2156"/>
      <c r="T6" s="2155" t="s">
        <v>1107</v>
      </c>
      <c r="U6" s="2156"/>
      <c r="V6" s="2208"/>
      <c r="W6" s="2209"/>
      <c r="X6" s="2211"/>
      <c r="Y6" s="2201"/>
      <c r="Z6" s="2155" t="s">
        <v>1106</v>
      </c>
      <c r="AA6" s="2156"/>
      <c r="AB6" s="2155" t="s">
        <v>1107</v>
      </c>
      <c r="AC6" s="2156"/>
      <c r="AD6" s="2155" t="s">
        <v>1106</v>
      </c>
      <c r="AE6" s="2156"/>
      <c r="AF6" s="2155" t="s">
        <v>1107</v>
      </c>
      <c r="AG6" s="2156"/>
      <c r="AH6" s="2155" t="s">
        <v>1106</v>
      </c>
      <c r="AI6" s="2156"/>
      <c r="AJ6" s="2155" t="s">
        <v>1107</v>
      </c>
      <c r="AK6" s="2156"/>
      <c r="AL6" s="2208"/>
      <c r="AM6" s="2209"/>
      <c r="AN6" s="2155" t="s">
        <v>1106</v>
      </c>
      <c r="AO6" s="2156"/>
      <c r="AP6" s="2155" t="s">
        <v>1107</v>
      </c>
      <c r="AQ6" s="2156"/>
      <c r="AR6" s="2157" t="s">
        <v>1515</v>
      </c>
      <c r="AS6" s="2158"/>
      <c r="AT6" s="2157" t="s">
        <v>1108</v>
      </c>
      <c r="AU6" s="2158"/>
      <c r="AV6" s="2157" t="s">
        <v>1109</v>
      </c>
      <c r="AW6" s="2158"/>
      <c r="AX6" s="2217"/>
      <c r="AY6" s="2157" t="s">
        <v>477</v>
      </c>
      <c r="AZ6" s="2158"/>
      <c r="BA6" s="2166"/>
      <c r="BB6" s="2168"/>
      <c r="BC6" s="2162"/>
      <c r="BD6" s="2162"/>
      <c r="BE6" s="2162"/>
      <c r="BF6" s="2188"/>
      <c r="BG6" s="2228"/>
      <c r="BH6" s="2196"/>
      <c r="BI6" s="2197"/>
      <c r="BJ6" s="2162"/>
      <c r="BK6" s="2153"/>
      <c r="BL6" s="2154"/>
      <c r="BM6" s="2160"/>
      <c r="BN6" s="2150"/>
      <c r="BO6" s="2153"/>
      <c r="BP6" s="2154"/>
      <c r="BQ6" s="2187"/>
      <c r="BR6" s="2162"/>
      <c r="BS6" s="2162"/>
    </row>
    <row r="7" spans="1:75" ht="29.25" customHeight="1">
      <c r="A7" s="2190"/>
      <c r="B7" s="555" t="s">
        <v>2007</v>
      </c>
      <c r="C7" s="555" t="s">
        <v>1537</v>
      </c>
      <c r="D7" s="555" t="s">
        <v>1110</v>
      </c>
      <c r="E7" s="555" t="s">
        <v>1537</v>
      </c>
      <c r="F7" s="1538" t="s">
        <v>1110</v>
      </c>
      <c r="G7" s="1538" t="s">
        <v>1537</v>
      </c>
      <c r="H7" s="555" t="s">
        <v>1110</v>
      </c>
      <c r="I7" s="555" t="s">
        <v>1537</v>
      </c>
      <c r="J7" s="555" t="s">
        <v>1110</v>
      </c>
      <c r="K7" s="555" t="s">
        <v>1537</v>
      </c>
      <c r="L7" s="555" t="s">
        <v>1110</v>
      </c>
      <c r="M7" s="1056" t="s">
        <v>1537</v>
      </c>
      <c r="N7" s="555" t="s">
        <v>1110</v>
      </c>
      <c r="O7" s="556" t="s">
        <v>1537</v>
      </c>
      <c r="P7" s="555" t="s">
        <v>1110</v>
      </c>
      <c r="Q7" s="556" t="s">
        <v>1537</v>
      </c>
      <c r="R7" s="555" t="s">
        <v>1110</v>
      </c>
      <c r="S7" s="556" t="s">
        <v>1537</v>
      </c>
      <c r="T7" s="555" t="s">
        <v>1110</v>
      </c>
      <c r="U7" s="556" t="s">
        <v>1537</v>
      </c>
      <c r="V7" s="555" t="s">
        <v>1110</v>
      </c>
      <c r="W7" s="556" t="s">
        <v>1537</v>
      </c>
      <c r="X7" s="555" t="s">
        <v>1537</v>
      </c>
      <c r="Y7" s="2201"/>
      <c r="Z7" s="555" t="s">
        <v>1110</v>
      </c>
      <c r="AA7" s="555" t="s">
        <v>1537</v>
      </c>
      <c r="AB7" s="555" t="s">
        <v>1110</v>
      </c>
      <c r="AC7" s="555" t="s">
        <v>1537</v>
      </c>
      <c r="AD7" s="555" t="s">
        <v>1110</v>
      </c>
      <c r="AE7" s="555" t="s">
        <v>1538</v>
      </c>
      <c r="AF7" s="555" t="s">
        <v>1110</v>
      </c>
      <c r="AG7" s="555" t="s">
        <v>1537</v>
      </c>
      <c r="AH7" s="555" t="s">
        <v>1110</v>
      </c>
      <c r="AI7" s="555" t="s">
        <v>1537</v>
      </c>
      <c r="AJ7" s="555" t="s">
        <v>1110</v>
      </c>
      <c r="AK7" s="555" t="s">
        <v>1537</v>
      </c>
      <c r="AL7" s="555" t="s">
        <v>1110</v>
      </c>
      <c r="AM7" s="555" t="s">
        <v>1537</v>
      </c>
      <c r="AN7" s="555" t="s">
        <v>1110</v>
      </c>
      <c r="AO7" s="555" t="s">
        <v>1537</v>
      </c>
      <c r="AP7" s="555" t="s">
        <v>1110</v>
      </c>
      <c r="AQ7" s="555" t="s">
        <v>1537</v>
      </c>
      <c r="AR7" s="555" t="s">
        <v>1110</v>
      </c>
      <c r="AS7" s="555" t="s">
        <v>1537</v>
      </c>
      <c r="AT7" s="555" t="s">
        <v>1110</v>
      </c>
      <c r="AU7" s="555" t="s">
        <v>1537</v>
      </c>
      <c r="AV7" s="555" t="s">
        <v>1110</v>
      </c>
      <c r="AW7" s="555" t="s">
        <v>1537</v>
      </c>
      <c r="AX7" s="2217"/>
      <c r="AY7" s="555" t="s">
        <v>1110</v>
      </c>
      <c r="AZ7" s="555" t="s">
        <v>1537</v>
      </c>
      <c r="BA7" s="555" t="s">
        <v>1110</v>
      </c>
      <c r="BB7" s="555" t="s">
        <v>1537</v>
      </c>
      <c r="BC7" s="555" t="s">
        <v>1161</v>
      </c>
      <c r="BD7" s="555" t="s">
        <v>1161</v>
      </c>
      <c r="BE7" s="555" t="s">
        <v>1111</v>
      </c>
      <c r="BF7" s="555" t="s">
        <v>1111</v>
      </c>
      <c r="BG7" s="555" t="s">
        <v>1111</v>
      </c>
      <c r="BH7" s="555" t="s">
        <v>1110</v>
      </c>
      <c r="BI7" s="555" t="s">
        <v>1537</v>
      </c>
      <c r="BJ7" s="555" t="s">
        <v>1111</v>
      </c>
      <c r="BK7" s="555" t="s">
        <v>1110</v>
      </c>
      <c r="BL7" s="555" t="s">
        <v>1537</v>
      </c>
      <c r="BM7" s="555" t="s">
        <v>1111</v>
      </c>
      <c r="BN7" s="555" t="s">
        <v>1111</v>
      </c>
      <c r="BO7" s="555" t="s">
        <v>1110</v>
      </c>
      <c r="BP7" s="555" t="s">
        <v>1537</v>
      </c>
      <c r="BQ7" s="555" t="s">
        <v>1111</v>
      </c>
      <c r="BR7" s="555" t="s">
        <v>1111</v>
      </c>
      <c r="BS7" s="555" t="s">
        <v>1111</v>
      </c>
    </row>
    <row r="8" spans="1:75" ht="9" customHeight="1">
      <c r="A8" s="2191"/>
      <c r="B8" s="2140">
        <v>1</v>
      </c>
      <c r="C8" s="2141"/>
      <c r="D8" s="2140">
        <v>2</v>
      </c>
      <c r="E8" s="2142"/>
      <c r="F8" s="2140" t="s">
        <v>1112</v>
      </c>
      <c r="G8" s="2141"/>
      <c r="H8" s="2140">
        <v>4</v>
      </c>
      <c r="I8" s="2141"/>
      <c r="J8" s="2140">
        <v>5</v>
      </c>
      <c r="K8" s="2141"/>
      <c r="L8" s="2140">
        <v>6</v>
      </c>
      <c r="M8" s="2141"/>
      <c r="N8" s="2140">
        <v>7</v>
      </c>
      <c r="O8" s="2141"/>
      <c r="P8" s="2140">
        <v>8</v>
      </c>
      <c r="Q8" s="2141"/>
      <c r="R8" s="2140">
        <v>9</v>
      </c>
      <c r="S8" s="2141"/>
      <c r="T8" s="2140">
        <v>10</v>
      </c>
      <c r="U8" s="2141"/>
      <c r="V8" s="2140" t="s">
        <v>1113</v>
      </c>
      <c r="W8" s="2141"/>
      <c r="X8" s="882">
        <v>12</v>
      </c>
      <c r="Y8" s="2202"/>
      <c r="Z8" s="2140">
        <v>13</v>
      </c>
      <c r="AA8" s="2141"/>
      <c r="AB8" s="2140">
        <v>14</v>
      </c>
      <c r="AC8" s="2141"/>
      <c r="AD8" s="2140">
        <v>15</v>
      </c>
      <c r="AE8" s="2143"/>
      <c r="AF8" s="2140">
        <v>16</v>
      </c>
      <c r="AG8" s="2141"/>
      <c r="AH8" s="2140">
        <v>17</v>
      </c>
      <c r="AI8" s="2143"/>
      <c r="AJ8" s="2140">
        <v>18</v>
      </c>
      <c r="AK8" s="2141"/>
      <c r="AL8" s="2140" t="s">
        <v>1114</v>
      </c>
      <c r="AM8" s="2141"/>
      <c r="AN8" s="2140">
        <v>20</v>
      </c>
      <c r="AO8" s="2141"/>
      <c r="AP8" s="2140">
        <v>21</v>
      </c>
      <c r="AQ8" s="2141"/>
      <c r="AR8" s="2140">
        <v>22</v>
      </c>
      <c r="AS8" s="2141"/>
      <c r="AT8" s="2140">
        <v>23</v>
      </c>
      <c r="AU8" s="2141"/>
      <c r="AV8" s="2140">
        <v>24</v>
      </c>
      <c r="AW8" s="2141"/>
      <c r="AX8" s="2218"/>
      <c r="AY8" s="2225" t="s">
        <v>1115</v>
      </c>
      <c r="AZ8" s="2143"/>
      <c r="BA8" s="2226" t="s">
        <v>1116</v>
      </c>
      <c r="BB8" s="2143"/>
      <c r="BC8" s="882">
        <v>27</v>
      </c>
      <c r="BD8" s="882">
        <v>28</v>
      </c>
      <c r="BE8" s="882">
        <v>29</v>
      </c>
      <c r="BF8" s="1046" t="s">
        <v>1160</v>
      </c>
      <c r="BG8" s="882">
        <v>31</v>
      </c>
      <c r="BH8" s="882">
        <v>32</v>
      </c>
      <c r="BI8" s="882">
        <v>33</v>
      </c>
      <c r="BJ8" s="882">
        <v>34</v>
      </c>
      <c r="BK8" s="2140">
        <v>35</v>
      </c>
      <c r="BL8" s="2141"/>
      <c r="BM8" s="882">
        <v>36</v>
      </c>
      <c r="BN8" s="882">
        <v>37</v>
      </c>
      <c r="BO8" s="2140">
        <v>38</v>
      </c>
      <c r="BP8" s="2141"/>
      <c r="BQ8" s="882">
        <v>39</v>
      </c>
      <c r="BR8" s="882">
        <v>40</v>
      </c>
      <c r="BS8" s="882">
        <v>41</v>
      </c>
    </row>
    <row r="9" spans="1:75" s="180" customFormat="1" ht="11.1" customHeight="1">
      <c r="A9" s="557" t="s">
        <v>1042</v>
      </c>
      <c r="B9" s="557">
        <v>23978480</v>
      </c>
      <c r="C9" s="789">
        <v>1464009.7289322768</v>
      </c>
      <c r="D9" s="557">
        <v>44278</v>
      </c>
      <c r="E9" s="789">
        <v>1018.6778832269999</v>
      </c>
      <c r="F9" s="557">
        <v>24022758</v>
      </c>
      <c r="G9" s="789">
        <v>1465028.3768155039</v>
      </c>
      <c r="H9" s="557">
        <v>10239509</v>
      </c>
      <c r="I9" s="789">
        <v>71466.937429648984</v>
      </c>
      <c r="J9" s="557">
        <v>998449</v>
      </c>
      <c r="K9" s="789">
        <v>646.08967006300009</v>
      </c>
      <c r="L9" s="557">
        <v>28021</v>
      </c>
      <c r="M9" s="789">
        <v>58.784323374000003</v>
      </c>
      <c r="N9" s="557">
        <v>6761512</v>
      </c>
      <c r="O9" s="789">
        <v>4060.5280064609997</v>
      </c>
      <c r="P9" s="557">
        <v>696549</v>
      </c>
      <c r="Q9" s="789">
        <v>925.00183520100018</v>
      </c>
      <c r="R9" s="557">
        <v>253116</v>
      </c>
      <c r="S9" s="789">
        <v>33.120208383000005</v>
      </c>
      <c r="T9" s="557">
        <v>100313</v>
      </c>
      <c r="U9" s="789">
        <v>148.52871070899999</v>
      </c>
      <c r="V9" s="557">
        <v>8837960</v>
      </c>
      <c r="W9" s="789">
        <v>5872.1027541909998</v>
      </c>
      <c r="X9" s="789">
        <v>2848.2799999999997</v>
      </c>
      <c r="Y9" s="557" t="s">
        <v>1042</v>
      </c>
      <c r="Z9" s="557">
        <v>109437869</v>
      </c>
      <c r="AA9" s="789">
        <v>82463.211347299992</v>
      </c>
      <c r="AB9" s="557">
        <v>32304</v>
      </c>
      <c r="AC9" s="789">
        <v>72.503609452000006</v>
      </c>
      <c r="AD9" s="557">
        <v>4471176</v>
      </c>
      <c r="AE9" s="789">
        <v>5484.155814492</v>
      </c>
      <c r="AF9" s="557">
        <v>68426</v>
      </c>
      <c r="AG9" s="789">
        <v>67.242002869999993</v>
      </c>
      <c r="AH9" s="557">
        <v>689996</v>
      </c>
      <c r="AI9" s="789">
        <v>77.175405626</v>
      </c>
      <c r="AJ9" s="557">
        <v>15022</v>
      </c>
      <c r="AK9" s="789">
        <v>17.501102213199999</v>
      </c>
      <c r="AL9" s="557">
        <v>114714793</v>
      </c>
      <c r="AM9" s="789">
        <v>88181.789374014203</v>
      </c>
      <c r="AN9" s="557">
        <v>413236</v>
      </c>
      <c r="AO9" s="789">
        <v>246.07698346200002</v>
      </c>
      <c r="AP9" s="557">
        <v>87958</v>
      </c>
      <c r="AQ9" s="789">
        <v>178.202189041</v>
      </c>
      <c r="AR9" s="557">
        <v>1230385</v>
      </c>
      <c r="AS9" s="789">
        <v>1225.122370545</v>
      </c>
      <c r="AT9" s="557">
        <v>3413293</v>
      </c>
      <c r="AU9" s="789">
        <v>2328.170729938</v>
      </c>
      <c r="AV9" s="557">
        <v>19647</v>
      </c>
      <c r="AW9" s="789">
        <v>49.56867063</v>
      </c>
      <c r="AX9" s="557" t="s">
        <v>1042</v>
      </c>
      <c r="AY9" s="557">
        <v>4663325</v>
      </c>
      <c r="AZ9" s="789">
        <v>3602.8217711130005</v>
      </c>
      <c r="BA9" s="557">
        <v>128717272</v>
      </c>
      <c r="BB9" s="789">
        <v>98075.655860283223</v>
      </c>
      <c r="BC9" s="557">
        <v>583209</v>
      </c>
      <c r="BD9" s="557">
        <v>8547688</v>
      </c>
      <c r="BE9" s="557">
        <v>113248</v>
      </c>
      <c r="BF9" s="557">
        <v>9244145</v>
      </c>
      <c r="BG9" s="557">
        <v>1460092</v>
      </c>
      <c r="BH9" s="557">
        <v>5863004</v>
      </c>
      <c r="BI9" s="789">
        <v>18357.901878275999</v>
      </c>
      <c r="BJ9" s="557">
        <v>547407</v>
      </c>
      <c r="BK9" s="557">
        <v>939607060</v>
      </c>
      <c r="BL9" s="789">
        <v>142292.75133781202</v>
      </c>
      <c r="BM9" s="557">
        <v>28625074</v>
      </c>
      <c r="BN9" s="557">
        <v>100</v>
      </c>
      <c r="BO9" s="557">
        <v>243530</v>
      </c>
      <c r="BP9" s="789">
        <v>301.16054062199998</v>
      </c>
      <c r="BQ9" s="557">
        <v>37052</v>
      </c>
      <c r="BR9" s="557">
        <v>6346</v>
      </c>
      <c r="BS9" s="557">
        <v>28587</v>
      </c>
    </row>
    <row r="10" spans="1:75" s="180" customFormat="1" ht="11.1" customHeight="1">
      <c r="A10" s="792" t="s">
        <v>1163</v>
      </c>
      <c r="B10" s="792">
        <v>22289753</v>
      </c>
      <c r="C10" s="791">
        <v>1669465.3599999999</v>
      </c>
      <c r="D10" s="792">
        <v>37182</v>
      </c>
      <c r="E10" s="791">
        <v>1056.9699999999998</v>
      </c>
      <c r="F10" s="792">
        <v>22326935</v>
      </c>
      <c r="G10" s="791">
        <v>1670522.24</v>
      </c>
      <c r="H10" s="792">
        <v>13548271</v>
      </c>
      <c r="I10" s="791">
        <v>90953.55</v>
      </c>
      <c r="J10" s="792">
        <v>1068730</v>
      </c>
      <c r="K10" s="791">
        <v>704.32</v>
      </c>
      <c r="L10" s="792">
        <v>31335</v>
      </c>
      <c r="M10" s="791">
        <v>55.879999999999995</v>
      </c>
      <c r="N10" s="792">
        <v>8541661</v>
      </c>
      <c r="O10" s="791">
        <v>4957.66</v>
      </c>
      <c r="P10" s="792">
        <v>907456</v>
      </c>
      <c r="Q10" s="791">
        <v>1110.93</v>
      </c>
      <c r="R10" s="792">
        <v>479308</v>
      </c>
      <c r="S10" s="791">
        <v>71.839999999999975</v>
      </c>
      <c r="T10" s="792">
        <v>199561</v>
      </c>
      <c r="U10" s="791">
        <v>209.04000000000002</v>
      </c>
      <c r="V10" s="792">
        <v>11228051</v>
      </c>
      <c r="W10" s="791">
        <v>7109.7800000000007</v>
      </c>
      <c r="X10" s="791">
        <v>3002.09</v>
      </c>
      <c r="Y10" s="792" t="s">
        <v>1163</v>
      </c>
      <c r="Z10" s="792">
        <v>144624702</v>
      </c>
      <c r="AA10" s="791">
        <v>103942.53</v>
      </c>
      <c r="AB10" s="792">
        <v>18111</v>
      </c>
      <c r="AC10" s="791">
        <v>61.669999999999995</v>
      </c>
      <c r="AD10" s="792">
        <v>6600050</v>
      </c>
      <c r="AE10" s="791">
        <v>6668.11</v>
      </c>
      <c r="AF10" s="792">
        <v>47953</v>
      </c>
      <c r="AG10" s="791">
        <v>71.12</v>
      </c>
      <c r="AH10" s="792">
        <v>586851</v>
      </c>
      <c r="AI10" s="791">
        <v>79.209999999999994</v>
      </c>
      <c r="AJ10" s="792">
        <v>17265</v>
      </c>
      <c r="AK10" s="791">
        <v>22</v>
      </c>
      <c r="AL10" s="792">
        <v>151894932</v>
      </c>
      <c r="AM10" s="791">
        <v>110844.63999999998</v>
      </c>
      <c r="AN10" s="792">
        <v>562137</v>
      </c>
      <c r="AO10" s="791">
        <v>359.77000000000004</v>
      </c>
      <c r="AP10" s="792">
        <v>97635</v>
      </c>
      <c r="AQ10" s="791">
        <v>111.22999999999999</v>
      </c>
      <c r="AR10" s="792">
        <v>790240</v>
      </c>
      <c r="AS10" s="791">
        <v>1179.3</v>
      </c>
      <c r="AT10" s="792">
        <v>2307859</v>
      </c>
      <c r="AU10" s="791">
        <v>2180.1</v>
      </c>
      <c r="AV10" s="792">
        <v>261323</v>
      </c>
      <c r="AW10" s="791">
        <v>71.890000000000015</v>
      </c>
      <c r="AX10" s="792" t="s">
        <v>1163</v>
      </c>
      <c r="AY10" s="792">
        <v>3359422</v>
      </c>
      <c r="AZ10" s="791">
        <v>3431.24</v>
      </c>
      <c r="BA10" s="792">
        <v>167122535</v>
      </c>
      <c r="BB10" s="791">
        <v>121795.34999999998</v>
      </c>
      <c r="BC10" s="792">
        <v>769296</v>
      </c>
      <c r="BD10" s="792">
        <v>9062049</v>
      </c>
      <c r="BE10" s="792">
        <v>160225</v>
      </c>
      <c r="BF10" s="792">
        <v>9991570</v>
      </c>
      <c r="BG10" s="792">
        <v>1436837</v>
      </c>
      <c r="BH10" s="792">
        <v>7457338</v>
      </c>
      <c r="BI10" s="791">
        <v>25524.160000000003</v>
      </c>
      <c r="BJ10" s="792">
        <v>617418</v>
      </c>
      <c r="BK10" s="792">
        <v>1354198797</v>
      </c>
      <c r="BL10" s="791">
        <v>196061.47</v>
      </c>
      <c r="BM10" s="792">
        <v>36333933</v>
      </c>
      <c r="BN10" s="792">
        <v>610</v>
      </c>
      <c r="BO10" s="792">
        <v>2115664</v>
      </c>
      <c r="BP10" s="791">
        <v>3579.19</v>
      </c>
      <c r="BQ10" s="792">
        <v>261693</v>
      </c>
      <c r="BR10" s="792">
        <v>8517</v>
      </c>
      <c r="BS10" s="792">
        <v>32270</v>
      </c>
      <c r="BT10" s="1149"/>
    </row>
    <row r="11" spans="1:75" s="180" customFormat="1" ht="11.1" customHeight="1">
      <c r="A11" s="557" t="s">
        <v>1187</v>
      </c>
      <c r="B11" s="557">
        <v>22322674</v>
      </c>
      <c r="C11" s="789">
        <v>1890492.57</v>
      </c>
      <c r="D11" s="557">
        <v>28084</v>
      </c>
      <c r="E11" s="789">
        <v>1795.25</v>
      </c>
      <c r="F11" s="557">
        <v>22350758</v>
      </c>
      <c r="G11" s="789">
        <v>1892287.75</v>
      </c>
      <c r="H11" s="557">
        <v>13740301</v>
      </c>
      <c r="I11" s="789">
        <v>106392.4</v>
      </c>
      <c r="J11" s="557">
        <v>1232084</v>
      </c>
      <c r="K11" s="789">
        <v>865.73</v>
      </c>
      <c r="L11" s="557">
        <v>39679</v>
      </c>
      <c r="M11" s="789">
        <v>68.77</v>
      </c>
      <c r="N11" s="557">
        <v>10419658</v>
      </c>
      <c r="O11" s="789">
        <v>5608.25</v>
      </c>
      <c r="P11" s="557">
        <v>1315626</v>
      </c>
      <c r="Q11" s="789">
        <v>1353.7</v>
      </c>
      <c r="R11" s="557">
        <v>976634</v>
      </c>
      <c r="S11" s="789">
        <v>188.72999999999996</v>
      </c>
      <c r="T11" s="557">
        <v>363752</v>
      </c>
      <c r="U11" s="789">
        <v>353.77</v>
      </c>
      <c r="V11" s="557">
        <v>14347433</v>
      </c>
      <c r="W11" s="789">
        <v>8439.2599999999984</v>
      </c>
      <c r="X11" s="789">
        <v>3490.8100000000004</v>
      </c>
      <c r="Y11" s="557" t="s">
        <v>1187</v>
      </c>
      <c r="Z11" s="557">
        <v>146235630</v>
      </c>
      <c r="AA11" s="789">
        <v>110256.77</v>
      </c>
      <c r="AB11" s="557">
        <v>17173</v>
      </c>
      <c r="AC11" s="789">
        <v>41.2</v>
      </c>
      <c r="AD11" s="557">
        <v>7537435</v>
      </c>
      <c r="AE11" s="789">
        <v>5396.44</v>
      </c>
      <c r="AF11" s="557">
        <v>54815</v>
      </c>
      <c r="AG11" s="789">
        <v>91.14</v>
      </c>
      <c r="AH11" s="557">
        <v>861696</v>
      </c>
      <c r="AI11" s="789">
        <v>159.82999999999998</v>
      </c>
      <c r="AJ11" s="557">
        <v>20053</v>
      </c>
      <c r="AK11" s="789">
        <v>22.61</v>
      </c>
      <c r="AL11" s="557">
        <v>154726802</v>
      </c>
      <c r="AM11" s="789">
        <v>115968.20999999999</v>
      </c>
      <c r="AN11" s="557">
        <v>707730</v>
      </c>
      <c r="AO11" s="789">
        <v>484.18999999999994</v>
      </c>
      <c r="AP11" s="557">
        <v>135948</v>
      </c>
      <c r="AQ11" s="789">
        <v>200.08</v>
      </c>
      <c r="AR11" s="557">
        <v>673548</v>
      </c>
      <c r="AS11" s="789">
        <v>1013.99</v>
      </c>
      <c r="AT11" s="557">
        <v>993729</v>
      </c>
      <c r="AU11" s="789">
        <v>920.83999999999992</v>
      </c>
      <c r="AV11" s="557">
        <v>624526</v>
      </c>
      <c r="AW11" s="789">
        <v>116.24000000000001</v>
      </c>
      <c r="AX11" s="557" t="s">
        <v>1187</v>
      </c>
      <c r="AY11" s="557">
        <v>2291803</v>
      </c>
      <c r="AZ11" s="789">
        <v>2051.16</v>
      </c>
      <c r="BA11" s="557">
        <v>172160012</v>
      </c>
      <c r="BB11" s="789">
        <v>127025.1</v>
      </c>
      <c r="BC11" s="557">
        <v>936148</v>
      </c>
      <c r="BD11" s="557">
        <v>10802217</v>
      </c>
      <c r="BE11" s="557">
        <v>205285</v>
      </c>
      <c r="BF11" s="557">
        <v>11943650</v>
      </c>
      <c r="BG11" s="557">
        <v>1621377</v>
      </c>
      <c r="BH11" s="557">
        <v>7110797</v>
      </c>
      <c r="BI11" s="789">
        <v>35753.89</v>
      </c>
      <c r="BJ11" s="557">
        <v>758570</v>
      </c>
      <c r="BK11" s="557">
        <v>1663219636</v>
      </c>
      <c r="BL11" s="789">
        <v>277072.70999999996</v>
      </c>
      <c r="BM11" s="557">
        <v>53702690</v>
      </c>
      <c r="BN11" s="557">
        <v>2891</v>
      </c>
      <c r="BO11" s="557">
        <v>6773093</v>
      </c>
      <c r="BP11" s="789">
        <v>12556.86</v>
      </c>
      <c r="BQ11" s="557">
        <v>845699</v>
      </c>
      <c r="BR11" s="557">
        <v>9246</v>
      </c>
      <c r="BS11" s="557">
        <v>36288</v>
      </c>
      <c r="BT11" s="1149"/>
      <c r="BU11" s="1149"/>
      <c r="BV11" s="1149"/>
      <c r="BW11" s="1149"/>
    </row>
    <row r="12" spans="1:75" s="180" customFormat="1" ht="11.1" customHeight="1">
      <c r="A12" s="792" t="s">
        <v>1311</v>
      </c>
      <c r="B12" s="792">
        <v>22627089</v>
      </c>
      <c r="C12" s="791">
        <v>2161164.56</v>
      </c>
      <c r="D12" s="792">
        <v>23670</v>
      </c>
      <c r="E12" s="791">
        <v>927.43000000000006</v>
      </c>
      <c r="F12" s="792">
        <v>22650759</v>
      </c>
      <c r="G12" s="791">
        <v>2162091.9900000002</v>
      </c>
      <c r="H12" s="792">
        <v>17876492</v>
      </c>
      <c r="I12" s="791">
        <v>146257.59</v>
      </c>
      <c r="J12" s="792">
        <v>1561972</v>
      </c>
      <c r="K12" s="791">
        <v>1109.03</v>
      </c>
      <c r="L12" s="792">
        <v>49077</v>
      </c>
      <c r="M12" s="791">
        <v>142.41999999999999</v>
      </c>
      <c r="N12" s="792">
        <v>12465119</v>
      </c>
      <c r="O12" s="791">
        <v>6980.8300000000017</v>
      </c>
      <c r="P12" s="792">
        <v>1613052</v>
      </c>
      <c r="Q12" s="791">
        <v>1615.1100000000001</v>
      </c>
      <c r="R12" s="792">
        <v>1981491</v>
      </c>
      <c r="S12" s="791">
        <v>337.93999999999994</v>
      </c>
      <c r="T12" s="792">
        <v>595913</v>
      </c>
      <c r="U12" s="791">
        <v>598.15</v>
      </c>
      <c r="V12" s="792">
        <v>18266624</v>
      </c>
      <c r="W12" s="791">
        <v>10783.369999999999</v>
      </c>
      <c r="X12" s="791">
        <v>4257.9500000000007</v>
      </c>
      <c r="Y12" s="792" t="s">
        <v>1311</v>
      </c>
      <c r="Z12" s="792">
        <v>163642668</v>
      </c>
      <c r="AA12" s="791">
        <v>124401.26999999999</v>
      </c>
      <c r="AB12" s="792">
        <v>17071</v>
      </c>
      <c r="AC12" s="791">
        <v>44.7</v>
      </c>
      <c r="AD12" s="792">
        <v>9043546</v>
      </c>
      <c r="AE12" s="791">
        <v>5563.4999999999991</v>
      </c>
      <c r="AF12" s="792">
        <v>60230</v>
      </c>
      <c r="AG12" s="791">
        <v>113.01</v>
      </c>
      <c r="AH12" s="792">
        <v>3002978</v>
      </c>
      <c r="AI12" s="791">
        <v>307.50000000000006</v>
      </c>
      <c r="AJ12" s="792">
        <v>32101</v>
      </c>
      <c r="AK12" s="791">
        <v>36</v>
      </c>
      <c r="AL12" s="792">
        <v>175798594</v>
      </c>
      <c r="AM12" s="791">
        <v>130466.12</v>
      </c>
      <c r="AN12" s="792">
        <v>902167</v>
      </c>
      <c r="AO12" s="791">
        <v>611.38</v>
      </c>
      <c r="AP12" s="792">
        <v>328135</v>
      </c>
      <c r="AQ12" s="791">
        <v>372.05</v>
      </c>
      <c r="AR12" s="792">
        <v>468092</v>
      </c>
      <c r="AS12" s="791">
        <v>1175.83</v>
      </c>
      <c r="AT12" s="792">
        <v>1397236</v>
      </c>
      <c r="AU12" s="791">
        <v>1330.15</v>
      </c>
      <c r="AV12" s="792">
        <v>821042</v>
      </c>
      <c r="AW12" s="791">
        <v>157.22999999999999</v>
      </c>
      <c r="AX12" s="792" t="s">
        <v>1311</v>
      </c>
      <c r="AY12" s="792">
        <v>2686370</v>
      </c>
      <c r="AZ12" s="791">
        <v>2663.25</v>
      </c>
      <c r="BA12" s="792">
        <v>197921660</v>
      </c>
      <c r="BB12" s="791">
        <v>144743.41999999998</v>
      </c>
      <c r="BC12" s="792">
        <v>1000474</v>
      </c>
      <c r="BD12" s="792">
        <v>12575605</v>
      </c>
      <c r="BE12" s="792">
        <v>158526</v>
      </c>
      <c r="BF12" s="792">
        <v>13734605</v>
      </c>
      <c r="BG12" s="792">
        <v>1856866</v>
      </c>
      <c r="BH12" s="792">
        <v>8420438</v>
      </c>
      <c r="BI12" s="791">
        <v>32842.019999999997</v>
      </c>
      <c r="BJ12" s="792">
        <v>829783</v>
      </c>
      <c r="BK12" s="792">
        <v>2035798140</v>
      </c>
      <c r="BL12" s="791">
        <v>348295.24</v>
      </c>
      <c r="BM12" s="792">
        <v>61862982</v>
      </c>
      <c r="BN12" s="792">
        <v>3598</v>
      </c>
      <c r="BO12" s="792">
        <v>15412359</v>
      </c>
      <c r="BP12" s="791">
        <v>35093.81</v>
      </c>
      <c r="BQ12" s="792">
        <v>1783156</v>
      </c>
      <c r="BR12" s="792">
        <v>9747</v>
      </c>
      <c r="BS12" s="792">
        <v>41130</v>
      </c>
      <c r="BT12" s="1149"/>
      <c r="BU12" s="1149"/>
      <c r="BV12" s="1149"/>
      <c r="BW12" s="1149"/>
    </row>
    <row r="13" spans="1:75" s="180" customFormat="1" ht="11.1" customHeight="1">
      <c r="A13" s="557" t="s">
        <v>1420</v>
      </c>
      <c r="B13" s="557">
        <v>22799904</v>
      </c>
      <c r="C13" s="789">
        <v>2282770.0784365749</v>
      </c>
      <c r="D13" s="557">
        <v>146133</v>
      </c>
      <c r="E13" s="789">
        <v>6719.4699999999993</v>
      </c>
      <c r="F13" s="557">
        <v>22946037</v>
      </c>
      <c r="G13" s="789">
        <v>2289489.5484365751</v>
      </c>
      <c r="H13" s="557">
        <v>26758871</v>
      </c>
      <c r="I13" s="789">
        <v>178032.39367637</v>
      </c>
      <c r="J13" s="557">
        <v>1951880</v>
      </c>
      <c r="K13" s="789">
        <v>1313.06</v>
      </c>
      <c r="L13" s="557">
        <v>50720</v>
      </c>
      <c r="M13" s="789">
        <v>92.95999999999998</v>
      </c>
      <c r="N13" s="557">
        <v>15028508</v>
      </c>
      <c r="O13" s="789">
        <v>8290.52</v>
      </c>
      <c r="P13" s="557">
        <v>1923225</v>
      </c>
      <c r="Q13" s="789">
        <v>1702.96</v>
      </c>
      <c r="R13" s="557">
        <v>3124193</v>
      </c>
      <c r="S13" s="789">
        <v>672.61000000000013</v>
      </c>
      <c r="T13" s="557">
        <v>963802</v>
      </c>
      <c r="U13" s="789">
        <v>771.59000000000015</v>
      </c>
      <c r="V13" s="557">
        <v>23042328</v>
      </c>
      <c r="W13" s="789">
        <v>12843.560000000001</v>
      </c>
      <c r="X13" s="789">
        <v>5056.17</v>
      </c>
      <c r="Y13" s="557" t="s">
        <v>1420</v>
      </c>
      <c r="Z13" s="557">
        <v>188970118</v>
      </c>
      <c r="AA13" s="789">
        <v>148183.74999999997</v>
      </c>
      <c r="AB13" s="557">
        <v>19830</v>
      </c>
      <c r="AC13" s="789">
        <v>54.44</v>
      </c>
      <c r="AD13" s="557">
        <v>11477894</v>
      </c>
      <c r="AE13" s="789">
        <v>5802.16</v>
      </c>
      <c r="AF13" s="557">
        <v>70659</v>
      </c>
      <c r="AG13" s="789">
        <v>133.76999999999998</v>
      </c>
      <c r="AH13" s="557">
        <v>11499453</v>
      </c>
      <c r="AI13" s="789">
        <v>527.10000000000014</v>
      </c>
      <c r="AJ13" s="557">
        <v>53845</v>
      </c>
      <c r="AK13" s="789">
        <v>48.650000000000006</v>
      </c>
      <c r="AL13" s="557">
        <v>212091799</v>
      </c>
      <c r="AM13" s="789">
        <v>154749.99</v>
      </c>
      <c r="AN13" s="557">
        <v>1423955</v>
      </c>
      <c r="AO13" s="789">
        <v>932.91</v>
      </c>
      <c r="AP13" s="557">
        <v>780021</v>
      </c>
      <c r="AQ13" s="789">
        <v>279</v>
      </c>
      <c r="AR13" s="557">
        <v>712417</v>
      </c>
      <c r="AS13" s="789">
        <v>1272.06</v>
      </c>
      <c r="AT13" s="557">
        <v>1330714</v>
      </c>
      <c r="AU13" s="789">
        <v>1415.1799999999998</v>
      </c>
      <c r="AV13" s="557">
        <v>619956</v>
      </c>
      <c r="AW13" s="789">
        <v>148.99</v>
      </c>
      <c r="AX13" s="557" t="s">
        <v>1420</v>
      </c>
      <c r="AY13" s="557">
        <v>2762794</v>
      </c>
      <c r="AZ13" s="789">
        <v>2861.84</v>
      </c>
      <c r="BA13" s="557">
        <v>240003413</v>
      </c>
      <c r="BB13" s="789">
        <v>171462.15000000002</v>
      </c>
      <c r="BC13" s="557">
        <v>1394675</v>
      </c>
      <c r="BD13" s="1189">
        <v>16915478</v>
      </c>
      <c r="BE13" s="557">
        <v>320235</v>
      </c>
      <c r="BF13" s="557">
        <v>18630388</v>
      </c>
      <c r="BG13" s="557">
        <v>2251764</v>
      </c>
      <c r="BH13" s="557">
        <v>11711906</v>
      </c>
      <c r="BI13" s="789">
        <v>47615.11</v>
      </c>
      <c r="BJ13" s="557">
        <v>1024772</v>
      </c>
      <c r="BK13" s="557">
        <v>2467033312</v>
      </c>
      <c r="BL13" s="789">
        <v>402913.265935726</v>
      </c>
      <c r="BM13" s="557">
        <v>73778610</v>
      </c>
      <c r="BN13" s="557">
        <v>6073</v>
      </c>
      <c r="BO13" s="557">
        <v>32530626</v>
      </c>
      <c r="BP13" s="789">
        <v>312040.26</v>
      </c>
      <c r="BQ13" s="557">
        <v>3416020</v>
      </c>
      <c r="BR13" s="557">
        <v>10722</v>
      </c>
      <c r="BS13" s="557">
        <v>52846</v>
      </c>
      <c r="BT13" s="1"/>
      <c r="BU13" s="1225"/>
      <c r="BV13" s="1150"/>
    </row>
    <row r="14" spans="1:75" s="738" customFormat="1" ht="11.1" customHeight="1">
      <c r="A14" s="792" t="s">
        <v>1502</v>
      </c>
      <c r="B14" s="792">
        <v>19692996</v>
      </c>
      <c r="C14" s="791">
        <v>2134775.6</v>
      </c>
      <c r="D14" s="792">
        <v>202165</v>
      </c>
      <c r="E14" s="791">
        <v>9638.827665630999</v>
      </c>
      <c r="F14" s="792">
        <v>19895161</v>
      </c>
      <c r="G14" s="791">
        <v>2144414.4</v>
      </c>
      <c r="H14" s="792">
        <v>50257666</v>
      </c>
      <c r="I14" s="791">
        <v>257440.06646475603</v>
      </c>
      <c r="J14" s="792">
        <v>2376130</v>
      </c>
      <c r="K14" s="791">
        <v>1571.4124550470001</v>
      </c>
      <c r="L14" s="792">
        <v>39082</v>
      </c>
      <c r="M14" s="791">
        <v>63.543494757600008</v>
      </c>
      <c r="N14" s="792">
        <v>15306481</v>
      </c>
      <c r="O14" s="791">
        <v>7966.2977085550001</v>
      </c>
      <c r="P14" s="792">
        <v>1535082</v>
      </c>
      <c r="Q14" s="791">
        <v>1266.0935939600001</v>
      </c>
      <c r="R14" s="792">
        <v>4046124</v>
      </c>
      <c r="S14" s="791">
        <v>1346.5782712749999</v>
      </c>
      <c r="T14" s="792">
        <v>1202470</v>
      </c>
      <c r="U14" s="791">
        <v>437.25777197175</v>
      </c>
      <c r="V14" s="792">
        <v>24505369</v>
      </c>
      <c r="W14" s="791">
        <v>12651.183295566349</v>
      </c>
      <c r="X14" s="791">
        <v>5231.1335752910009</v>
      </c>
      <c r="Y14" s="792" t="s">
        <v>1502</v>
      </c>
      <c r="Z14" s="792">
        <v>193762532</v>
      </c>
      <c r="AA14" s="791">
        <v>156878.86528764101</v>
      </c>
      <c r="AB14" s="792">
        <v>21928</v>
      </c>
      <c r="AC14" s="791">
        <v>55.000389470150004</v>
      </c>
      <c r="AD14" s="792">
        <v>10367099</v>
      </c>
      <c r="AE14" s="791">
        <v>5107.0373490185002</v>
      </c>
      <c r="AF14" s="792">
        <v>89133</v>
      </c>
      <c r="AG14" s="791">
        <v>92.192790867699998</v>
      </c>
      <c r="AH14" s="792">
        <v>9820620</v>
      </c>
      <c r="AI14" s="791">
        <v>1112.1988214419998</v>
      </c>
      <c r="AJ14" s="792">
        <v>112794</v>
      </c>
      <c r="AK14" s="791">
        <v>49.724057373549989</v>
      </c>
      <c r="AL14" s="792">
        <v>214174106</v>
      </c>
      <c r="AM14" s="791">
        <v>163295.01869581288</v>
      </c>
      <c r="AN14" s="792">
        <v>1952354</v>
      </c>
      <c r="AO14" s="791">
        <v>1329.0257139841999</v>
      </c>
      <c r="AP14" s="792">
        <v>1275782</v>
      </c>
      <c r="AQ14" s="791">
        <v>295.33457085704998</v>
      </c>
      <c r="AR14" s="792">
        <v>747458</v>
      </c>
      <c r="AS14" s="791">
        <v>904.85434712599999</v>
      </c>
      <c r="AT14" s="792">
        <v>897425</v>
      </c>
      <c r="AU14" s="791">
        <v>890.52063242899999</v>
      </c>
      <c r="AV14" s="792">
        <v>330007</v>
      </c>
      <c r="AW14" s="791">
        <v>104.929424063</v>
      </c>
      <c r="AX14" s="792" t="s">
        <v>1502</v>
      </c>
      <c r="AY14" s="792">
        <v>1974890</v>
      </c>
      <c r="AZ14" s="791">
        <v>1900.3044036180002</v>
      </c>
      <c r="BA14" s="792">
        <v>243882501</v>
      </c>
      <c r="BB14" s="791">
        <v>179470.86667983848</v>
      </c>
      <c r="BC14" s="792">
        <v>1560459</v>
      </c>
      <c r="BD14" s="1320">
        <v>19725783</v>
      </c>
      <c r="BE14" s="792">
        <v>586230</v>
      </c>
      <c r="BF14" s="792">
        <v>21872472</v>
      </c>
      <c r="BG14" s="792">
        <v>2742241</v>
      </c>
      <c r="BH14" s="792">
        <v>19897516</v>
      </c>
      <c r="BI14" s="791">
        <v>71561.035925468008</v>
      </c>
      <c r="BJ14" s="790">
        <v>1160121</v>
      </c>
      <c r="BK14" s="792">
        <v>2859543446</v>
      </c>
      <c r="BL14" s="791">
        <v>489558.87528139201</v>
      </c>
      <c r="BM14" s="792">
        <v>107475632</v>
      </c>
      <c r="BN14" s="792">
        <v>8812</v>
      </c>
      <c r="BO14" s="792">
        <v>66181962</v>
      </c>
      <c r="BP14" s="791">
        <v>191433.25811183645</v>
      </c>
      <c r="BQ14" s="792">
        <v>7357466</v>
      </c>
      <c r="BR14" s="792">
        <v>11047</v>
      </c>
      <c r="BS14" s="792">
        <v>65946</v>
      </c>
      <c r="BT14" s="1095"/>
      <c r="BU14" s="1226"/>
      <c r="BV14" s="1149"/>
    </row>
    <row r="15" spans="1:75" s="738" customFormat="1" ht="11.1" customHeight="1">
      <c r="A15" s="557" t="s">
        <v>1555</v>
      </c>
      <c r="B15" s="557">
        <v>20659521</v>
      </c>
      <c r="C15" s="789">
        <v>2423173.8888500961</v>
      </c>
      <c r="D15" s="557">
        <v>439633</v>
      </c>
      <c r="E15" s="789">
        <v>10717.059649764</v>
      </c>
      <c r="F15" s="1443">
        <v>21099154</v>
      </c>
      <c r="G15" s="789">
        <v>2433890.9484998598</v>
      </c>
      <c r="H15" s="1444">
        <v>133383702</v>
      </c>
      <c r="I15" s="789">
        <v>424084.19240942295</v>
      </c>
      <c r="J15" s="557">
        <v>3107852</v>
      </c>
      <c r="K15" s="789">
        <v>2648.7021078270004</v>
      </c>
      <c r="L15" s="557">
        <v>14382</v>
      </c>
      <c r="M15" s="789">
        <v>29.033245158550002</v>
      </c>
      <c r="N15" s="557">
        <v>16955039</v>
      </c>
      <c r="O15" s="789">
        <v>10577.675231101</v>
      </c>
      <c r="P15" s="557">
        <v>714030</v>
      </c>
      <c r="Q15" s="789">
        <v>477.35958799905001</v>
      </c>
      <c r="R15" s="557">
        <v>7411758</v>
      </c>
      <c r="S15" s="789">
        <v>3820.1791295130001</v>
      </c>
      <c r="T15" s="557">
        <v>1114214</v>
      </c>
      <c r="U15" s="789">
        <v>419.69825229380001</v>
      </c>
      <c r="V15" s="557">
        <v>29317275</v>
      </c>
      <c r="W15" s="789">
        <v>17972.647553892399</v>
      </c>
      <c r="X15" s="789">
        <v>6452.2631663700004</v>
      </c>
      <c r="Y15" s="557" t="s">
        <v>1555</v>
      </c>
      <c r="Z15" s="557">
        <v>241633196</v>
      </c>
      <c r="AA15" s="789">
        <v>212200.39009012704</v>
      </c>
      <c r="AB15" s="557">
        <v>13230</v>
      </c>
      <c r="AC15" s="789">
        <v>51.706051254700007</v>
      </c>
      <c r="AD15" s="557">
        <v>15692084</v>
      </c>
      <c r="AE15" s="789">
        <v>6093.4694801100004</v>
      </c>
      <c r="AF15" s="557">
        <v>84064</v>
      </c>
      <c r="AG15" s="789">
        <v>44.073489145549999</v>
      </c>
      <c r="AH15" s="557">
        <v>15493699</v>
      </c>
      <c r="AI15" s="789">
        <v>4069.9201925638004</v>
      </c>
      <c r="AJ15" s="557">
        <v>234778</v>
      </c>
      <c r="AK15" s="789">
        <v>67.917196810749999</v>
      </c>
      <c r="AL15" s="557">
        <v>273151051</v>
      </c>
      <c r="AM15" s="789">
        <v>222527.47650001181</v>
      </c>
      <c r="AN15" s="557">
        <v>2722079</v>
      </c>
      <c r="AO15" s="789">
        <v>1828.257555976</v>
      </c>
      <c r="AP15" s="557">
        <v>1271573</v>
      </c>
      <c r="AQ15" s="789">
        <v>223.65855985310003</v>
      </c>
      <c r="AR15" s="557">
        <v>817466</v>
      </c>
      <c r="AS15" s="789">
        <v>972.30655500199998</v>
      </c>
      <c r="AT15" s="557">
        <v>823656</v>
      </c>
      <c r="AU15" s="789">
        <v>612.35550458149999</v>
      </c>
      <c r="AV15" s="557">
        <v>472592</v>
      </c>
      <c r="AW15" s="789">
        <v>123.242801439</v>
      </c>
      <c r="AX15" s="557" t="s">
        <v>1555</v>
      </c>
      <c r="AY15" s="557">
        <v>2113714</v>
      </c>
      <c r="AZ15" s="789">
        <v>1707.9048610225002</v>
      </c>
      <c r="BA15" s="557">
        <v>308575692</v>
      </c>
      <c r="BB15" s="789">
        <v>244259.9450307558</v>
      </c>
      <c r="BC15" s="557">
        <v>1734418</v>
      </c>
      <c r="BD15" s="1189">
        <v>23363702</v>
      </c>
      <c r="BE15" s="557">
        <v>934250</v>
      </c>
      <c r="BF15" s="557">
        <v>26032370</v>
      </c>
      <c r="BG15" s="557">
        <v>3638433</v>
      </c>
      <c r="BH15" s="557">
        <v>28762491</v>
      </c>
      <c r="BI15" s="789">
        <v>101060.36294114799</v>
      </c>
      <c r="BJ15" s="557">
        <v>1377616</v>
      </c>
      <c r="BK15" s="557">
        <v>3892218366</v>
      </c>
      <c r="BL15" s="789">
        <v>759556.04742055829</v>
      </c>
      <c r="BM15" s="557">
        <v>152462267</v>
      </c>
      <c r="BN15" s="557">
        <v>12930</v>
      </c>
      <c r="BO15" s="557">
        <v>115849678</v>
      </c>
      <c r="BP15" s="789">
        <v>394068.63955505099</v>
      </c>
      <c r="BQ15" s="557">
        <v>12202370</v>
      </c>
      <c r="BR15" s="557">
        <v>12337</v>
      </c>
      <c r="BS15" s="557">
        <v>82098</v>
      </c>
      <c r="BT15" s="735"/>
      <c r="BU15" s="1445"/>
    </row>
    <row r="16" spans="1:75" s="738" customFormat="1" ht="11.1" customHeight="1">
      <c r="A16" s="792" t="s">
        <v>1836</v>
      </c>
      <c r="B16" s="792">
        <v>22051673</v>
      </c>
      <c r="C16" s="791">
        <v>2560438.2513423832</v>
      </c>
      <c r="D16" s="790">
        <v>298366</v>
      </c>
      <c r="E16" s="791">
        <v>6825.6877742659999</v>
      </c>
      <c r="F16" s="790">
        <v>22350039</v>
      </c>
      <c r="G16" s="791">
        <v>2567263.9391166489</v>
      </c>
      <c r="H16" s="1539">
        <v>185601004</v>
      </c>
      <c r="I16" s="791">
        <v>575743.87912449497</v>
      </c>
      <c r="J16" s="790">
        <v>5535126</v>
      </c>
      <c r="K16" s="791">
        <v>5684.4229899359998</v>
      </c>
      <c r="L16" s="792">
        <v>32269</v>
      </c>
      <c r="M16" s="792">
        <v>58.300769251000006</v>
      </c>
      <c r="N16" s="792">
        <v>22368746</v>
      </c>
      <c r="O16" s="791">
        <v>13326.307397372999</v>
      </c>
      <c r="P16" s="792">
        <v>1522495</v>
      </c>
      <c r="Q16" s="791">
        <v>1377.65658089868</v>
      </c>
      <c r="R16" s="792">
        <v>9143604</v>
      </c>
      <c r="S16" s="791">
        <v>4548.9042892340003</v>
      </c>
      <c r="T16" s="792">
        <v>1540947</v>
      </c>
      <c r="U16" s="791">
        <v>629.00407213825997</v>
      </c>
      <c r="V16" s="792">
        <v>40143187</v>
      </c>
      <c r="W16" s="791">
        <v>25624.596098830942</v>
      </c>
      <c r="X16" s="791">
        <v>7507.0998574979994</v>
      </c>
      <c r="Y16" s="792" t="s">
        <v>1836</v>
      </c>
      <c r="Z16" s="792">
        <v>288240242</v>
      </c>
      <c r="AA16" s="791">
        <v>295272.32001764502</v>
      </c>
      <c r="AB16" s="792">
        <v>43588</v>
      </c>
      <c r="AC16" s="791">
        <v>91.441976603099988</v>
      </c>
      <c r="AD16" s="792">
        <v>21168832</v>
      </c>
      <c r="AE16" s="792">
        <v>7795.3005784440002</v>
      </c>
      <c r="AF16" s="792">
        <v>287315</v>
      </c>
      <c r="AG16" s="792">
        <v>158.35927568939999</v>
      </c>
      <c r="AH16" s="792">
        <v>22155076</v>
      </c>
      <c r="AI16" s="791">
        <v>4000.2566246310002</v>
      </c>
      <c r="AJ16" s="792">
        <v>680047</v>
      </c>
      <c r="AK16" s="1540">
        <v>184.41482989099998</v>
      </c>
      <c r="AL16" s="792">
        <v>332575100</v>
      </c>
      <c r="AM16" s="791">
        <v>307502.09330290352</v>
      </c>
      <c r="AN16" s="792">
        <v>3546881</v>
      </c>
      <c r="AO16" s="791">
        <v>2232.7237356689998</v>
      </c>
      <c r="AP16" s="792">
        <v>1583371</v>
      </c>
      <c r="AQ16" s="792">
        <v>445.14578276359998</v>
      </c>
      <c r="AR16" s="792">
        <v>1139587</v>
      </c>
      <c r="AS16" s="791">
        <v>1295.7154900000003</v>
      </c>
      <c r="AT16" s="792">
        <v>1260346</v>
      </c>
      <c r="AU16" s="791">
        <v>1031.81594416695</v>
      </c>
      <c r="AV16" s="792">
        <v>741131</v>
      </c>
      <c r="AW16" s="791">
        <v>282.48465722899999</v>
      </c>
      <c r="AX16" s="792" t="s">
        <v>1836</v>
      </c>
      <c r="AY16" s="792">
        <v>3141064</v>
      </c>
      <c r="AZ16" s="791">
        <v>2610.0160913959503</v>
      </c>
      <c r="BA16" s="792">
        <v>380989603</v>
      </c>
      <c r="BB16" s="791">
        <v>338414.57501156308</v>
      </c>
      <c r="BC16" s="792">
        <v>1978196</v>
      </c>
      <c r="BD16" s="1320">
        <v>27623986</v>
      </c>
      <c r="BE16" s="1320">
        <v>1869559</v>
      </c>
      <c r="BF16" s="792">
        <v>31471741</v>
      </c>
      <c r="BG16" s="792">
        <v>5355586</v>
      </c>
      <c r="BH16" s="792">
        <v>54043607</v>
      </c>
      <c r="BI16" s="791">
        <v>224959.66134032118</v>
      </c>
      <c r="BJ16" s="792">
        <v>1515665</v>
      </c>
      <c r="BK16" s="792">
        <v>4769246590</v>
      </c>
      <c r="BL16" s="791">
        <v>990004.04799868248</v>
      </c>
      <c r="BM16" s="792">
        <v>178639642</v>
      </c>
      <c r="BN16" s="792">
        <v>14300</v>
      </c>
      <c r="BO16" s="792">
        <v>162287061</v>
      </c>
      <c r="BP16" s="791">
        <v>564845.24125884299</v>
      </c>
      <c r="BQ16" s="792">
        <v>16073962</v>
      </c>
      <c r="BR16" s="792">
        <v>13036</v>
      </c>
      <c r="BS16" s="792">
        <v>101341</v>
      </c>
      <c r="BU16" s="1445"/>
      <c r="BV16" s="1445"/>
    </row>
    <row r="17" spans="1:74" s="180" customFormat="1" ht="11.1" customHeight="1">
      <c r="A17" s="1187" t="s">
        <v>2088</v>
      </c>
      <c r="B17" s="558">
        <v>22105217</v>
      </c>
      <c r="C17" s="986">
        <v>2533194.6094060373</v>
      </c>
      <c r="D17" s="558">
        <v>109534</v>
      </c>
      <c r="E17" s="986">
        <v>3975.4970206029998</v>
      </c>
      <c r="F17" s="985">
        <v>22214751</v>
      </c>
      <c r="G17" s="986">
        <v>2537170.1064266395</v>
      </c>
      <c r="H17" s="1204">
        <v>219089874</v>
      </c>
      <c r="I17" s="986">
        <v>670019.14837376401</v>
      </c>
      <c r="J17" s="558">
        <v>3682886</v>
      </c>
      <c r="K17" s="986">
        <v>3474.4970948813007</v>
      </c>
      <c r="L17" s="1204">
        <v>128412</v>
      </c>
      <c r="M17" s="986">
        <v>217.39425144783999</v>
      </c>
      <c r="N17" s="558">
        <v>26898127</v>
      </c>
      <c r="O17" s="986">
        <v>16252.378549088999</v>
      </c>
      <c r="P17" s="558">
        <v>3167660</v>
      </c>
      <c r="Q17" s="986">
        <v>2918.4303676456998</v>
      </c>
      <c r="R17" s="1204">
        <v>11444462</v>
      </c>
      <c r="S17" s="986">
        <v>6179.2140340400001</v>
      </c>
      <c r="T17" s="558">
        <v>1712865</v>
      </c>
      <c r="U17" s="986">
        <v>920.10588678559998</v>
      </c>
      <c r="V17" s="558">
        <v>47034412</v>
      </c>
      <c r="W17" s="986">
        <v>29962.551968044143</v>
      </c>
      <c r="X17" s="986">
        <v>8937.9329594219998</v>
      </c>
      <c r="Y17" s="1187" t="s">
        <v>2088</v>
      </c>
      <c r="Z17" s="558">
        <v>409898744</v>
      </c>
      <c r="AA17" s="986">
        <v>439004.38322004798</v>
      </c>
      <c r="AB17" s="1204">
        <v>314651</v>
      </c>
      <c r="AC17" s="986">
        <v>763.68512718900001</v>
      </c>
      <c r="AD17" s="558">
        <v>27422298</v>
      </c>
      <c r="AE17" s="986">
        <v>9807.2154761680013</v>
      </c>
      <c r="AF17" s="558">
        <v>876606</v>
      </c>
      <c r="AG17" s="986">
        <v>662.12720842249996</v>
      </c>
      <c r="AH17" s="558">
        <v>31158912</v>
      </c>
      <c r="AI17" s="986">
        <v>5576.3546097880007</v>
      </c>
      <c r="AJ17" s="1204">
        <v>1271210</v>
      </c>
      <c r="AK17" s="1323">
        <v>387.21434887300001</v>
      </c>
      <c r="AL17" s="558">
        <v>470942421</v>
      </c>
      <c r="AM17" s="986">
        <v>456200.97999048844</v>
      </c>
      <c r="AN17" s="558">
        <v>4465347</v>
      </c>
      <c r="AO17" s="986">
        <v>2897.479066206</v>
      </c>
      <c r="AP17" s="558">
        <v>1766000</v>
      </c>
      <c r="AQ17" s="986">
        <v>1024.591761500802</v>
      </c>
      <c r="AR17" s="558">
        <v>506060</v>
      </c>
      <c r="AS17" s="986">
        <v>705.80543589399997</v>
      </c>
      <c r="AT17" s="558">
        <v>923852</v>
      </c>
      <c r="AU17" s="986">
        <v>889.62142875981976</v>
      </c>
      <c r="AV17" s="558">
        <v>803872</v>
      </c>
      <c r="AW17" s="986">
        <v>309.46437661200002</v>
      </c>
      <c r="AX17" s="1187" t="s">
        <v>2088</v>
      </c>
      <c r="AY17" s="558">
        <v>2233784</v>
      </c>
      <c r="AZ17" s="986">
        <v>1904.8912412658196</v>
      </c>
      <c r="BA17" s="558">
        <v>526441964</v>
      </c>
      <c r="BB17" s="986">
        <v>491990.49402750528</v>
      </c>
      <c r="BC17" s="558">
        <v>2238663</v>
      </c>
      <c r="BD17" s="1151">
        <v>32131984</v>
      </c>
      <c r="BE17" s="1204">
        <v>4269805</v>
      </c>
      <c r="BF17" s="558">
        <v>38640452</v>
      </c>
      <c r="BG17" s="558">
        <v>7237380</v>
      </c>
      <c r="BH17" s="558">
        <v>78148370</v>
      </c>
      <c r="BI17" s="986">
        <v>397221.11906997696</v>
      </c>
      <c r="BJ17" s="558">
        <v>1585722</v>
      </c>
      <c r="BK17" s="558">
        <v>5538646530</v>
      </c>
      <c r="BL17" s="1323">
        <v>1217375.6009731088</v>
      </c>
      <c r="BM17" s="558">
        <v>207268646</v>
      </c>
      <c r="BN17" s="558">
        <v>15510</v>
      </c>
      <c r="BO17" s="558">
        <v>181709043</v>
      </c>
      <c r="BP17" s="986">
        <v>774328.8298470421</v>
      </c>
      <c r="BQ17" s="558">
        <v>19850911</v>
      </c>
      <c r="BR17" s="558">
        <v>13704</v>
      </c>
      <c r="BS17" s="558">
        <v>106733</v>
      </c>
      <c r="BU17" s="1225"/>
      <c r="BV17" s="1225"/>
    </row>
    <row r="18" spans="1:74" s="181" customFormat="1" ht="11.1" customHeight="1">
      <c r="A18" s="1322" t="s">
        <v>2228</v>
      </c>
      <c r="B18" s="1044">
        <f>B19+B20+B21+B22+B23+B24+B25+B26+B27+B28+B29+B30</f>
        <v>21091631</v>
      </c>
      <c r="C18" s="1045">
        <f t="shared" ref="C18:W18" si="0">C19+C20+C21+C22+C23+C24+C25+C26+C27+C28+C29+C30</f>
        <v>2412600.3618839737</v>
      </c>
      <c r="D18" s="1044">
        <f>D19+D20+D21+D22+D23+D24+D25+D26+D27+D28+D29+D30</f>
        <v>113446</v>
      </c>
      <c r="E18" s="1045">
        <f t="shared" si="0"/>
        <v>4053.6459536020002</v>
      </c>
      <c r="F18" s="1148">
        <f t="shared" si="0"/>
        <v>21205077</v>
      </c>
      <c r="G18" s="1045">
        <f t="shared" si="0"/>
        <v>2416654.0078375759</v>
      </c>
      <c r="H18" s="1438">
        <f t="shared" si="0"/>
        <v>255817095</v>
      </c>
      <c r="I18" s="1045">
        <f t="shared" si="0"/>
        <v>883627.69924694602</v>
      </c>
      <c r="J18" s="1044">
        <f t="shared" si="0"/>
        <v>4181317</v>
      </c>
      <c r="K18" s="1045">
        <f t="shared" si="0"/>
        <v>3678.8517993910004</v>
      </c>
      <c r="L18" s="1438">
        <f t="shared" si="0"/>
        <v>156300</v>
      </c>
      <c r="M18" s="1045">
        <f t="shared" si="0"/>
        <v>285.60501492489999</v>
      </c>
      <c r="N18" s="1044">
        <f t="shared" si="0"/>
        <v>30927656</v>
      </c>
      <c r="O18" s="1045">
        <f t="shared" si="0"/>
        <v>17868.264305528999</v>
      </c>
      <c r="P18" s="1044">
        <f t="shared" si="0"/>
        <v>3881013</v>
      </c>
      <c r="Q18" s="1045">
        <f t="shared" si="0"/>
        <v>3404.9242624932999</v>
      </c>
      <c r="R18" s="1438">
        <f t="shared" si="0"/>
        <v>14110578</v>
      </c>
      <c r="S18" s="1045">
        <f t="shared" si="0"/>
        <v>7798.2766557109999</v>
      </c>
      <c r="T18" s="1044">
        <f t="shared" si="0"/>
        <v>2506018</v>
      </c>
      <c r="U18" s="1045">
        <f t="shared" si="0"/>
        <v>1366.28361760545</v>
      </c>
      <c r="V18" s="1044">
        <f t="shared" si="0"/>
        <v>55762882</v>
      </c>
      <c r="W18" s="1045">
        <f t="shared" si="0"/>
        <v>34402.205655654645</v>
      </c>
      <c r="X18" s="1045">
        <f>X30</f>
        <v>10751.054323832999</v>
      </c>
      <c r="Y18" s="1322" t="s">
        <v>2228</v>
      </c>
      <c r="Z18" s="1044">
        <f t="shared" ref="Z18:AW18" si="1">Z19+Z20+Z21+Z22+Z23+Z24+Z25+Z26+Z27+Z28+Z29+Z30</f>
        <v>434492001</v>
      </c>
      <c r="AA18" s="1045">
        <f t="shared" si="1"/>
        <v>474180.37460322591</v>
      </c>
      <c r="AB18" s="1438">
        <f t="shared" si="1"/>
        <v>454744</v>
      </c>
      <c r="AC18" s="1045">
        <f t="shared" si="1"/>
        <v>1091.9693004845501</v>
      </c>
      <c r="AD18" s="1044">
        <f t="shared" si="1"/>
        <v>33644266</v>
      </c>
      <c r="AE18" s="1045">
        <f t="shared" si="1"/>
        <v>12583.985970700998</v>
      </c>
      <c r="AF18" s="1044">
        <f t="shared" si="1"/>
        <v>1488603</v>
      </c>
      <c r="AG18" s="1045">
        <f t="shared" si="1"/>
        <v>1073.3576745513001</v>
      </c>
      <c r="AH18" s="1044">
        <f t="shared" si="1"/>
        <v>37362081</v>
      </c>
      <c r="AI18" s="1045">
        <f t="shared" si="1"/>
        <v>7322.8434994829986</v>
      </c>
      <c r="AJ18" s="1438">
        <f t="shared" si="1"/>
        <v>2347656</v>
      </c>
      <c r="AK18" s="1439">
        <f t="shared" si="1"/>
        <v>758.96039009250001</v>
      </c>
      <c r="AL18" s="1044">
        <f t="shared" si="1"/>
        <v>509789351</v>
      </c>
      <c r="AM18" s="1045">
        <f t="shared" si="1"/>
        <v>497011.49143853842</v>
      </c>
      <c r="AN18" s="1044">
        <f t="shared" si="1"/>
        <v>5793017</v>
      </c>
      <c r="AO18" s="1045">
        <f t="shared" si="1"/>
        <v>3802.1311255627998</v>
      </c>
      <c r="AP18" s="1044">
        <f t="shared" si="1"/>
        <v>2320695</v>
      </c>
      <c r="AQ18" s="1045">
        <f t="shared" si="1"/>
        <v>1165.97937289385</v>
      </c>
      <c r="AR18" s="1044">
        <f t="shared" si="1"/>
        <v>468345</v>
      </c>
      <c r="AS18" s="1045">
        <f t="shared" si="1"/>
        <v>684.19183862</v>
      </c>
      <c r="AT18" s="1044">
        <f t="shared" si="1"/>
        <v>1394674</v>
      </c>
      <c r="AU18" s="1045">
        <f t="shared" si="1"/>
        <v>1592.5701099263999</v>
      </c>
      <c r="AV18" s="1044">
        <f t="shared" si="1"/>
        <v>1534558</v>
      </c>
      <c r="AW18" s="1045">
        <f t="shared" si="1"/>
        <v>1060.2527108180002</v>
      </c>
      <c r="AX18" s="1322" t="s">
        <v>2228</v>
      </c>
      <c r="AY18" s="1044">
        <f t="shared" ref="AY18:BK18" si="2">AY19+AY20+AY21+AY22+AY23+AY24+AY25+AY26+AY27+AY28+AY29+AY30</f>
        <v>3397577</v>
      </c>
      <c r="AZ18" s="1045">
        <f t="shared" si="2"/>
        <v>3337.0146593643999</v>
      </c>
      <c r="BA18" s="1044">
        <f t="shared" si="2"/>
        <v>577063522</v>
      </c>
      <c r="BB18" s="1045">
        <f>BB19+BB20+BB21+BB22+BB23+BB24+BB25+BB26+BB27+BB28+BB29+BB30</f>
        <v>539718.82225201407</v>
      </c>
      <c r="BC18" s="1044">
        <f>BC30</f>
        <v>2506478</v>
      </c>
      <c r="BD18" s="1152">
        <f t="shared" ref="BD18:BG18" si="3">BD30</f>
        <v>37046957</v>
      </c>
      <c r="BE18" s="1438">
        <f t="shared" si="3"/>
        <v>6075310</v>
      </c>
      <c r="BF18" s="1044">
        <f t="shared" si="3"/>
        <v>45628745</v>
      </c>
      <c r="BG18" s="1044">
        <f t="shared" si="3"/>
        <v>8951034</v>
      </c>
      <c r="BH18" s="1044">
        <f t="shared" si="2"/>
        <v>125632927</v>
      </c>
      <c r="BI18" s="1045">
        <f t="shared" si="2"/>
        <v>984606.09178214392</v>
      </c>
      <c r="BJ18" s="1044">
        <f>BJ30</f>
        <v>1807659</v>
      </c>
      <c r="BK18" s="1044">
        <f t="shared" si="2"/>
        <v>6781512755</v>
      </c>
      <c r="BL18" s="1439">
        <f>BL19+BL20+BL21+BL22+BL23+BL24+BL25+BL26+BL27+BL28+BL29+BL30</f>
        <v>1536169.9589394298</v>
      </c>
      <c r="BM18" s="1044">
        <f>BM30</f>
        <v>232418206</v>
      </c>
      <c r="BN18" s="1044">
        <f>BN30</f>
        <v>15990</v>
      </c>
      <c r="BO18" s="1044">
        <f t="shared" ref="BO18:BP18" si="4">BO19+BO20+BO21+BO22+BO23+BO24+BO25+BO26+BO27+BO28+BO29+BO30</f>
        <v>177379063</v>
      </c>
      <c r="BP18" s="1045">
        <f t="shared" si="4"/>
        <v>832532.88427655981</v>
      </c>
      <c r="BQ18" s="1044">
        <f>BQ30</f>
        <v>23033242</v>
      </c>
      <c r="BR18" s="1044">
        <f>BR30</f>
        <v>13438</v>
      </c>
      <c r="BS18" s="1044">
        <f>BS30</f>
        <v>118313</v>
      </c>
      <c r="BT18" s="1408"/>
      <c r="BU18" s="1321"/>
    </row>
    <row r="19" spans="1:74" s="180" customFormat="1" ht="11.1" customHeight="1">
      <c r="A19" s="1047" t="s">
        <v>559</v>
      </c>
      <c r="B19" s="1047">
        <v>1698503</v>
      </c>
      <c r="C19" s="1048">
        <v>210366.77721241894</v>
      </c>
      <c r="D19" s="1047">
        <v>9186</v>
      </c>
      <c r="E19" s="1048">
        <v>236.48079004600001</v>
      </c>
      <c r="F19" s="1047">
        <f t="shared" ref="F19:G30" si="5">B19+D19</f>
        <v>1707689</v>
      </c>
      <c r="G19" s="1048">
        <f t="shared" si="5"/>
        <v>210603.25800246492</v>
      </c>
      <c r="H19" s="1047">
        <v>11436309</v>
      </c>
      <c r="I19" s="1048">
        <v>60564.028841293984</v>
      </c>
      <c r="J19" s="1047">
        <v>307281</v>
      </c>
      <c r="K19" s="1048">
        <v>261.544496751</v>
      </c>
      <c r="L19" s="1047">
        <v>12831</v>
      </c>
      <c r="M19" s="1048">
        <v>23.109241840400003</v>
      </c>
      <c r="N19" s="1047">
        <v>2338888</v>
      </c>
      <c r="O19" s="1048">
        <v>1346.3737255719998</v>
      </c>
      <c r="P19" s="1047">
        <v>362023</v>
      </c>
      <c r="Q19" s="1048">
        <v>338.50285320689994</v>
      </c>
      <c r="R19" s="1047">
        <v>1096296</v>
      </c>
      <c r="S19" s="1048">
        <v>596.634285793</v>
      </c>
      <c r="T19" s="1047">
        <v>177080</v>
      </c>
      <c r="U19" s="1048">
        <v>108.21664897110004</v>
      </c>
      <c r="V19" s="1047">
        <v>4294399</v>
      </c>
      <c r="W19" s="1048">
        <v>2674.3812521344003</v>
      </c>
      <c r="X19" s="1048">
        <v>9094.9524403349988</v>
      </c>
      <c r="Y19" s="1047" t="s">
        <v>559</v>
      </c>
      <c r="Z19" s="1047">
        <v>32469129</v>
      </c>
      <c r="AA19" s="1048">
        <v>32740.432400392001</v>
      </c>
      <c r="AB19" s="1047">
        <v>33218</v>
      </c>
      <c r="AC19" s="1048">
        <v>73.733184510000001</v>
      </c>
      <c r="AD19" s="1047">
        <v>2547176</v>
      </c>
      <c r="AE19" s="1048">
        <v>953.47974511799987</v>
      </c>
      <c r="AF19" s="1047">
        <v>117185</v>
      </c>
      <c r="AG19" s="1048">
        <v>89.431046025000015</v>
      </c>
      <c r="AH19" s="1047">
        <v>2870391</v>
      </c>
      <c r="AI19" s="1048">
        <v>553.68705178399978</v>
      </c>
      <c r="AJ19" s="1047">
        <v>131311</v>
      </c>
      <c r="AK19" s="1048">
        <v>45.960117920000002</v>
      </c>
      <c r="AL19" s="1047">
        <v>38168410</v>
      </c>
      <c r="AM19" s="1048">
        <v>34456.723545749002</v>
      </c>
      <c r="AN19" s="1047">
        <v>381496</v>
      </c>
      <c r="AO19" s="1048">
        <v>209.766902367</v>
      </c>
      <c r="AP19" s="1047">
        <v>131595</v>
      </c>
      <c r="AQ19" s="1048">
        <v>90.085327975100014</v>
      </c>
      <c r="AR19" s="1047">
        <v>41136</v>
      </c>
      <c r="AS19" s="1048">
        <v>58.186640000000011</v>
      </c>
      <c r="AT19" s="1047">
        <v>106844</v>
      </c>
      <c r="AU19" s="1048">
        <v>113.9594153944</v>
      </c>
      <c r="AV19" s="1047">
        <v>105471</v>
      </c>
      <c r="AW19" s="1048">
        <v>66.602287795999999</v>
      </c>
      <c r="AX19" s="1047" t="s">
        <v>559</v>
      </c>
      <c r="AY19" s="1047">
        <v>253451</v>
      </c>
      <c r="AZ19" s="1048">
        <v>238.74834319039996</v>
      </c>
      <c r="BA19" s="1079">
        <v>43229351</v>
      </c>
      <c r="BB19" s="1048">
        <v>37669.70537141589</v>
      </c>
      <c r="BC19" s="1047">
        <v>2268371</v>
      </c>
      <c r="BD19" s="1047">
        <v>32666507</v>
      </c>
      <c r="BE19" s="1047">
        <v>4409712</v>
      </c>
      <c r="BF19" s="1047">
        <f t="shared" ref="BF19:BF43" si="6">BC19+BD19+BE19</f>
        <v>39344590</v>
      </c>
      <c r="BG19" s="1047">
        <v>7442964</v>
      </c>
      <c r="BH19" s="1047">
        <v>7807126</v>
      </c>
      <c r="BI19" s="1048">
        <v>46243.446591025997</v>
      </c>
      <c r="BJ19" s="1047">
        <v>1601445</v>
      </c>
      <c r="BK19" s="1047">
        <v>483531836</v>
      </c>
      <c r="BL19" s="1048">
        <v>98306.850671469001</v>
      </c>
      <c r="BM19" s="1047">
        <v>209569834</v>
      </c>
      <c r="BN19" s="1047">
        <v>15574</v>
      </c>
      <c r="BO19" s="1047">
        <v>14858617</v>
      </c>
      <c r="BP19" s="1048">
        <v>68004.100000000006</v>
      </c>
      <c r="BQ19" s="1047">
        <v>20154126</v>
      </c>
      <c r="BR19" s="1047">
        <v>13725</v>
      </c>
      <c r="BS19" s="1047">
        <v>106832</v>
      </c>
      <c r="BT19" s="1150"/>
      <c r="BU19" s="1225"/>
    </row>
    <row r="20" spans="1:74" s="180" customFormat="1" ht="11.1" customHeight="1">
      <c r="A20" s="1049" t="s">
        <v>560</v>
      </c>
      <c r="B20" s="1049">
        <v>1698614</v>
      </c>
      <c r="C20" s="1050">
        <v>212753.76986995997</v>
      </c>
      <c r="D20" s="1049">
        <v>8849</v>
      </c>
      <c r="E20" s="1050">
        <v>227.395696692</v>
      </c>
      <c r="F20" s="1072">
        <f t="shared" si="5"/>
        <v>1707463</v>
      </c>
      <c r="G20" s="1050">
        <f t="shared" si="5"/>
        <v>212981.16556665197</v>
      </c>
      <c r="H20" s="1049">
        <v>12035293</v>
      </c>
      <c r="I20" s="1050">
        <v>62303.407874569995</v>
      </c>
      <c r="J20" s="1049">
        <v>325854</v>
      </c>
      <c r="K20" s="1050">
        <v>278.17162491900001</v>
      </c>
      <c r="L20" s="1049">
        <v>9812</v>
      </c>
      <c r="M20" s="1050">
        <v>16.321894176000004</v>
      </c>
      <c r="N20" s="1049">
        <v>2415852</v>
      </c>
      <c r="O20" s="1050">
        <v>1362.3112226349995</v>
      </c>
      <c r="P20" s="1049">
        <v>270179</v>
      </c>
      <c r="Q20" s="1050">
        <v>231.69098848199999</v>
      </c>
      <c r="R20" s="1049">
        <v>1134101</v>
      </c>
      <c r="S20" s="1050">
        <v>599.03707768999993</v>
      </c>
      <c r="T20" s="1049">
        <v>200399</v>
      </c>
      <c r="U20" s="1050">
        <v>104.09684516050002</v>
      </c>
      <c r="V20" s="1049">
        <v>4356197</v>
      </c>
      <c r="W20" s="1050">
        <v>2591.6296530624995</v>
      </c>
      <c r="X20" s="1050">
        <v>9150.417508165001</v>
      </c>
      <c r="Y20" s="1049" t="s">
        <v>560</v>
      </c>
      <c r="Z20" s="1049">
        <v>33588910</v>
      </c>
      <c r="AA20" s="1050">
        <v>36028.081620524004</v>
      </c>
      <c r="AB20" s="1049">
        <v>32986</v>
      </c>
      <c r="AC20" s="1050">
        <v>91.740850253000019</v>
      </c>
      <c r="AD20" s="1049">
        <v>2623129</v>
      </c>
      <c r="AE20" s="1050">
        <v>994.10892778799973</v>
      </c>
      <c r="AF20" s="1049">
        <v>105419</v>
      </c>
      <c r="AG20" s="1050">
        <v>71.275097895000002</v>
      </c>
      <c r="AH20" s="1049">
        <v>2834825</v>
      </c>
      <c r="AI20" s="1050">
        <v>564.63960246700003</v>
      </c>
      <c r="AJ20" s="1049">
        <v>160747</v>
      </c>
      <c r="AK20" s="1050">
        <v>53.809612289499995</v>
      </c>
      <c r="AL20" s="1049">
        <v>39346016</v>
      </c>
      <c r="AM20" s="1050">
        <v>37803.655711216496</v>
      </c>
      <c r="AN20" s="1049">
        <v>426533</v>
      </c>
      <c r="AO20" s="1050">
        <v>266.42395943799994</v>
      </c>
      <c r="AP20" s="1049">
        <v>163885</v>
      </c>
      <c r="AQ20" s="1050">
        <v>89.349575676000015</v>
      </c>
      <c r="AR20" s="1049">
        <v>41901</v>
      </c>
      <c r="AS20" s="1050">
        <v>57.824030000000008</v>
      </c>
      <c r="AT20" s="1049">
        <v>98881</v>
      </c>
      <c r="AU20" s="1050">
        <v>117.88135295199999</v>
      </c>
      <c r="AV20" s="1049">
        <v>125115</v>
      </c>
      <c r="AW20" s="1050">
        <v>94.468138274000012</v>
      </c>
      <c r="AX20" s="1049" t="s">
        <v>560</v>
      </c>
      <c r="AY20" s="1049">
        <v>265897</v>
      </c>
      <c r="AZ20" s="1050">
        <v>270.17352122599999</v>
      </c>
      <c r="BA20" s="1072">
        <v>44558528</v>
      </c>
      <c r="BB20" s="1050">
        <v>41021.232420619002</v>
      </c>
      <c r="BC20" s="1049">
        <v>2294491</v>
      </c>
      <c r="BD20" s="1049">
        <v>33156910</v>
      </c>
      <c r="BE20" s="1049">
        <v>4590842</v>
      </c>
      <c r="BF20" s="1049">
        <f t="shared" si="6"/>
        <v>40042243</v>
      </c>
      <c r="BG20" s="1049">
        <v>7632300</v>
      </c>
      <c r="BH20" s="1049">
        <v>8414924</v>
      </c>
      <c r="BI20" s="1050">
        <v>52099.672853853001</v>
      </c>
      <c r="BJ20" s="1049">
        <v>1618988</v>
      </c>
      <c r="BK20" s="1049">
        <v>512290724</v>
      </c>
      <c r="BL20" s="1050">
        <v>109555.147981909</v>
      </c>
      <c r="BM20" s="1049">
        <v>212420476</v>
      </c>
      <c r="BN20" s="1049">
        <v>15671</v>
      </c>
      <c r="BO20" s="1049">
        <v>13226342</v>
      </c>
      <c r="BP20" s="1050">
        <v>68125.248690278997</v>
      </c>
      <c r="BQ20" s="1049">
        <v>20449522</v>
      </c>
      <c r="BR20" s="1049">
        <v>13732</v>
      </c>
      <c r="BS20" s="1049">
        <v>106225</v>
      </c>
      <c r="BT20" s="1150"/>
      <c r="BU20" s="1225"/>
    </row>
    <row r="21" spans="1:74" s="180" customFormat="1" ht="11.1" customHeight="1">
      <c r="A21" s="1047" t="s">
        <v>554</v>
      </c>
      <c r="B21" s="1047">
        <v>1581755</v>
      </c>
      <c r="C21" s="1048">
        <v>180115.63721498</v>
      </c>
      <c r="D21" s="1047">
        <v>9596</v>
      </c>
      <c r="E21" s="1048">
        <v>281.27739935699998</v>
      </c>
      <c r="F21" s="1079">
        <f t="shared" si="5"/>
        <v>1591351</v>
      </c>
      <c r="G21" s="1048">
        <f t="shared" si="5"/>
        <v>180396.914614337</v>
      </c>
      <c r="H21" s="1047">
        <v>10869818</v>
      </c>
      <c r="I21" s="1048">
        <v>55598.038399805999</v>
      </c>
      <c r="J21" s="1047">
        <v>326079</v>
      </c>
      <c r="K21" s="1048">
        <v>283.348895992</v>
      </c>
      <c r="L21" s="1047">
        <v>10883</v>
      </c>
      <c r="M21" s="1048">
        <v>18.702842159999999</v>
      </c>
      <c r="N21" s="1047">
        <v>2407950</v>
      </c>
      <c r="O21" s="1048">
        <v>1328.8220753640001</v>
      </c>
      <c r="P21" s="1047">
        <v>287593</v>
      </c>
      <c r="Q21" s="1048">
        <v>244.25554785900005</v>
      </c>
      <c r="R21" s="1047">
        <v>1125802</v>
      </c>
      <c r="S21" s="1048">
        <v>579.66387659600002</v>
      </c>
      <c r="T21" s="1047">
        <v>198388</v>
      </c>
      <c r="U21" s="1048">
        <v>108.49269728999998</v>
      </c>
      <c r="V21" s="1047">
        <v>4356695</v>
      </c>
      <c r="W21" s="1048">
        <v>2563.2859352610003</v>
      </c>
      <c r="X21" s="1048">
        <v>9211.3310051279968</v>
      </c>
      <c r="Y21" s="1047" t="s">
        <v>554</v>
      </c>
      <c r="Z21" s="1047">
        <v>32888976</v>
      </c>
      <c r="AA21" s="1048">
        <v>34983.290902247005</v>
      </c>
      <c r="AB21" s="1047">
        <v>39413</v>
      </c>
      <c r="AC21" s="1048">
        <v>90.005993062999977</v>
      </c>
      <c r="AD21" s="1047">
        <v>2660788</v>
      </c>
      <c r="AE21" s="1048">
        <v>998.68039978499996</v>
      </c>
      <c r="AF21" s="1047">
        <v>122915</v>
      </c>
      <c r="AG21" s="1048">
        <v>75.896604322999991</v>
      </c>
      <c r="AH21" s="1047">
        <v>2838836</v>
      </c>
      <c r="AI21" s="1048">
        <v>549.59056211899997</v>
      </c>
      <c r="AJ21" s="1047">
        <v>179319</v>
      </c>
      <c r="AK21" s="1048">
        <v>62.044389264499998</v>
      </c>
      <c r="AL21" s="1047">
        <v>38730247</v>
      </c>
      <c r="AM21" s="1048">
        <v>36759.508850801503</v>
      </c>
      <c r="AN21" s="1047">
        <v>436819</v>
      </c>
      <c r="AO21" s="1048">
        <v>269.36636807000002</v>
      </c>
      <c r="AP21" s="1047">
        <v>168387</v>
      </c>
      <c r="AQ21" s="1048">
        <v>88.584469685499997</v>
      </c>
      <c r="AR21" s="1047">
        <v>40749</v>
      </c>
      <c r="AS21" s="1048">
        <v>54.01079</v>
      </c>
      <c r="AT21" s="1047">
        <v>103024</v>
      </c>
      <c r="AU21" s="1048">
        <v>128.39668516099999</v>
      </c>
      <c r="AV21" s="1047">
        <v>120845</v>
      </c>
      <c r="AW21" s="1048">
        <v>80.167801056000002</v>
      </c>
      <c r="AX21" s="1255" t="s">
        <v>554</v>
      </c>
      <c r="AY21" s="1047">
        <v>264618</v>
      </c>
      <c r="AZ21" s="1048">
        <v>262.57527621700001</v>
      </c>
      <c r="BA21" s="1079">
        <v>43956766</v>
      </c>
      <c r="BB21" s="1048">
        <v>39943.320900035011</v>
      </c>
      <c r="BC21" s="1047">
        <v>2316132</v>
      </c>
      <c r="BD21" s="1047">
        <v>33598824</v>
      </c>
      <c r="BE21" s="1047">
        <v>4736851</v>
      </c>
      <c r="BF21" s="1047">
        <f t="shared" si="6"/>
        <v>40651807</v>
      </c>
      <c r="BG21" s="1047">
        <v>7788896</v>
      </c>
      <c r="BH21" s="1047">
        <v>8234472</v>
      </c>
      <c r="BI21" s="1048">
        <v>48716.377547828</v>
      </c>
      <c r="BJ21" s="1047">
        <v>1629716</v>
      </c>
      <c r="BK21" s="1047">
        <v>497412883</v>
      </c>
      <c r="BL21" s="1048">
        <v>108378.227160043</v>
      </c>
      <c r="BM21" s="1047">
        <v>215041746</v>
      </c>
      <c r="BN21" s="1047">
        <v>15539</v>
      </c>
      <c r="BO21" s="1047">
        <v>12032552</v>
      </c>
      <c r="BP21" s="1048">
        <v>59312.866945061003</v>
      </c>
      <c r="BQ21" s="1047">
        <v>20683628</v>
      </c>
      <c r="BR21" s="1047">
        <v>13623</v>
      </c>
      <c r="BS21" s="1047">
        <v>106451</v>
      </c>
      <c r="BT21" s="1150"/>
      <c r="BU21" s="1225"/>
    </row>
    <row r="22" spans="1:74" s="180" customFormat="1" ht="11.1" customHeight="1">
      <c r="A22" s="1049" t="s">
        <v>561</v>
      </c>
      <c r="B22" s="1049">
        <v>1847520</v>
      </c>
      <c r="C22" s="1050">
        <v>214885.96555261899</v>
      </c>
      <c r="D22" s="1049">
        <v>9402</v>
      </c>
      <c r="E22" s="1050">
        <v>282.74721766800002</v>
      </c>
      <c r="F22" s="1072">
        <v>1856922</v>
      </c>
      <c r="G22" s="1050">
        <f t="shared" si="5"/>
        <v>215168.71277028698</v>
      </c>
      <c r="H22" s="1049">
        <v>27380116</v>
      </c>
      <c r="I22" s="1050">
        <v>71929.487599486005</v>
      </c>
      <c r="J22" s="1049">
        <v>358561</v>
      </c>
      <c r="K22" s="1050">
        <v>306.770765407</v>
      </c>
      <c r="L22" s="1049">
        <v>16059</v>
      </c>
      <c r="M22" s="1050">
        <v>28.974927018799999</v>
      </c>
      <c r="N22" s="1049">
        <v>2574948</v>
      </c>
      <c r="O22" s="1050">
        <v>1463.528894065</v>
      </c>
      <c r="P22" s="1049">
        <v>348068</v>
      </c>
      <c r="Q22" s="1050">
        <v>301.24410659699998</v>
      </c>
      <c r="R22" s="1049">
        <v>1260773</v>
      </c>
      <c r="S22" s="1050">
        <v>654.03405320399997</v>
      </c>
      <c r="T22" s="1049">
        <v>224945</v>
      </c>
      <c r="U22" s="1050">
        <v>111.1088772956</v>
      </c>
      <c r="V22" s="1049">
        <v>4783354</v>
      </c>
      <c r="W22" s="1050">
        <v>2865.6616235873998</v>
      </c>
      <c r="X22" s="1050">
        <v>9497.3123796359996</v>
      </c>
      <c r="Y22" s="1049" t="s">
        <v>561</v>
      </c>
      <c r="Z22" s="1049">
        <v>35482731</v>
      </c>
      <c r="AA22" s="1050">
        <v>37616.300498520002</v>
      </c>
      <c r="AB22" s="1049">
        <v>52217</v>
      </c>
      <c r="AC22" s="1050">
        <v>128.21989595599999</v>
      </c>
      <c r="AD22" s="1049">
        <v>2810261</v>
      </c>
      <c r="AE22" s="1050">
        <v>1075.0802064239999</v>
      </c>
      <c r="AF22" s="1049">
        <v>144565</v>
      </c>
      <c r="AG22" s="1050">
        <v>88.777513888000001</v>
      </c>
      <c r="AH22" s="1049">
        <v>3120589</v>
      </c>
      <c r="AI22" s="1050">
        <v>608.34554821899997</v>
      </c>
      <c r="AJ22" s="1049">
        <v>199976</v>
      </c>
      <c r="AK22" s="1050">
        <v>58.964967934000001</v>
      </c>
      <c r="AL22" s="1049">
        <v>41810339</v>
      </c>
      <c r="AM22" s="1050">
        <v>39575.688630940997</v>
      </c>
      <c r="AN22" s="1049">
        <v>469293</v>
      </c>
      <c r="AO22" s="1050">
        <v>285.63369172699998</v>
      </c>
      <c r="AP22" s="1049">
        <v>198418</v>
      </c>
      <c r="AQ22" s="1050">
        <v>94.760536032000005</v>
      </c>
      <c r="AR22" s="1049">
        <v>42986</v>
      </c>
      <c r="AS22" s="1050">
        <v>58.276240000000001</v>
      </c>
      <c r="AT22" s="1049">
        <v>102905</v>
      </c>
      <c r="AU22" s="1050">
        <v>134.49906232199999</v>
      </c>
      <c r="AV22" s="1049">
        <v>126044</v>
      </c>
      <c r="AW22" s="1050">
        <v>84.087330874000003</v>
      </c>
      <c r="AX22" s="1049" t="s">
        <v>561</v>
      </c>
      <c r="AY22" s="1049">
        <v>271935</v>
      </c>
      <c r="AZ22" s="1050">
        <v>276.86263319599999</v>
      </c>
      <c r="BA22" s="1072">
        <v>47533339</v>
      </c>
      <c r="BB22" s="1050">
        <v>43098.607115483399</v>
      </c>
      <c r="BC22" s="1049">
        <v>2337580</v>
      </c>
      <c r="BD22" s="1049">
        <v>34001815</v>
      </c>
      <c r="BE22" s="1049">
        <v>4904421</v>
      </c>
      <c r="BF22" s="1049">
        <f t="shared" si="6"/>
        <v>41243816</v>
      </c>
      <c r="BG22" s="1049">
        <v>7980859</v>
      </c>
      <c r="BH22" s="1049">
        <v>10337750</v>
      </c>
      <c r="BI22" s="1050">
        <v>78863.083189718003</v>
      </c>
      <c r="BJ22" s="1049">
        <v>1678207</v>
      </c>
      <c r="BK22" s="1049">
        <v>573271299</v>
      </c>
      <c r="BL22" s="1050">
        <v>120596.465772636</v>
      </c>
      <c r="BM22" s="1049">
        <v>217710830</v>
      </c>
      <c r="BN22" s="1049">
        <v>15542</v>
      </c>
      <c r="BO22" s="1049">
        <v>16089259</v>
      </c>
      <c r="BP22" s="1050">
        <v>70459.860334437995</v>
      </c>
      <c r="BQ22" s="1049">
        <v>20931465</v>
      </c>
      <c r="BR22" s="1049">
        <v>13655</v>
      </c>
      <c r="BS22" s="1049">
        <v>107035</v>
      </c>
      <c r="BT22" s="1150"/>
      <c r="BU22" s="1225"/>
    </row>
    <row r="23" spans="1:74" s="180" customFormat="1" ht="11.1" customHeight="1">
      <c r="A23" s="1047" t="s">
        <v>562</v>
      </c>
      <c r="B23" s="1047">
        <v>1850445</v>
      </c>
      <c r="C23" s="1048">
        <v>205727.014980882</v>
      </c>
      <c r="D23" s="1047">
        <v>8494</v>
      </c>
      <c r="E23" s="1048">
        <v>225.05943243499999</v>
      </c>
      <c r="F23" s="1047">
        <f t="shared" ref="F23:F30" si="7">B23+D23</f>
        <v>1858939</v>
      </c>
      <c r="G23" s="1048">
        <f t="shared" si="5"/>
        <v>205952.07441331699</v>
      </c>
      <c r="H23" s="1047">
        <v>16245938</v>
      </c>
      <c r="I23" s="1048">
        <v>72689.365954292007</v>
      </c>
      <c r="J23" s="1047">
        <v>349173</v>
      </c>
      <c r="K23" s="1048">
        <v>302.96941623200001</v>
      </c>
      <c r="L23" s="1047">
        <v>14453</v>
      </c>
      <c r="M23" s="1048">
        <v>26.999779919000002</v>
      </c>
      <c r="N23" s="1047">
        <v>2412776</v>
      </c>
      <c r="O23" s="1048">
        <v>1372.9109652919999</v>
      </c>
      <c r="P23" s="1047">
        <v>296342</v>
      </c>
      <c r="Q23" s="1048">
        <v>265.35799295800001</v>
      </c>
      <c r="R23" s="1047">
        <v>1238701</v>
      </c>
      <c r="S23" s="1048">
        <v>653.36042484899997</v>
      </c>
      <c r="T23" s="1047">
        <v>222825</v>
      </c>
      <c r="U23" s="1048">
        <v>127.2146839823</v>
      </c>
      <c r="V23" s="1047">
        <v>4534270</v>
      </c>
      <c r="W23" s="1048">
        <v>2748.8132632323</v>
      </c>
      <c r="X23" s="1048">
        <v>9586.1225684849996</v>
      </c>
      <c r="Y23" s="1047" t="s">
        <v>562</v>
      </c>
      <c r="Z23" s="1047">
        <v>34459563</v>
      </c>
      <c r="AA23" s="1048">
        <v>37386.725317053999</v>
      </c>
      <c r="AB23" s="1047">
        <v>47422</v>
      </c>
      <c r="AC23" s="1048">
        <v>121.79554095100001</v>
      </c>
      <c r="AD23" s="1047">
        <v>2616668</v>
      </c>
      <c r="AE23" s="1048">
        <v>962.43418754499999</v>
      </c>
      <c r="AF23" s="1047">
        <v>136586</v>
      </c>
      <c r="AG23" s="1048">
        <v>91.284506813500002</v>
      </c>
      <c r="AH23" s="1047">
        <v>3232987</v>
      </c>
      <c r="AI23" s="1048">
        <v>623.22273326300001</v>
      </c>
      <c r="AJ23" s="1047">
        <v>213293</v>
      </c>
      <c r="AK23" s="1048">
        <v>68.339254069000006</v>
      </c>
      <c r="AL23" s="1047">
        <v>40706519</v>
      </c>
      <c r="AM23" s="1048">
        <v>39253.801539695502</v>
      </c>
      <c r="AN23" s="1047">
        <v>480023</v>
      </c>
      <c r="AO23" s="1048">
        <v>289.01881718300001</v>
      </c>
      <c r="AP23" s="1047">
        <v>209288</v>
      </c>
      <c r="AQ23" s="1048">
        <v>97.039955438999996</v>
      </c>
      <c r="AR23" s="1047">
        <v>41063</v>
      </c>
      <c r="AS23" s="1048">
        <v>55.590339999999998</v>
      </c>
      <c r="AT23" s="1047">
        <v>107430</v>
      </c>
      <c r="AU23" s="1048">
        <v>113.925147262</v>
      </c>
      <c r="AV23" s="1047">
        <v>115832</v>
      </c>
      <c r="AW23" s="1048">
        <v>79.812545610000001</v>
      </c>
      <c r="AX23" s="1047" t="s">
        <v>562</v>
      </c>
      <c r="AY23" s="1047">
        <v>264325</v>
      </c>
      <c r="AZ23" s="1048">
        <v>249.32803287199999</v>
      </c>
      <c r="BA23" s="1079">
        <v>46194425</v>
      </c>
      <c r="BB23" s="1048">
        <v>42638.0016084218</v>
      </c>
      <c r="BC23" s="1047">
        <v>2367620</v>
      </c>
      <c r="BD23" s="1047">
        <v>34331261</v>
      </c>
      <c r="BE23" s="1047">
        <v>4997524</v>
      </c>
      <c r="BF23" s="1047">
        <f t="shared" si="6"/>
        <v>41696405</v>
      </c>
      <c r="BG23" s="1047">
        <v>8172648</v>
      </c>
      <c r="BH23" s="1047">
        <v>9747240</v>
      </c>
      <c r="BI23" s="1048">
        <v>82866.226303652002</v>
      </c>
      <c r="BJ23" s="1047">
        <v>1701943</v>
      </c>
      <c r="BK23" s="1047">
        <v>542074508</v>
      </c>
      <c r="BL23" s="1048">
        <v>119669.18965844699</v>
      </c>
      <c r="BM23" s="1047">
        <v>220086186</v>
      </c>
      <c r="BN23" s="1047">
        <v>15581</v>
      </c>
      <c r="BO23" s="1047">
        <v>14580631</v>
      </c>
      <c r="BP23" s="1048">
        <v>70444.378387324003</v>
      </c>
      <c r="BQ23" s="1047">
        <v>21195205</v>
      </c>
      <c r="BR23" s="1047">
        <v>13437</v>
      </c>
      <c r="BS23" s="1047">
        <v>107144</v>
      </c>
      <c r="BT23" s="1150"/>
      <c r="BU23" s="1225"/>
    </row>
    <row r="24" spans="1:74" s="180" customFormat="1" ht="11.1" customHeight="1">
      <c r="A24" s="1049" t="s">
        <v>555</v>
      </c>
      <c r="B24" s="1049">
        <v>1655043</v>
      </c>
      <c r="C24" s="1050">
        <v>182738.56533114699</v>
      </c>
      <c r="D24" s="1049">
        <v>9754</v>
      </c>
      <c r="E24" s="1050">
        <v>313.77793898099998</v>
      </c>
      <c r="F24" s="1072">
        <f t="shared" si="7"/>
        <v>1664797</v>
      </c>
      <c r="G24" s="1050">
        <f t="shared" si="5"/>
        <v>183052.34327012798</v>
      </c>
      <c r="H24" s="1049">
        <v>16780017</v>
      </c>
      <c r="I24" s="1050">
        <v>68182.869789613993</v>
      </c>
      <c r="J24" s="1049">
        <v>358058</v>
      </c>
      <c r="K24" s="1050">
        <v>314.48887471900002</v>
      </c>
      <c r="L24" s="1049">
        <v>17271</v>
      </c>
      <c r="M24" s="1050">
        <v>33.746116625299997</v>
      </c>
      <c r="N24" s="1049">
        <v>2582874</v>
      </c>
      <c r="O24" s="1050">
        <v>1467.3255885809999</v>
      </c>
      <c r="P24" s="1049">
        <v>349172</v>
      </c>
      <c r="Q24" s="1050">
        <v>319.63655331349997</v>
      </c>
      <c r="R24" s="1049">
        <v>1205621</v>
      </c>
      <c r="S24" s="1050">
        <v>661.00001046700004</v>
      </c>
      <c r="T24" s="1049">
        <v>202619</v>
      </c>
      <c r="U24" s="1050">
        <v>120.7122621515</v>
      </c>
      <c r="V24" s="1049">
        <v>4715615</v>
      </c>
      <c r="W24" s="1050">
        <v>2916.9094058573</v>
      </c>
      <c r="X24" s="1050">
        <v>9884.867291519</v>
      </c>
      <c r="Y24" s="1049" t="s">
        <v>555</v>
      </c>
      <c r="Z24" s="1049">
        <v>36270911</v>
      </c>
      <c r="AA24" s="1050">
        <v>39801.38472029</v>
      </c>
      <c r="AB24" s="1049">
        <v>55311</v>
      </c>
      <c r="AC24" s="1050">
        <v>152.74570868800001</v>
      </c>
      <c r="AD24" s="1049">
        <v>2766966</v>
      </c>
      <c r="AE24" s="1050">
        <v>1056.9825483469999</v>
      </c>
      <c r="AF24" s="1049">
        <v>137640</v>
      </c>
      <c r="AG24" s="1050">
        <v>105.593556206</v>
      </c>
      <c r="AH24" s="1049">
        <v>2945278</v>
      </c>
      <c r="AI24" s="1050">
        <v>560.52229142900001</v>
      </c>
      <c r="AJ24" s="1049">
        <v>214155</v>
      </c>
      <c r="AK24" s="1050">
        <v>74.789194832500002</v>
      </c>
      <c r="AL24" s="1049">
        <v>42390261</v>
      </c>
      <c r="AM24" s="1050">
        <v>41752.0180197925</v>
      </c>
      <c r="AN24" s="1049">
        <v>447143</v>
      </c>
      <c r="AO24" s="1050">
        <v>289.17183307599998</v>
      </c>
      <c r="AP24" s="1049">
        <v>222079</v>
      </c>
      <c r="AQ24" s="1050">
        <v>122.10576920600001</v>
      </c>
      <c r="AR24" s="1049">
        <v>37424</v>
      </c>
      <c r="AS24" s="1050">
        <v>68.211197920000004</v>
      </c>
      <c r="AT24" s="1049">
        <v>120421</v>
      </c>
      <c r="AU24" s="1050">
        <v>116.025734196</v>
      </c>
      <c r="AV24" s="1049">
        <v>132328</v>
      </c>
      <c r="AW24" s="1050">
        <v>87.591291662000003</v>
      </c>
      <c r="AX24" s="1049" t="s">
        <v>555</v>
      </c>
      <c r="AY24" s="1049">
        <v>290173</v>
      </c>
      <c r="AZ24" s="1050">
        <v>271.82822377799999</v>
      </c>
      <c r="BA24" s="1072">
        <v>48065271</v>
      </c>
      <c r="BB24" s="1050">
        <v>45352.0332517098</v>
      </c>
      <c r="BC24" s="1049">
        <v>2398577</v>
      </c>
      <c r="BD24" s="1049">
        <v>34569683</v>
      </c>
      <c r="BE24" s="1049">
        <v>5120934</v>
      </c>
      <c r="BF24" s="1049">
        <f t="shared" si="6"/>
        <v>42089194</v>
      </c>
      <c r="BG24" s="1049">
        <v>8331730</v>
      </c>
      <c r="BH24" s="1049">
        <v>9850726</v>
      </c>
      <c r="BI24" s="1050">
        <v>81640.235815248001</v>
      </c>
      <c r="BJ24" s="1049">
        <v>1724515</v>
      </c>
      <c r="BK24" s="1049">
        <v>550908856</v>
      </c>
      <c r="BL24" s="1050">
        <v>124548.463896698</v>
      </c>
      <c r="BM24" s="1049">
        <v>220457448</v>
      </c>
      <c r="BN24" s="1049">
        <v>15757</v>
      </c>
      <c r="BO24" s="1049">
        <v>13976607</v>
      </c>
      <c r="BP24" s="1050">
        <v>67225.719058249</v>
      </c>
      <c r="BQ24" s="1049">
        <v>21418816</v>
      </c>
      <c r="BR24" s="1049">
        <v>13436</v>
      </c>
      <c r="BS24" s="1049">
        <v>108469</v>
      </c>
      <c r="BT24" s="1150"/>
      <c r="BU24" s="1225"/>
    </row>
    <row r="25" spans="1:74" s="180" customFormat="1" ht="11.1" customHeight="1">
      <c r="A25" s="1047" t="s">
        <v>563</v>
      </c>
      <c r="B25" s="1047">
        <v>1925594</v>
      </c>
      <c r="C25" s="1048">
        <v>207300.56354946899</v>
      </c>
      <c r="D25" s="1047">
        <v>9176</v>
      </c>
      <c r="E25" s="1048">
        <v>262.65764582999998</v>
      </c>
      <c r="F25" s="1079">
        <f t="shared" si="7"/>
        <v>1934770</v>
      </c>
      <c r="G25" s="1048">
        <f t="shared" si="5"/>
        <v>207563.221195299</v>
      </c>
      <c r="H25" s="1047">
        <v>19537853</v>
      </c>
      <c r="I25" s="1048">
        <v>82285.260951356991</v>
      </c>
      <c r="J25" s="1047">
        <v>359636</v>
      </c>
      <c r="K25" s="1048">
        <v>317.93553623700001</v>
      </c>
      <c r="L25" s="1047">
        <v>14360</v>
      </c>
      <c r="M25" s="1048">
        <v>27.642036128499999</v>
      </c>
      <c r="N25" s="1047">
        <v>2601846</v>
      </c>
      <c r="O25" s="1048">
        <v>1482.1982028140001</v>
      </c>
      <c r="P25" s="1047">
        <v>321685</v>
      </c>
      <c r="Q25" s="1048">
        <v>298.80001105050002</v>
      </c>
      <c r="R25" s="1047">
        <v>1183707</v>
      </c>
      <c r="S25" s="1048">
        <v>654.80441124900005</v>
      </c>
      <c r="T25" s="1047">
        <v>203428</v>
      </c>
      <c r="U25" s="1048">
        <v>118.5519972665</v>
      </c>
      <c r="V25" s="1047">
        <v>4684662</v>
      </c>
      <c r="W25" s="1048">
        <v>2899.9321947455001</v>
      </c>
      <c r="X25" s="1048">
        <v>10013.49101623</v>
      </c>
      <c r="Y25" s="1047" t="s">
        <v>563</v>
      </c>
      <c r="Z25" s="1047">
        <v>36923118</v>
      </c>
      <c r="AA25" s="1048">
        <v>40714.95095754401</v>
      </c>
      <c r="AB25" s="1047">
        <v>40349</v>
      </c>
      <c r="AC25" s="1048">
        <v>99.098533338999999</v>
      </c>
      <c r="AD25" s="1047">
        <v>2608485</v>
      </c>
      <c r="AE25" s="1048">
        <v>1080.3442430950001</v>
      </c>
      <c r="AF25" s="1047">
        <v>120175</v>
      </c>
      <c r="AG25" s="1048">
        <v>96.289219374499993</v>
      </c>
      <c r="AH25" s="1047">
        <v>3307426</v>
      </c>
      <c r="AI25" s="1048">
        <v>664.86279608399991</v>
      </c>
      <c r="AJ25" s="1047">
        <v>194605</v>
      </c>
      <c r="AK25" s="1048">
        <v>70.239047538999998</v>
      </c>
      <c r="AL25" s="1047">
        <v>43194158</v>
      </c>
      <c r="AM25" s="1048">
        <v>42725.784796975517</v>
      </c>
      <c r="AN25" s="1047">
        <v>515232</v>
      </c>
      <c r="AO25" s="1048">
        <v>362.22698171199994</v>
      </c>
      <c r="AP25" s="1047">
        <v>210733</v>
      </c>
      <c r="AQ25" s="1048">
        <v>123.52517027999997</v>
      </c>
      <c r="AR25" s="1047">
        <v>36607</v>
      </c>
      <c r="AS25" s="1048">
        <v>53.360590000000002</v>
      </c>
      <c r="AT25" s="1047">
        <v>122716</v>
      </c>
      <c r="AU25" s="1048">
        <v>116.89875784500001</v>
      </c>
      <c r="AV25" s="1047">
        <v>123315</v>
      </c>
      <c r="AW25" s="1048">
        <v>89.787821763000011</v>
      </c>
      <c r="AX25" s="1047" t="s">
        <v>563</v>
      </c>
      <c r="AY25" s="1047">
        <v>282638</v>
      </c>
      <c r="AZ25" s="1048">
        <v>260.04716960799999</v>
      </c>
      <c r="BA25" s="1079">
        <v>48887423</v>
      </c>
      <c r="BB25" s="1048">
        <v>46371.516313321015</v>
      </c>
      <c r="BC25" s="1047">
        <v>2418708</v>
      </c>
      <c r="BD25" s="1047">
        <v>35062332</v>
      </c>
      <c r="BE25" s="1047">
        <v>5255904</v>
      </c>
      <c r="BF25" s="1047">
        <f t="shared" si="6"/>
        <v>42736944</v>
      </c>
      <c r="BG25" s="1047">
        <v>8486538</v>
      </c>
      <c r="BH25" s="1047">
        <v>10622601</v>
      </c>
      <c r="BI25" s="1048">
        <v>96205.903293743002</v>
      </c>
      <c r="BJ25" s="1047">
        <v>1739321</v>
      </c>
      <c r="BK25" s="1047">
        <v>562750812</v>
      </c>
      <c r="BL25" s="1048">
        <v>129500.639051329</v>
      </c>
      <c r="BM25" s="1047">
        <v>219119012</v>
      </c>
      <c r="BN25" s="1047">
        <v>15761</v>
      </c>
      <c r="BO25" s="1047">
        <v>14948766</v>
      </c>
      <c r="BP25" s="1048">
        <v>73983.927014909001</v>
      </c>
      <c r="BQ25" s="1047">
        <v>21696736</v>
      </c>
      <c r="BR25" s="1047">
        <v>13461</v>
      </c>
      <c r="BS25" s="1047">
        <v>109128</v>
      </c>
      <c r="BT25" s="1225"/>
    </row>
    <row r="26" spans="1:74" s="180" customFormat="1" ht="11.1" customHeight="1">
      <c r="A26" s="1049" t="s">
        <v>564</v>
      </c>
      <c r="B26" s="1049">
        <v>1701852</v>
      </c>
      <c r="C26" s="1050">
        <v>180819.42971081295</v>
      </c>
      <c r="D26" s="1049">
        <v>9146</v>
      </c>
      <c r="E26" s="1050">
        <v>279.029687223</v>
      </c>
      <c r="F26" s="1072">
        <f t="shared" si="7"/>
        <v>1710998</v>
      </c>
      <c r="G26" s="1050">
        <f t="shared" si="5"/>
        <v>181098.45939803595</v>
      </c>
      <c r="H26" s="1049">
        <v>29615269</v>
      </c>
      <c r="I26" s="1050">
        <v>76897.669573603998</v>
      </c>
      <c r="J26" s="1049">
        <v>358684</v>
      </c>
      <c r="K26" s="1050">
        <v>314.04897285200002</v>
      </c>
      <c r="L26" s="1049">
        <v>13300</v>
      </c>
      <c r="M26" s="1050">
        <v>24.603281482749999</v>
      </c>
      <c r="N26" s="1049">
        <v>2544606</v>
      </c>
      <c r="O26" s="1050">
        <v>1470.451585622</v>
      </c>
      <c r="P26" s="1049">
        <v>318719</v>
      </c>
      <c r="Q26" s="1050">
        <v>284.24638302329998</v>
      </c>
      <c r="R26" s="1049">
        <v>1134961</v>
      </c>
      <c r="S26" s="1050">
        <v>633.98972962899995</v>
      </c>
      <c r="T26" s="1049">
        <v>198377</v>
      </c>
      <c r="U26" s="1050">
        <v>104.1681234058</v>
      </c>
      <c r="V26" s="1049">
        <v>4568647</v>
      </c>
      <c r="W26" s="1050">
        <v>2831.5080760148498</v>
      </c>
      <c r="X26" s="1050">
        <v>10199.682911305001</v>
      </c>
      <c r="Y26" s="1049" t="s">
        <v>564</v>
      </c>
      <c r="Z26" s="1049">
        <v>36507771</v>
      </c>
      <c r="AA26" s="1050">
        <v>40320.196292909997</v>
      </c>
      <c r="AB26" s="1049">
        <v>39762</v>
      </c>
      <c r="AC26" s="1050">
        <v>94.576199015499995</v>
      </c>
      <c r="AD26" s="1049">
        <v>2489809</v>
      </c>
      <c r="AE26" s="1050">
        <v>886.68832314500014</v>
      </c>
      <c r="AF26" s="1049">
        <v>123724</v>
      </c>
      <c r="AG26" s="1050">
        <v>94.685774413000019</v>
      </c>
      <c r="AH26" s="1049">
        <v>3114735</v>
      </c>
      <c r="AI26" s="1050">
        <v>616.21748430899993</v>
      </c>
      <c r="AJ26" s="1049">
        <v>199293</v>
      </c>
      <c r="AK26" s="1050">
        <v>66.482518967500013</v>
      </c>
      <c r="AL26" s="1049">
        <v>42475094</v>
      </c>
      <c r="AM26" s="1050">
        <v>42078.846592759997</v>
      </c>
      <c r="AN26" s="1049">
        <v>478731</v>
      </c>
      <c r="AO26" s="1050">
        <v>335.54312523400006</v>
      </c>
      <c r="AP26" s="1049">
        <v>211208</v>
      </c>
      <c r="AQ26" s="1050">
        <v>103.6031509455</v>
      </c>
      <c r="AR26" s="1049">
        <v>39053</v>
      </c>
      <c r="AS26" s="1050">
        <v>57.74888</v>
      </c>
      <c r="AT26" s="1049">
        <v>141444</v>
      </c>
      <c r="AU26" s="1050">
        <v>170.11643794400001</v>
      </c>
      <c r="AV26" s="1049">
        <v>122755</v>
      </c>
      <c r="AW26" s="1050">
        <v>87.901032565000008</v>
      </c>
      <c r="AX26" s="1049" t="s">
        <v>564</v>
      </c>
      <c r="AY26" s="1049">
        <v>303252</v>
      </c>
      <c r="AZ26" s="1050">
        <v>315.76635050900001</v>
      </c>
      <c r="BA26" s="1072">
        <v>48036932</v>
      </c>
      <c r="BB26" s="1050">
        <v>45665.267295463345</v>
      </c>
      <c r="BC26" s="1049">
        <v>2424363</v>
      </c>
      <c r="BD26" s="1049">
        <v>35418498</v>
      </c>
      <c r="BE26" s="1049">
        <v>5379541</v>
      </c>
      <c r="BF26" s="1049">
        <f t="shared" si="6"/>
        <v>43222402</v>
      </c>
      <c r="BG26" s="1049">
        <v>8915009</v>
      </c>
      <c r="BH26" s="1049">
        <v>10775757</v>
      </c>
      <c r="BI26" s="1050">
        <v>93822.747532517998</v>
      </c>
      <c r="BJ26" s="1049">
        <v>1754723</v>
      </c>
      <c r="BK26" s="1049">
        <v>584272437</v>
      </c>
      <c r="BL26" s="1050">
        <v>130140.073243219</v>
      </c>
      <c r="BM26" s="1049">
        <v>221478625</v>
      </c>
      <c r="BN26" s="1049">
        <v>15773</v>
      </c>
      <c r="BO26" s="1049">
        <v>15446110</v>
      </c>
      <c r="BP26" s="1050">
        <v>69295.889898476002</v>
      </c>
      <c r="BQ26" s="1049">
        <v>21929947</v>
      </c>
      <c r="BR26" s="1049">
        <v>13465</v>
      </c>
      <c r="BS26" s="1049">
        <v>110089</v>
      </c>
      <c r="BT26" s="1225"/>
    </row>
    <row r="27" spans="1:74" s="180" customFormat="1" ht="11.1" customHeight="1">
      <c r="A27" s="1047" t="s">
        <v>556</v>
      </c>
      <c r="B27" s="1047">
        <v>1828497</v>
      </c>
      <c r="C27" s="1048">
        <v>197388.340214019</v>
      </c>
      <c r="D27" s="1047">
        <v>9392</v>
      </c>
      <c r="E27" s="1048">
        <v>278.63456310999999</v>
      </c>
      <c r="F27" s="1079">
        <f t="shared" si="7"/>
        <v>1837889</v>
      </c>
      <c r="G27" s="1048">
        <f t="shared" si="5"/>
        <v>197666.97477712901</v>
      </c>
      <c r="H27" s="1047">
        <v>26367162</v>
      </c>
      <c r="I27" s="1048">
        <v>81733.814314044008</v>
      </c>
      <c r="J27" s="1047">
        <v>375172</v>
      </c>
      <c r="K27" s="1048">
        <v>336.24321357100001</v>
      </c>
      <c r="L27" s="1047">
        <v>12337</v>
      </c>
      <c r="M27" s="1048">
        <v>22.708506095000001</v>
      </c>
      <c r="N27" s="1047">
        <v>2954874</v>
      </c>
      <c r="O27" s="1048">
        <v>1755.334266759</v>
      </c>
      <c r="P27" s="1047">
        <v>299686</v>
      </c>
      <c r="Q27" s="1048">
        <v>256.72693283180001</v>
      </c>
      <c r="R27" s="1047">
        <v>1209404</v>
      </c>
      <c r="S27" s="1048">
        <v>709.19442884</v>
      </c>
      <c r="T27" s="1047">
        <v>220787</v>
      </c>
      <c r="U27" s="1048">
        <v>110.22392533750001</v>
      </c>
      <c r="V27" s="1047">
        <v>5072260</v>
      </c>
      <c r="W27" s="1048">
        <v>3190.4312734342998</v>
      </c>
      <c r="X27" s="1048">
        <v>10371.922275622999</v>
      </c>
      <c r="Y27" s="1047" t="s">
        <v>556</v>
      </c>
      <c r="Z27" s="1047">
        <v>40843289</v>
      </c>
      <c r="AA27" s="1048">
        <v>46032.241273933985</v>
      </c>
      <c r="AB27" s="1047">
        <v>34256</v>
      </c>
      <c r="AC27" s="1048">
        <v>72.37285517174999</v>
      </c>
      <c r="AD27" s="1047">
        <v>3071612</v>
      </c>
      <c r="AE27" s="1048">
        <v>1166.9949586680007</v>
      </c>
      <c r="AF27" s="1047">
        <v>118608</v>
      </c>
      <c r="AG27" s="1048">
        <v>90.868834010300006</v>
      </c>
      <c r="AH27" s="1047">
        <v>3364473</v>
      </c>
      <c r="AI27" s="1048">
        <v>671.5610946879998</v>
      </c>
      <c r="AJ27" s="1047">
        <v>238608</v>
      </c>
      <c r="AK27" s="1048">
        <v>67.059582528500002</v>
      </c>
      <c r="AL27" s="1047">
        <v>47670846</v>
      </c>
      <c r="AM27" s="1048">
        <v>48101.098599000536</v>
      </c>
      <c r="AN27" s="1047">
        <v>538793</v>
      </c>
      <c r="AO27" s="1048">
        <v>364.02709580799996</v>
      </c>
      <c r="AP27" s="1047">
        <v>236837</v>
      </c>
      <c r="AQ27" s="1048">
        <v>103.03820531074999</v>
      </c>
      <c r="AR27" s="1047">
        <v>39894</v>
      </c>
      <c r="AS27" s="1048">
        <v>58.29610000000001</v>
      </c>
      <c r="AT27" s="1047">
        <v>129144</v>
      </c>
      <c r="AU27" s="1048">
        <v>160.47194431400001</v>
      </c>
      <c r="AV27" s="1047">
        <v>137771</v>
      </c>
      <c r="AW27" s="1048">
        <v>105.80498474000001</v>
      </c>
      <c r="AX27" s="1047" t="s">
        <v>556</v>
      </c>
      <c r="AY27" s="1047">
        <v>306809</v>
      </c>
      <c r="AZ27" s="1048">
        <v>324.57302905400002</v>
      </c>
      <c r="BA27" s="1079">
        <v>53825545</v>
      </c>
      <c r="BB27" s="1048">
        <v>52083.16820260758</v>
      </c>
      <c r="BC27" s="1047">
        <v>2450700</v>
      </c>
      <c r="BD27" s="1047">
        <v>35869678</v>
      </c>
      <c r="BE27" s="1047">
        <v>5697192</v>
      </c>
      <c r="BF27" s="1047">
        <f t="shared" si="6"/>
        <v>44017570</v>
      </c>
      <c r="BG27" s="1047">
        <v>8338860</v>
      </c>
      <c r="BH27" s="1047">
        <v>12441038</v>
      </c>
      <c r="BI27" s="1048">
        <v>99510.62042152397</v>
      </c>
      <c r="BJ27" s="1047">
        <v>1769911</v>
      </c>
      <c r="BK27" s="1047">
        <v>609373836</v>
      </c>
      <c r="BL27" s="1048">
        <v>153757.980103237</v>
      </c>
      <c r="BM27" s="1047">
        <v>224001412</v>
      </c>
      <c r="BN27" s="1047">
        <v>15835</v>
      </c>
      <c r="BO27" s="1047">
        <v>15325171</v>
      </c>
      <c r="BP27" s="1048">
        <v>72956.441154614993</v>
      </c>
      <c r="BQ27" s="1047">
        <v>22249033</v>
      </c>
      <c r="BR27" s="1047">
        <v>13485</v>
      </c>
      <c r="BS27" s="1047">
        <v>113734</v>
      </c>
      <c r="BT27" s="1225"/>
    </row>
    <row r="28" spans="1:74" s="180" customFormat="1" ht="11.1" customHeight="1">
      <c r="A28" s="1049" t="s">
        <v>565</v>
      </c>
      <c r="B28" s="1049">
        <v>1593054</v>
      </c>
      <c r="C28" s="1050">
        <v>189553.88032722601</v>
      </c>
      <c r="D28" s="1049">
        <v>9047</v>
      </c>
      <c r="E28" s="1050">
        <v>442.164963</v>
      </c>
      <c r="F28" s="1072">
        <f t="shared" si="7"/>
        <v>1602101</v>
      </c>
      <c r="G28" s="1050">
        <f t="shared" si="5"/>
        <v>189996.045290226</v>
      </c>
      <c r="H28" s="1049">
        <v>18966499</v>
      </c>
      <c r="I28" s="1050">
        <v>71729.674012887001</v>
      </c>
      <c r="J28" s="1049">
        <v>342734</v>
      </c>
      <c r="K28" s="1050">
        <v>313.46534198000001</v>
      </c>
      <c r="L28" s="1049">
        <v>13121</v>
      </c>
      <c r="M28" s="1050">
        <v>22.990658049</v>
      </c>
      <c r="N28" s="1049">
        <v>2806155</v>
      </c>
      <c r="O28" s="1050">
        <v>1656.773446289</v>
      </c>
      <c r="P28" s="1049">
        <v>357248</v>
      </c>
      <c r="Q28" s="1050">
        <v>298.58198302099999</v>
      </c>
      <c r="R28" s="1049">
        <v>1125674</v>
      </c>
      <c r="S28" s="1050">
        <v>659.01151781099998</v>
      </c>
      <c r="T28" s="1049">
        <v>207047</v>
      </c>
      <c r="U28" s="1050">
        <v>112.783494506</v>
      </c>
      <c r="V28" s="1049">
        <v>4851979</v>
      </c>
      <c r="W28" s="1050">
        <v>3063.6064416559998</v>
      </c>
      <c r="X28" s="1050">
        <v>10475.379101396</v>
      </c>
      <c r="Y28" s="1049" t="s">
        <v>565</v>
      </c>
      <c r="Z28" s="1049">
        <v>37818963</v>
      </c>
      <c r="AA28" s="1050">
        <v>42109.471936180998</v>
      </c>
      <c r="AB28" s="1049">
        <v>29654</v>
      </c>
      <c r="AC28" s="1050">
        <v>55.882477377000001</v>
      </c>
      <c r="AD28" s="1049">
        <v>3346113</v>
      </c>
      <c r="AE28" s="1050">
        <v>1230.151298497</v>
      </c>
      <c r="AF28" s="1049">
        <v>125558</v>
      </c>
      <c r="AG28" s="1050">
        <v>90.572049804000002</v>
      </c>
      <c r="AH28" s="1049">
        <v>3155906</v>
      </c>
      <c r="AI28" s="1050">
        <v>623.73166646300001</v>
      </c>
      <c r="AJ28" s="1049">
        <v>189654</v>
      </c>
      <c r="AK28" s="1050">
        <v>57.720952593500002</v>
      </c>
      <c r="AL28" s="1049">
        <v>44665848</v>
      </c>
      <c r="AM28" s="1050">
        <v>44167.530380915501</v>
      </c>
      <c r="AN28" s="1049">
        <v>533098</v>
      </c>
      <c r="AO28" s="1050">
        <v>372.302344952</v>
      </c>
      <c r="AP28" s="1049">
        <v>181332</v>
      </c>
      <c r="AQ28" s="1050">
        <v>86.358193664500007</v>
      </c>
      <c r="AR28" s="1049">
        <v>36083</v>
      </c>
      <c r="AS28" s="1050">
        <v>53.473080000000003</v>
      </c>
      <c r="AT28" s="1049">
        <v>121867</v>
      </c>
      <c r="AU28" s="1050">
        <v>127.640097723</v>
      </c>
      <c r="AV28" s="1049">
        <v>141902</v>
      </c>
      <c r="AW28" s="1050">
        <v>93.864875165000001</v>
      </c>
      <c r="AX28" s="1049" t="s">
        <v>565</v>
      </c>
      <c r="AY28" s="1049">
        <v>299852</v>
      </c>
      <c r="AZ28" s="1050">
        <v>274.97805288799998</v>
      </c>
      <c r="BA28" s="1072">
        <v>50532109</v>
      </c>
      <c r="BB28" s="1050">
        <v>47964.775414076001</v>
      </c>
      <c r="BC28" s="1049">
        <v>2469541</v>
      </c>
      <c r="BD28" s="1049">
        <v>36215413</v>
      </c>
      <c r="BE28" s="1049">
        <v>5850790</v>
      </c>
      <c r="BF28" s="1049">
        <f t="shared" si="6"/>
        <v>44535744</v>
      </c>
      <c r="BG28" s="1049">
        <v>8524325</v>
      </c>
      <c r="BH28" s="1049">
        <v>11883072</v>
      </c>
      <c r="BI28" s="1050">
        <v>97094.517377337004</v>
      </c>
      <c r="BJ28" s="1049">
        <v>1779741</v>
      </c>
      <c r="BK28" s="1049">
        <v>614152914</v>
      </c>
      <c r="BL28" s="1050">
        <v>144929.50417074701</v>
      </c>
      <c r="BM28" s="1049">
        <v>226505553</v>
      </c>
      <c r="BN28" s="1049">
        <v>15840</v>
      </c>
      <c r="BO28" s="1049">
        <v>14146303</v>
      </c>
      <c r="BP28" s="1050">
        <v>67458.362707481996</v>
      </c>
      <c r="BQ28" s="1049">
        <v>22532147</v>
      </c>
      <c r="BR28" s="1049">
        <v>13507</v>
      </c>
      <c r="BS28" s="1049">
        <v>114828</v>
      </c>
      <c r="BT28" s="1225"/>
    </row>
    <row r="29" spans="1:74" s="180" customFormat="1" ht="11.1" customHeight="1">
      <c r="A29" s="1047" t="s">
        <v>566</v>
      </c>
      <c r="B29" s="1047">
        <v>1757021</v>
      </c>
      <c r="C29" s="1048">
        <v>196509.725859105</v>
      </c>
      <c r="D29" s="1047">
        <v>9936</v>
      </c>
      <c r="E29" s="1048">
        <v>686.57522725000001</v>
      </c>
      <c r="F29" s="1047">
        <f t="shared" si="7"/>
        <v>1766957</v>
      </c>
      <c r="G29" s="1048">
        <f t="shared" si="5"/>
        <v>197196.301086355</v>
      </c>
      <c r="H29" s="1047">
        <v>26181961</v>
      </c>
      <c r="I29" s="1048">
        <v>85061.135004269003</v>
      </c>
      <c r="J29" s="1047">
        <v>370480</v>
      </c>
      <c r="K29" s="1048">
        <v>325.18176183299994</v>
      </c>
      <c r="L29" s="1047">
        <v>10314</v>
      </c>
      <c r="M29" s="1048">
        <v>19.204528681999999</v>
      </c>
      <c r="N29" s="1047">
        <v>2645092</v>
      </c>
      <c r="O29" s="1048">
        <v>1579.9099879540001</v>
      </c>
      <c r="P29" s="1047">
        <v>310984</v>
      </c>
      <c r="Q29" s="1048">
        <v>256.56075278800006</v>
      </c>
      <c r="R29" s="1047">
        <v>1231194</v>
      </c>
      <c r="S29" s="1048">
        <v>702.51179184599994</v>
      </c>
      <c r="T29" s="1047">
        <v>228440</v>
      </c>
      <c r="U29" s="1048">
        <v>120.67240919704997</v>
      </c>
      <c r="V29" s="1047">
        <v>4796504</v>
      </c>
      <c r="W29" s="1048">
        <v>3004.0412323000501</v>
      </c>
      <c r="X29" s="1048">
        <v>10481.503434674001</v>
      </c>
      <c r="Y29" s="1047" t="s">
        <v>566</v>
      </c>
      <c r="Z29" s="1047">
        <v>36917581</v>
      </c>
      <c r="AA29" s="1048">
        <v>40541.680353374999</v>
      </c>
      <c r="AB29" s="1047">
        <v>25454</v>
      </c>
      <c r="AC29" s="1048">
        <v>54.032786463299999</v>
      </c>
      <c r="AD29" s="1047">
        <v>3010727</v>
      </c>
      <c r="AE29" s="1048">
        <v>1125.9765289749998</v>
      </c>
      <c r="AF29" s="1047">
        <v>114984</v>
      </c>
      <c r="AG29" s="1048">
        <v>84.894431041999979</v>
      </c>
      <c r="AH29" s="1047">
        <v>3181334</v>
      </c>
      <c r="AI29" s="1048">
        <v>621.16342906200009</v>
      </c>
      <c r="AJ29" s="1047">
        <v>224257</v>
      </c>
      <c r="AK29" s="1048">
        <v>70.063503678499998</v>
      </c>
      <c r="AL29" s="1047">
        <v>43474337</v>
      </c>
      <c r="AM29" s="1048">
        <v>42497.811032595797</v>
      </c>
      <c r="AN29" s="1047">
        <v>496055</v>
      </c>
      <c r="AO29" s="1048">
        <v>344.70344251080002</v>
      </c>
      <c r="AP29" s="1047">
        <v>213354</v>
      </c>
      <c r="AQ29" s="1048">
        <v>91.889914925400006</v>
      </c>
      <c r="AR29" s="1047">
        <v>37305</v>
      </c>
      <c r="AS29" s="1048">
        <v>54.515180699999995</v>
      </c>
      <c r="AT29" s="1047">
        <v>134612</v>
      </c>
      <c r="AU29" s="1048">
        <v>172.14157565800002</v>
      </c>
      <c r="AV29" s="1047">
        <v>138438</v>
      </c>
      <c r="AW29" s="1048">
        <v>94.064048244000006</v>
      </c>
      <c r="AX29" s="1047" t="s">
        <v>566</v>
      </c>
      <c r="AY29" s="1047">
        <v>310355</v>
      </c>
      <c r="AZ29" s="1048">
        <v>320.72080460199999</v>
      </c>
      <c r="BA29" s="1079">
        <v>49290605</v>
      </c>
      <c r="BB29" s="1048">
        <v>46259.166426934054</v>
      </c>
      <c r="BC29" s="1047">
        <v>2491202</v>
      </c>
      <c r="BD29" s="1047">
        <v>36658363</v>
      </c>
      <c r="BE29" s="1047">
        <v>5995954</v>
      </c>
      <c r="BF29" s="1047">
        <f t="shared" si="6"/>
        <v>45145519</v>
      </c>
      <c r="BG29" s="1047">
        <v>8752117</v>
      </c>
      <c r="BH29" s="1047">
        <v>12795772</v>
      </c>
      <c r="BI29" s="1048">
        <v>103038.635496189</v>
      </c>
      <c r="BJ29" s="1047">
        <v>1794350</v>
      </c>
      <c r="BK29" s="1047">
        <v>607652282</v>
      </c>
      <c r="BL29" s="1048">
        <v>140952.08738656601</v>
      </c>
      <c r="BM29" s="1047">
        <v>229918913</v>
      </c>
      <c r="BN29" s="1047">
        <v>15885</v>
      </c>
      <c r="BO29" s="1047">
        <v>15281122</v>
      </c>
      <c r="BP29" s="1048">
        <v>72137.642818809996</v>
      </c>
      <c r="BQ29" s="1047">
        <v>22827855</v>
      </c>
      <c r="BR29" s="1047">
        <v>13428</v>
      </c>
      <c r="BS29" s="1047">
        <v>116232</v>
      </c>
      <c r="BT29" s="1225"/>
    </row>
    <row r="30" spans="1:74" s="180" customFormat="1" ht="11.1" customHeight="1">
      <c r="A30" s="1049" t="s">
        <v>557</v>
      </c>
      <c r="B30" s="1049">
        <v>1953733</v>
      </c>
      <c r="C30" s="1050">
        <v>234440.69206133499</v>
      </c>
      <c r="D30" s="1049">
        <v>11468</v>
      </c>
      <c r="E30" s="1050">
        <v>537.84539200999996</v>
      </c>
      <c r="F30" s="1049">
        <f t="shared" si="7"/>
        <v>1965201</v>
      </c>
      <c r="G30" s="1050">
        <f t="shared" si="5"/>
        <v>234978.53745334499</v>
      </c>
      <c r="H30" s="1049">
        <v>40400860</v>
      </c>
      <c r="I30" s="1050">
        <v>94652.946931722996</v>
      </c>
      <c r="J30" s="1049">
        <v>349605</v>
      </c>
      <c r="K30" s="1050">
        <v>324.68289889800002</v>
      </c>
      <c r="L30" s="1049">
        <v>11559</v>
      </c>
      <c r="M30" s="1050">
        <v>20.601202748150001</v>
      </c>
      <c r="N30" s="1049">
        <v>2641795</v>
      </c>
      <c r="O30" s="1050">
        <v>1582.3243445820001</v>
      </c>
      <c r="P30" s="1049">
        <v>359314</v>
      </c>
      <c r="Q30" s="1050">
        <v>309.32015736229999</v>
      </c>
      <c r="R30" s="1049">
        <v>1164344</v>
      </c>
      <c r="S30" s="1050">
        <v>695.03504773700001</v>
      </c>
      <c r="T30" s="1049">
        <v>221683</v>
      </c>
      <c r="U30" s="1050">
        <v>120.0416530416</v>
      </c>
      <c r="V30" s="1049">
        <v>4748300</v>
      </c>
      <c r="W30" s="1050">
        <v>3052.00530436905</v>
      </c>
      <c r="X30" s="1050">
        <v>10751.054323832999</v>
      </c>
      <c r="Y30" s="1049" t="s">
        <v>557</v>
      </c>
      <c r="Z30" s="1049">
        <v>40321059</v>
      </c>
      <c r="AA30" s="1050">
        <v>45905.618330254998</v>
      </c>
      <c r="AB30" s="1049">
        <v>24702</v>
      </c>
      <c r="AC30" s="1050">
        <v>57.765275697</v>
      </c>
      <c r="AD30" s="1049">
        <v>3092532</v>
      </c>
      <c r="AE30" s="1050">
        <v>1053.0646033139999</v>
      </c>
      <c r="AF30" s="1049">
        <v>121244</v>
      </c>
      <c r="AG30" s="1050">
        <v>93.789040756999995</v>
      </c>
      <c r="AH30" s="1049">
        <v>3395301</v>
      </c>
      <c r="AI30" s="1050">
        <v>665.29923959600001</v>
      </c>
      <c r="AJ30" s="1049">
        <v>202438</v>
      </c>
      <c r="AK30" s="1050">
        <v>63.487248475999998</v>
      </c>
      <c r="AL30" s="1049">
        <v>47157276</v>
      </c>
      <c r="AM30" s="1050">
        <v>47839.023738094998</v>
      </c>
      <c r="AN30" s="1049">
        <v>589801</v>
      </c>
      <c r="AO30" s="1050">
        <v>413.94656348500001</v>
      </c>
      <c r="AP30" s="1049">
        <v>173579</v>
      </c>
      <c r="AQ30" s="1050">
        <v>75.639103754100006</v>
      </c>
      <c r="AR30" s="1049">
        <v>34144</v>
      </c>
      <c r="AS30" s="1050">
        <v>54.698770000000003</v>
      </c>
      <c r="AT30" s="1049">
        <v>105386</v>
      </c>
      <c r="AU30" s="1050">
        <v>120.613899155</v>
      </c>
      <c r="AV30" s="1049">
        <v>144742</v>
      </c>
      <c r="AW30" s="1050">
        <v>96.100553069</v>
      </c>
      <c r="AX30" s="1049" t="s">
        <v>557</v>
      </c>
      <c r="AY30" s="1049">
        <v>284272</v>
      </c>
      <c r="AZ30" s="1050">
        <v>271.41322222399998</v>
      </c>
      <c r="BA30" s="1072">
        <v>52953228</v>
      </c>
      <c r="BB30" s="1050">
        <v>51652.027931927099</v>
      </c>
      <c r="BC30" s="1049">
        <v>2506478</v>
      </c>
      <c r="BD30" s="1049">
        <v>37046957</v>
      </c>
      <c r="BE30" s="1049">
        <v>6075310</v>
      </c>
      <c r="BF30" s="1049">
        <f t="shared" si="6"/>
        <v>45628745</v>
      </c>
      <c r="BG30" s="1049">
        <v>8951034</v>
      </c>
      <c r="BH30" s="1049">
        <v>12722449</v>
      </c>
      <c r="BI30" s="1050">
        <v>104504.62535950801</v>
      </c>
      <c r="BJ30" s="1049">
        <v>1807659</v>
      </c>
      <c r="BK30" s="1049">
        <v>643820368</v>
      </c>
      <c r="BL30" s="1050">
        <v>155835.32984312999</v>
      </c>
      <c r="BM30" s="1049">
        <v>232418206</v>
      </c>
      <c r="BN30" s="1049">
        <v>15990</v>
      </c>
      <c r="BO30" s="1049">
        <v>17467583</v>
      </c>
      <c r="BP30" s="1050">
        <v>73128.447266917006</v>
      </c>
      <c r="BQ30" s="1049">
        <v>23033242</v>
      </c>
      <c r="BR30" s="1049">
        <v>13438</v>
      </c>
      <c r="BS30" s="1049">
        <v>118313</v>
      </c>
      <c r="BT30" s="1225"/>
    </row>
    <row r="31" spans="1:74" s="180" customFormat="1" ht="11.1" customHeight="1">
      <c r="A31" s="1187" t="s">
        <v>2501</v>
      </c>
      <c r="B31" s="558">
        <f>B32+B33+B34+B35+B36+B37+B38+B39+B40+B41+B42+B43</f>
        <v>19381768</v>
      </c>
      <c r="C31" s="986">
        <f t="shared" ref="C31:W31" si="8">C32+C33+C34+C35+C36+C37+C38+C39+C40+C41+C42+C43</f>
        <v>1944840.5912117627</v>
      </c>
      <c r="D31" s="558">
        <f>D32+D33+D34+D35+D36+D37+D38+D39+D40+D41+D42+D43</f>
        <v>96453</v>
      </c>
      <c r="E31" s="986">
        <f t="shared" si="8"/>
        <v>4742.4942744240007</v>
      </c>
      <c r="F31" s="985">
        <f t="shared" si="8"/>
        <v>19478221</v>
      </c>
      <c r="G31" s="986">
        <f t="shared" si="8"/>
        <v>1949583.0854861867</v>
      </c>
      <c r="H31" s="1204">
        <f t="shared" si="8"/>
        <v>278477752</v>
      </c>
      <c r="I31" s="986">
        <f t="shared" si="8"/>
        <v>905561.53146106983</v>
      </c>
      <c r="J31" s="558">
        <f t="shared" si="8"/>
        <v>4368649</v>
      </c>
      <c r="K31" s="986">
        <f t="shared" si="8"/>
        <v>3698.1371457260002</v>
      </c>
      <c r="L31" s="1204">
        <f t="shared" si="8"/>
        <v>107478</v>
      </c>
      <c r="M31" s="986">
        <f t="shared" si="8"/>
        <v>219.01624261395</v>
      </c>
      <c r="N31" s="558">
        <f t="shared" si="8"/>
        <v>34592218</v>
      </c>
      <c r="O31" s="986">
        <f t="shared" si="8"/>
        <v>19381.575706776002</v>
      </c>
      <c r="P31" s="558">
        <f t="shared" si="8"/>
        <v>3825492</v>
      </c>
      <c r="Q31" s="986">
        <f t="shared" si="8"/>
        <v>2880.2869232616999</v>
      </c>
      <c r="R31" s="1204">
        <f t="shared" si="8"/>
        <v>16145943</v>
      </c>
      <c r="S31" s="986">
        <f t="shared" si="8"/>
        <v>10897.916407659</v>
      </c>
      <c r="T31" s="558">
        <f t="shared" si="8"/>
        <v>3067896</v>
      </c>
      <c r="U31" s="986">
        <f t="shared" si="8"/>
        <v>1510.4622544906001</v>
      </c>
      <c r="V31" s="558">
        <f t="shared" si="8"/>
        <v>62107676</v>
      </c>
      <c r="W31" s="986">
        <f t="shared" si="8"/>
        <v>38587.827778676248</v>
      </c>
      <c r="X31" s="986">
        <f>X43</f>
        <v>12217.306967338</v>
      </c>
      <c r="Y31" s="1187" t="s">
        <v>2501</v>
      </c>
      <c r="Z31" s="558">
        <f t="shared" ref="Z31:AW31" si="9">Z32+Z33+Z34+Z35+Z36+Z37+Z38+Z39+Z40+Z41+Z42+Z43</f>
        <v>432046479</v>
      </c>
      <c r="AA31" s="986">
        <f t="shared" si="9"/>
        <v>457640.54123106803</v>
      </c>
      <c r="AB31" s="1204">
        <f t="shared" si="9"/>
        <v>270494</v>
      </c>
      <c r="AC31" s="986">
        <f t="shared" si="9"/>
        <v>664.69207674760003</v>
      </c>
      <c r="AD31" s="558">
        <f t="shared" si="9"/>
        <v>38996625</v>
      </c>
      <c r="AE31" s="986">
        <f t="shared" si="9"/>
        <v>13419.344234515</v>
      </c>
      <c r="AF31" s="558">
        <f t="shared" si="9"/>
        <v>1416621</v>
      </c>
      <c r="AG31" s="986">
        <f t="shared" si="9"/>
        <v>980.92867197350006</v>
      </c>
      <c r="AH31" s="558">
        <f t="shared" si="9"/>
        <v>43415127</v>
      </c>
      <c r="AI31" s="986">
        <f t="shared" si="9"/>
        <v>8859.812259037999</v>
      </c>
      <c r="AJ31" s="1204">
        <f t="shared" si="9"/>
        <v>3862813</v>
      </c>
      <c r="AK31" s="1323">
        <f t="shared" si="9"/>
        <v>1320.6476802358998</v>
      </c>
      <c r="AL31" s="558">
        <f t="shared" si="9"/>
        <v>520008159</v>
      </c>
      <c r="AM31" s="986">
        <f t="shared" si="9"/>
        <v>482885.96615340794</v>
      </c>
      <c r="AN31" s="558">
        <f t="shared" si="9"/>
        <v>6931986</v>
      </c>
      <c r="AO31" s="986">
        <f t="shared" si="9"/>
        <v>4789.1272834249994</v>
      </c>
      <c r="AP31" s="558">
        <f t="shared" si="9"/>
        <v>2018612</v>
      </c>
      <c r="AQ31" s="986">
        <f t="shared" si="9"/>
        <v>766.91307764240014</v>
      </c>
      <c r="AR31" s="558">
        <f t="shared" si="9"/>
        <v>461572</v>
      </c>
      <c r="AS31" s="986">
        <f t="shared" si="9"/>
        <v>724.62272437000001</v>
      </c>
      <c r="AT31" s="558">
        <f t="shared" si="9"/>
        <v>1468257</v>
      </c>
      <c r="AU31" s="986">
        <f t="shared" si="9"/>
        <v>1457.349683099</v>
      </c>
      <c r="AV31" s="558">
        <f t="shared" si="9"/>
        <v>2431212</v>
      </c>
      <c r="AW31" s="986">
        <f t="shared" si="9"/>
        <v>1593.8075376199997</v>
      </c>
      <c r="AX31" s="1187" t="s">
        <v>2501</v>
      </c>
      <c r="AY31" s="558">
        <f t="shared" ref="AY31:BK31" si="10">AY32+AY33+AY34+AY35+AY36+AY37+AY38+AY39+AY40+AY41+AY42+AY43</f>
        <v>4361041</v>
      </c>
      <c r="AZ31" s="986">
        <f t="shared" si="10"/>
        <v>3775.7799450889993</v>
      </c>
      <c r="BA31" s="558">
        <f t="shared" si="10"/>
        <v>595427474</v>
      </c>
      <c r="BB31" s="986">
        <f>BB32+BB33+BB34+BB35+BB36+BB37+BB38+BB39+BB40+BB41+BB42+BB43</f>
        <v>530805.61424681055</v>
      </c>
      <c r="BC31" s="558">
        <f>BC43</f>
        <v>2946233</v>
      </c>
      <c r="BD31" s="1151">
        <f t="shared" ref="BD31:BG31" si="11">BD43</f>
        <v>43151639</v>
      </c>
      <c r="BE31" s="1204">
        <f t="shared" si="11"/>
        <v>7039117</v>
      </c>
      <c r="BF31" s="558">
        <f t="shared" si="11"/>
        <v>53136989</v>
      </c>
      <c r="BG31" s="558">
        <f t="shared" si="11"/>
        <v>11366563</v>
      </c>
      <c r="BH31" s="558">
        <f t="shared" si="10"/>
        <v>192446635</v>
      </c>
      <c r="BI31" s="1323">
        <f t="shared" si="10"/>
        <v>1151889.116012956</v>
      </c>
      <c r="BJ31" s="558">
        <f>BJ43</f>
        <v>1436434</v>
      </c>
      <c r="BK31" s="558">
        <f t="shared" si="10"/>
        <v>7462822230</v>
      </c>
      <c r="BL31" s="1323">
        <f>BL32+BL33+BL34+BL35+BL36+BL37+BL38+BL39+BL40+BL41+BL42+BL43</f>
        <v>1817408.056662936</v>
      </c>
      <c r="BM31" s="558">
        <f>BM43</f>
        <v>145641488</v>
      </c>
      <c r="BN31" s="558">
        <f>BN43</f>
        <v>15373</v>
      </c>
      <c r="BO31" s="558">
        <f t="shared" ref="BO31:BP31" si="12">BO32+BO33+BO34+BO35+BO36+BO37+BO38+BO39+BO40+BO41+BO42+BO43</f>
        <v>172718612.94999999</v>
      </c>
      <c r="BP31" s="986">
        <f t="shared" si="12"/>
        <v>785177.11976756598</v>
      </c>
      <c r="BQ31" s="558">
        <f>BQ43</f>
        <v>24406197</v>
      </c>
      <c r="BR31" s="558">
        <f>BR43</f>
        <v>12918</v>
      </c>
      <c r="BS31" s="558">
        <f>BS43</f>
        <v>133178</v>
      </c>
      <c r="BU31" s="1225"/>
      <c r="BV31" s="1225"/>
    </row>
    <row r="32" spans="1:74" s="180" customFormat="1" ht="11.1" customHeight="1">
      <c r="A32" s="1049" t="s">
        <v>559</v>
      </c>
      <c r="B32" s="1049">
        <v>1496591</v>
      </c>
      <c r="C32" s="1050">
        <v>181640.83394591801</v>
      </c>
      <c r="D32" s="1049">
        <v>8645</v>
      </c>
      <c r="E32" s="1050">
        <v>360.76737254300002</v>
      </c>
      <c r="F32" s="1049">
        <f t="shared" ref="F32:G47" si="13">B32+D32</f>
        <v>1505236</v>
      </c>
      <c r="G32" s="1050">
        <f t="shared" si="13"/>
        <v>182001.60131846101</v>
      </c>
      <c r="H32" s="1049">
        <v>12477488</v>
      </c>
      <c r="I32" s="1050">
        <v>74237.543900104007</v>
      </c>
      <c r="J32" s="1049">
        <v>343828</v>
      </c>
      <c r="K32" s="1050">
        <v>296.718040777</v>
      </c>
      <c r="L32" s="1049">
        <v>10254</v>
      </c>
      <c r="M32" s="1050">
        <v>18.270666421849999</v>
      </c>
      <c r="N32" s="1049">
        <v>2239289</v>
      </c>
      <c r="O32" s="1050">
        <v>1317.093646266</v>
      </c>
      <c r="P32" s="1049">
        <v>340137</v>
      </c>
      <c r="Q32" s="1050">
        <v>285.896885908</v>
      </c>
      <c r="R32" s="1049">
        <v>994676</v>
      </c>
      <c r="S32" s="1050">
        <v>630.87447012799998</v>
      </c>
      <c r="T32" s="1049">
        <v>200996</v>
      </c>
      <c r="U32" s="1050">
        <v>104.6705136082</v>
      </c>
      <c r="V32" s="1049">
        <v>4129180</v>
      </c>
      <c r="W32" s="1050">
        <v>2653.5242231090501</v>
      </c>
      <c r="X32" s="1050">
        <v>9966.9084084290007</v>
      </c>
      <c r="Y32" s="1049" t="s">
        <v>559</v>
      </c>
      <c r="Z32" s="1049">
        <v>32639342</v>
      </c>
      <c r="AA32" s="1050">
        <v>35911.465715610997</v>
      </c>
      <c r="AB32" s="1049">
        <v>26642</v>
      </c>
      <c r="AC32" s="1050">
        <v>62.007923130999998</v>
      </c>
      <c r="AD32" s="1049">
        <v>2462879</v>
      </c>
      <c r="AE32" s="1050">
        <v>814.02869825300002</v>
      </c>
      <c r="AF32" s="1049">
        <v>120342</v>
      </c>
      <c r="AG32" s="1050">
        <v>96.149936234999998</v>
      </c>
      <c r="AH32" s="1049">
        <v>2684045</v>
      </c>
      <c r="AI32" s="1050">
        <v>531.77660360799996</v>
      </c>
      <c r="AJ32" s="1049">
        <v>178320</v>
      </c>
      <c r="AK32" s="1050">
        <v>61.670302204400002</v>
      </c>
      <c r="AL32" s="1049">
        <v>38111570</v>
      </c>
      <c r="AM32" s="1050">
        <v>37477.099179042401</v>
      </c>
      <c r="AN32" s="1049">
        <v>495438</v>
      </c>
      <c r="AO32" s="1050">
        <v>356.98111661199999</v>
      </c>
      <c r="AP32" s="1049">
        <v>155966</v>
      </c>
      <c r="AQ32" s="1050">
        <v>67.345449140599996</v>
      </c>
      <c r="AR32" s="1049">
        <v>25775</v>
      </c>
      <c r="AS32" s="1050">
        <v>43.210230449999997</v>
      </c>
      <c r="AT32" s="1049">
        <v>177205</v>
      </c>
      <c r="AU32" s="1050">
        <v>158.93305223999999</v>
      </c>
      <c r="AV32" s="1049">
        <v>118193</v>
      </c>
      <c r="AW32" s="1050">
        <v>81.962294189999994</v>
      </c>
      <c r="AX32" s="1049" t="s">
        <v>559</v>
      </c>
      <c r="AY32" s="1049">
        <v>321173</v>
      </c>
      <c r="AZ32" s="1050">
        <v>284.10557688</v>
      </c>
      <c r="BA32" s="1072">
        <v>43213327</v>
      </c>
      <c r="BB32" s="1050">
        <v>40839.055544784002</v>
      </c>
      <c r="BC32" s="1049">
        <v>2520446</v>
      </c>
      <c r="BD32" s="1049">
        <v>37432352</v>
      </c>
      <c r="BE32" s="1049">
        <v>6542072</v>
      </c>
      <c r="BF32" s="1049">
        <f t="shared" si="6"/>
        <v>46494870</v>
      </c>
      <c r="BG32" s="1049">
        <v>8823053</v>
      </c>
      <c r="BH32" s="1049">
        <v>10550454</v>
      </c>
      <c r="BI32" s="1050">
        <v>82725.303415966002</v>
      </c>
      <c r="BJ32" s="1049">
        <v>1819374</v>
      </c>
      <c r="BK32" s="1049">
        <v>533139621</v>
      </c>
      <c r="BL32" s="1050">
        <v>122922.63718828501</v>
      </c>
      <c r="BM32" s="1049">
        <v>233127856</v>
      </c>
      <c r="BN32" s="1049">
        <v>16009</v>
      </c>
      <c r="BO32" s="1049">
        <v>13002972</v>
      </c>
      <c r="BP32" s="1050">
        <v>64775.231385403</v>
      </c>
      <c r="BQ32" s="1049">
        <v>23191503</v>
      </c>
      <c r="BR32" s="1049">
        <v>13212</v>
      </c>
      <c r="BS32" s="1049">
        <v>119617</v>
      </c>
      <c r="BT32" s="1225"/>
    </row>
    <row r="33" spans="1:72" s="180" customFormat="1" ht="11.1" customHeight="1">
      <c r="A33" s="1047" t="s">
        <v>560</v>
      </c>
      <c r="B33" s="1047">
        <v>1486429</v>
      </c>
      <c r="C33" s="1048">
        <v>148522.340252013</v>
      </c>
      <c r="D33" s="1047">
        <v>8427</v>
      </c>
      <c r="E33" s="1048">
        <v>437.52882163599998</v>
      </c>
      <c r="F33" s="1079">
        <f t="shared" si="13"/>
        <v>1494856</v>
      </c>
      <c r="G33" s="1048">
        <f t="shared" si="13"/>
        <v>148959.869073649</v>
      </c>
      <c r="H33" s="1079">
        <v>12512982</v>
      </c>
      <c r="I33" s="1048">
        <v>67523.365363285004</v>
      </c>
      <c r="J33" s="1047">
        <v>288939</v>
      </c>
      <c r="K33" s="1048">
        <v>252.61503808500001</v>
      </c>
      <c r="L33" s="1047">
        <v>8989</v>
      </c>
      <c r="M33" s="1048">
        <v>18.875976779999998</v>
      </c>
      <c r="N33" s="1047">
        <v>2368317</v>
      </c>
      <c r="O33" s="1048">
        <v>1306.5125626849999</v>
      </c>
      <c r="P33" s="1047">
        <v>265623</v>
      </c>
      <c r="Q33" s="1048">
        <v>194.89702886699999</v>
      </c>
      <c r="R33" s="1047">
        <v>1134845</v>
      </c>
      <c r="S33" s="1048">
        <v>685.20949177399996</v>
      </c>
      <c r="T33" s="1047">
        <v>194933</v>
      </c>
      <c r="U33" s="1048">
        <v>98.039011521000006</v>
      </c>
      <c r="V33" s="1047">
        <v>4261646</v>
      </c>
      <c r="W33" s="1048">
        <v>2556.1491097120002</v>
      </c>
      <c r="X33" s="1048">
        <v>9956.8133674849996</v>
      </c>
      <c r="Y33" s="1047" t="s">
        <v>560</v>
      </c>
      <c r="Z33" s="1047">
        <v>27364490</v>
      </c>
      <c r="AA33" s="1048">
        <v>29197.782540921002</v>
      </c>
      <c r="AB33" s="1047">
        <v>21044</v>
      </c>
      <c r="AC33" s="1048">
        <v>63.311351412999997</v>
      </c>
      <c r="AD33" s="1047">
        <v>2733083</v>
      </c>
      <c r="AE33" s="1048">
        <v>914.81596145799995</v>
      </c>
      <c r="AF33" s="1047">
        <v>104949</v>
      </c>
      <c r="AG33" s="1048">
        <v>70.554194229000004</v>
      </c>
      <c r="AH33" s="1047">
        <v>3484856</v>
      </c>
      <c r="AI33" s="1048">
        <v>706.95421517099999</v>
      </c>
      <c r="AJ33" s="1047">
        <v>190729</v>
      </c>
      <c r="AK33" s="1048">
        <v>73.817159567000004</v>
      </c>
      <c r="AL33" s="1047">
        <v>33899151</v>
      </c>
      <c r="AM33" s="1048">
        <v>31027.235422759</v>
      </c>
      <c r="AN33" s="1047">
        <v>476213</v>
      </c>
      <c r="AO33" s="1048">
        <v>335.76115415700002</v>
      </c>
      <c r="AP33" s="1047">
        <v>137252</v>
      </c>
      <c r="AQ33" s="1048">
        <v>61.741690036000001</v>
      </c>
      <c r="AR33" s="1047">
        <v>22080</v>
      </c>
      <c r="AS33" s="1048">
        <v>35.637000919999998</v>
      </c>
      <c r="AT33" s="1047">
        <v>64376</v>
      </c>
      <c r="AU33" s="1048">
        <v>54.877846388000002</v>
      </c>
      <c r="AV33" s="1047">
        <v>154847</v>
      </c>
      <c r="AW33" s="1048">
        <v>93.956496884000003</v>
      </c>
      <c r="AX33" s="1047" t="s">
        <v>560</v>
      </c>
      <c r="AY33" s="1047">
        <v>241303</v>
      </c>
      <c r="AZ33" s="1048">
        <v>184.471344192</v>
      </c>
      <c r="BA33" s="1079">
        <v>39015565</v>
      </c>
      <c r="BB33" s="1048">
        <v>34165.358720855998</v>
      </c>
      <c r="BC33" s="1047">
        <v>2525821</v>
      </c>
      <c r="BD33" s="1047">
        <v>37776211</v>
      </c>
      <c r="BE33" s="1047">
        <v>6942797</v>
      </c>
      <c r="BF33" s="1047">
        <f t="shared" si="6"/>
        <v>47244829</v>
      </c>
      <c r="BG33" s="1047">
        <v>9047248</v>
      </c>
      <c r="BH33" s="1047">
        <v>12002747</v>
      </c>
      <c r="BI33" s="1048">
        <v>75938.974080022002</v>
      </c>
      <c r="BJ33" s="1047">
        <v>1833656</v>
      </c>
      <c r="BK33" s="1047">
        <v>577229136</v>
      </c>
      <c r="BL33" s="1048">
        <v>137920.37199149199</v>
      </c>
      <c r="BM33" s="1047">
        <v>231570347</v>
      </c>
      <c r="BN33" s="1047">
        <v>15994</v>
      </c>
      <c r="BO33" s="1047">
        <v>10758151</v>
      </c>
      <c r="BP33" s="1048">
        <v>52679.093178386</v>
      </c>
      <c r="BQ33" s="1047">
        <v>23311566</v>
      </c>
      <c r="BR33" s="1047">
        <v>13015</v>
      </c>
      <c r="BS33" s="1047">
        <v>120167</v>
      </c>
      <c r="BT33" s="1225"/>
    </row>
    <row r="34" spans="1:72" s="180" customFormat="1" ht="11.1" customHeight="1">
      <c r="A34" s="1049" t="s">
        <v>554</v>
      </c>
      <c r="B34" s="1049">
        <v>1551621</v>
      </c>
      <c r="C34" s="1050">
        <v>147526.38426000101</v>
      </c>
      <c r="D34" s="1049">
        <v>8961</v>
      </c>
      <c r="E34" s="1050">
        <v>469.589531798</v>
      </c>
      <c r="F34" s="1049">
        <f t="shared" si="13"/>
        <v>1560582</v>
      </c>
      <c r="G34" s="1050">
        <f t="shared" si="13"/>
        <v>147995.97379179901</v>
      </c>
      <c r="H34" s="1072">
        <v>14336064</v>
      </c>
      <c r="I34" s="1050">
        <v>73493.261028526002</v>
      </c>
      <c r="J34" s="1049">
        <v>353519</v>
      </c>
      <c r="K34" s="1050">
        <v>297.36977080899999</v>
      </c>
      <c r="L34" s="1049">
        <v>9470</v>
      </c>
      <c r="M34" s="1050">
        <v>18.321098142499999</v>
      </c>
      <c r="N34" s="1049">
        <v>2804621</v>
      </c>
      <c r="O34" s="1050">
        <v>1505.597446856</v>
      </c>
      <c r="P34" s="1049">
        <v>312557</v>
      </c>
      <c r="Q34" s="1050">
        <v>189.40766879</v>
      </c>
      <c r="R34" s="1049">
        <v>1299439</v>
      </c>
      <c r="S34" s="1050">
        <v>784.53123326299999</v>
      </c>
      <c r="T34" s="1049">
        <v>248392</v>
      </c>
      <c r="U34" s="1050">
        <v>122.808155525</v>
      </c>
      <c r="V34" s="1049">
        <v>5027998</v>
      </c>
      <c r="W34" s="1050">
        <v>2918.4684714744999</v>
      </c>
      <c r="X34" s="1050">
        <v>10709.386867097001</v>
      </c>
      <c r="Y34" s="1049" t="s">
        <v>554</v>
      </c>
      <c r="Z34" s="1049">
        <v>32595426</v>
      </c>
      <c r="AA34" s="1050">
        <v>32690.005881181001</v>
      </c>
      <c r="AB34" s="1049">
        <v>29344</v>
      </c>
      <c r="AC34" s="1050">
        <v>61.076697926000001</v>
      </c>
      <c r="AD34" s="1049">
        <v>3173853</v>
      </c>
      <c r="AE34" s="1050">
        <v>1070.6483947249999</v>
      </c>
      <c r="AF34" s="1049">
        <v>128149</v>
      </c>
      <c r="AG34" s="1050">
        <v>81.486303666500007</v>
      </c>
      <c r="AH34" s="1049">
        <v>3478150</v>
      </c>
      <c r="AI34" s="1050">
        <v>718.36662600700004</v>
      </c>
      <c r="AJ34" s="1049">
        <v>281738</v>
      </c>
      <c r="AK34" s="1050">
        <v>85.276200035000002</v>
      </c>
      <c r="AL34" s="1049">
        <v>39686660</v>
      </c>
      <c r="AM34" s="1050">
        <v>34706.860103540501</v>
      </c>
      <c r="AN34" s="1049">
        <v>518722</v>
      </c>
      <c r="AO34" s="1050">
        <v>342.65999271999999</v>
      </c>
      <c r="AP34" s="1049">
        <v>185123</v>
      </c>
      <c r="AQ34" s="1050">
        <v>66.323501071500004</v>
      </c>
      <c r="AR34" s="1049">
        <v>31058</v>
      </c>
      <c r="AS34" s="1050">
        <v>46.863590000000002</v>
      </c>
      <c r="AT34" s="1049">
        <v>87157</v>
      </c>
      <c r="AU34" s="1050">
        <v>81.209945954999995</v>
      </c>
      <c r="AV34" s="1049">
        <v>172952</v>
      </c>
      <c r="AW34" s="1050">
        <v>107.779630896</v>
      </c>
      <c r="AX34" s="1049" t="s">
        <v>554</v>
      </c>
      <c r="AY34" s="1049">
        <v>291167</v>
      </c>
      <c r="AZ34" s="1050">
        <v>235.853166851</v>
      </c>
      <c r="BA34" s="1072">
        <v>45709670</v>
      </c>
      <c r="BB34" s="1050">
        <v>38270.1652356575</v>
      </c>
      <c r="BC34" s="1049">
        <v>2544774</v>
      </c>
      <c r="BD34" s="1049">
        <v>38166451</v>
      </c>
      <c r="BE34" s="1049">
        <v>7111370</v>
      </c>
      <c r="BF34" s="1049">
        <f t="shared" si="6"/>
        <v>47822595</v>
      </c>
      <c r="BG34" s="1049">
        <v>9266069</v>
      </c>
      <c r="BH34" s="1049">
        <v>12974939</v>
      </c>
      <c r="BI34" s="1050">
        <v>80977.240571748</v>
      </c>
      <c r="BJ34" s="1049">
        <v>1856233</v>
      </c>
      <c r="BK34" s="1049">
        <v>591646271</v>
      </c>
      <c r="BL34" s="1050">
        <v>145067.646495953</v>
      </c>
      <c r="BM34" s="1049">
        <v>233773523</v>
      </c>
      <c r="BN34" s="1049">
        <v>15992</v>
      </c>
      <c r="BO34" s="1049">
        <v>14441273</v>
      </c>
      <c r="BP34" s="1050">
        <v>66964.149780891006</v>
      </c>
      <c r="BQ34" s="1049">
        <v>23487740</v>
      </c>
      <c r="BR34" s="1049">
        <v>13016</v>
      </c>
      <c r="BS34" s="1049">
        <v>120375</v>
      </c>
      <c r="BT34" s="1225"/>
    </row>
    <row r="35" spans="1:72" s="180" customFormat="1" ht="11.1" customHeight="1">
      <c r="A35" s="1047" t="s">
        <v>561</v>
      </c>
      <c r="B35" s="1047">
        <v>1784216</v>
      </c>
      <c r="C35" s="1048">
        <v>167222.623535305</v>
      </c>
      <c r="D35" s="1047">
        <v>9499</v>
      </c>
      <c r="E35" s="1048">
        <v>513.09347571700005</v>
      </c>
      <c r="F35" s="1047">
        <f t="shared" si="13"/>
        <v>1793715</v>
      </c>
      <c r="G35" s="1048">
        <f t="shared" si="13"/>
        <v>167735.717011022</v>
      </c>
      <c r="H35" s="1079">
        <v>22108236</v>
      </c>
      <c r="I35" s="1048">
        <v>74015.069871240994</v>
      </c>
      <c r="J35" s="1047">
        <v>365388</v>
      </c>
      <c r="K35" s="1048">
        <v>311.89071071299998</v>
      </c>
      <c r="L35" s="1047">
        <v>10663</v>
      </c>
      <c r="M35" s="1048">
        <v>20.8323246478</v>
      </c>
      <c r="N35" s="1047">
        <v>2933500</v>
      </c>
      <c r="O35" s="1048">
        <v>1615.42211681</v>
      </c>
      <c r="P35" s="1047">
        <v>344573</v>
      </c>
      <c r="Q35" s="1048">
        <v>269.97448478450002</v>
      </c>
      <c r="R35" s="1047">
        <v>1362803</v>
      </c>
      <c r="S35" s="1048">
        <v>844.706614016</v>
      </c>
      <c r="T35" s="1047">
        <v>265232</v>
      </c>
      <c r="U35" s="1048">
        <v>129.39512157690001</v>
      </c>
      <c r="V35" s="1047">
        <v>5282159</v>
      </c>
      <c r="W35" s="1048">
        <v>3192.2213725482002</v>
      </c>
      <c r="X35" s="1048">
        <v>10901.879098275</v>
      </c>
      <c r="Y35" s="1047" t="s">
        <v>561</v>
      </c>
      <c r="Z35" s="1047">
        <v>35281518</v>
      </c>
      <c r="AA35" s="1048">
        <v>35169.744486331001</v>
      </c>
      <c r="AB35" s="1047">
        <v>27335</v>
      </c>
      <c r="AC35" s="1048">
        <v>65.282027241600005</v>
      </c>
      <c r="AD35" s="1047">
        <v>3231858</v>
      </c>
      <c r="AE35" s="1048">
        <v>1082.549725696</v>
      </c>
      <c r="AF35" s="1047">
        <v>138384</v>
      </c>
      <c r="AG35" s="1048">
        <v>88.703496205999997</v>
      </c>
      <c r="AH35" s="1047">
        <v>3568882</v>
      </c>
      <c r="AI35" s="1048">
        <v>741.05904766000003</v>
      </c>
      <c r="AJ35" s="1047">
        <v>299906</v>
      </c>
      <c r="AK35" s="1048">
        <v>85.304881245999994</v>
      </c>
      <c r="AL35" s="1047">
        <v>42547883</v>
      </c>
      <c r="AM35" s="1048">
        <v>37232.643664380601</v>
      </c>
      <c r="AN35" s="1047">
        <v>543488</v>
      </c>
      <c r="AO35" s="1048">
        <v>369.67059490299999</v>
      </c>
      <c r="AP35" s="1047">
        <v>184600</v>
      </c>
      <c r="AQ35" s="1048">
        <v>67.568553334599997</v>
      </c>
      <c r="AR35" s="1047">
        <v>36189</v>
      </c>
      <c r="AS35" s="1048">
        <v>55.57441</v>
      </c>
      <c r="AT35" s="1047">
        <v>94211</v>
      </c>
      <c r="AU35" s="1048">
        <v>93.177525509999995</v>
      </c>
      <c r="AV35" s="1047">
        <v>191805</v>
      </c>
      <c r="AW35" s="1048">
        <v>123.993465181</v>
      </c>
      <c r="AX35" s="1047" t="s">
        <v>561</v>
      </c>
      <c r="AY35" s="1047">
        <v>322205</v>
      </c>
      <c r="AZ35" s="1048">
        <v>272.74540069099999</v>
      </c>
      <c r="BA35" s="1079">
        <v>48880335</v>
      </c>
      <c r="BB35" s="1048">
        <v>41134.849585857402</v>
      </c>
      <c r="BC35" s="1047">
        <v>2571521</v>
      </c>
      <c r="BD35" s="1047">
        <v>38496738</v>
      </c>
      <c r="BE35" s="1047">
        <v>7164627</v>
      </c>
      <c r="BF35" s="1047">
        <f t="shared" si="6"/>
        <v>48232886</v>
      </c>
      <c r="BG35" s="1047">
        <v>9516602</v>
      </c>
      <c r="BH35" s="1047">
        <v>14315964</v>
      </c>
      <c r="BI35" s="1048">
        <v>87971.820423255005</v>
      </c>
      <c r="BJ35" s="1047">
        <v>1876837</v>
      </c>
      <c r="BK35" s="1047">
        <v>643725445</v>
      </c>
      <c r="BL35" s="1048">
        <v>154857.31946673701</v>
      </c>
      <c r="BM35" s="1047">
        <v>235704713</v>
      </c>
      <c r="BN35" s="1047">
        <v>15963</v>
      </c>
      <c r="BO35" s="1047">
        <v>13676303</v>
      </c>
      <c r="BP35" s="1048">
        <v>65646.808581375997</v>
      </c>
      <c r="BQ35" s="1047">
        <v>23697723</v>
      </c>
      <c r="BR35" s="1047">
        <v>13021</v>
      </c>
      <c r="BS35" s="1047">
        <v>121134</v>
      </c>
      <c r="BT35" s="1225"/>
    </row>
    <row r="36" spans="1:72" s="180" customFormat="1" ht="11.1" customHeight="1">
      <c r="A36" s="1049" t="s">
        <v>562</v>
      </c>
      <c r="B36" s="1049">
        <v>1551916</v>
      </c>
      <c r="C36" s="1050">
        <v>146584.75882705199</v>
      </c>
      <c r="D36" s="1049">
        <v>7981</v>
      </c>
      <c r="E36" s="1050">
        <v>407.42057054999998</v>
      </c>
      <c r="F36" s="1049">
        <f t="shared" si="13"/>
        <v>1559897</v>
      </c>
      <c r="G36" s="1050">
        <f t="shared" si="13"/>
        <v>146992.17939760198</v>
      </c>
      <c r="H36" s="1072">
        <v>20804427</v>
      </c>
      <c r="I36" s="1050">
        <v>66482.159511631005</v>
      </c>
      <c r="J36" s="1049">
        <v>379828</v>
      </c>
      <c r="K36" s="1050">
        <v>315.295314469</v>
      </c>
      <c r="L36" s="1049">
        <v>9344</v>
      </c>
      <c r="M36" s="1050">
        <v>17.515681415</v>
      </c>
      <c r="N36" s="1049">
        <v>2892894</v>
      </c>
      <c r="O36" s="1050">
        <v>1544.9606310700001</v>
      </c>
      <c r="P36" s="1049">
        <v>298384</v>
      </c>
      <c r="Q36" s="1050">
        <v>221.96398890200001</v>
      </c>
      <c r="R36" s="1049">
        <v>1380825</v>
      </c>
      <c r="S36" s="1050">
        <v>872.46414211000001</v>
      </c>
      <c r="T36" s="1049">
        <v>258542</v>
      </c>
      <c r="U36" s="1050">
        <v>127.416812642</v>
      </c>
      <c r="V36" s="1049">
        <v>5219817</v>
      </c>
      <c r="W36" s="1050">
        <v>3099.6165706080001</v>
      </c>
      <c r="X36" s="1050">
        <v>11042.344115533</v>
      </c>
      <c r="Y36" s="1049" t="s">
        <v>562</v>
      </c>
      <c r="Z36" s="1049">
        <v>34930174</v>
      </c>
      <c r="AA36" s="1050">
        <v>34604.735000015004</v>
      </c>
      <c r="AB36" s="1049">
        <v>25248</v>
      </c>
      <c r="AC36" s="1050">
        <v>64.046994241999997</v>
      </c>
      <c r="AD36" s="1049">
        <v>3116923</v>
      </c>
      <c r="AE36" s="1050">
        <v>1039.926718381</v>
      </c>
      <c r="AF36" s="1049">
        <v>124943</v>
      </c>
      <c r="AG36" s="1050">
        <v>79.676479121</v>
      </c>
      <c r="AH36" s="1049">
        <v>3465419</v>
      </c>
      <c r="AI36" s="1050">
        <v>677.84959575699997</v>
      </c>
      <c r="AJ36" s="1049">
        <v>312149</v>
      </c>
      <c r="AK36" s="1050">
        <v>99.970536215999999</v>
      </c>
      <c r="AL36" s="1049">
        <v>41974856</v>
      </c>
      <c r="AM36" s="1050">
        <v>36566.205323732</v>
      </c>
      <c r="AN36" s="1049">
        <v>534219</v>
      </c>
      <c r="AO36" s="1050">
        <v>366.412324055</v>
      </c>
      <c r="AP36" s="1049">
        <v>170201</v>
      </c>
      <c r="AQ36" s="1050">
        <v>61.746814849000003</v>
      </c>
      <c r="AR36" s="1049">
        <v>39619</v>
      </c>
      <c r="AS36" s="1050">
        <v>60.472973000000003</v>
      </c>
      <c r="AT36" s="1049">
        <v>113307</v>
      </c>
      <c r="AU36" s="1050">
        <v>131.125285424</v>
      </c>
      <c r="AV36" s="1049">
        <v>189197</v>
      </c>
      <c r="AW36" s="1050">
        <v>121.69662990099999</v>
      </c>
      <c r="AX36" s="1049" t="s">
        <v>562</v>
      </c>
      <c r="AY36" s="1049">
        <v>342123</v>
      </c>
      <c r="AZ36" s="1050">
        <v>313.29488832499999</v>
      </c>
      <c r="BA36" s="1072">
        <v>48241216</v>
      </c>
      <c r="BB36" s="1050">
        <v>40407.275921569002</v>
      </c>
      <c r="BC36" s="1049">
        <v>2612063</v>
      </c>
      <c r="BD36" s="1049">
        <v>39193282</v>
      </c>
      <c r="BE36" s="1049">
        <v>7365236</v>
      </c>
      <c r="BF36" s="1049">
        <f t="shared" si="6"/>
        <v>49170581</v>
      </c>
      <c r="BG36" s="1049">
        <v>9568932</v>
      </c>
      <c r="BH36" s="1049">
        <v>13939858</v>
      </c>
      <c r="BI36" s="1050">
        <v>88569.994198739005</v>
      </c>
      <c r="BJ36" s="1049">
        <v>1896636</v>
      </c>
      <c r="BK36" s="1049">
        <v>652101737</v>
      </c>
      <c r="BL36" s="1050">
        <v>156787.74285406599</v>
      </c>
      <c r="BM36" s="1049">
        <v>237312515</v>
      </c>
      <c r="BN36" s="1049">
        <v>15957</v>
      </c>
      <c r="BO36" s="1049">
        <v>16028632</v>
      </c>
      <c r="BP36" s="1050">
        <v>67031.555693931004</v>
      </c>
      <c r="BQ36" s="1049">
        <v>23885686</v>
      </c>
      <c r="BR36" s="1049">
        <v>13003</v>
      </c>
      <c r="BS36" s="1049">
        <v>123251</v>
      </c>
      <c r="BT36" s="1225"/>
    </row>
    <row r="37" spans="1:72" s="180" customFormat="1" ht="11.1" customHeight="1">
      <c r="A37" s="1047" t="s">
        <v>555</v>
      </c>
      <c r="B37" s="1047">
        <v>1700018</v>
      </c>
      <c r="C37" s="1048">
        <v>169361.615527683</v>
      </c>
      <c r="D37" s="1047">
        <v>7909</v>
      </c>
      <c r="E37" s="1048">
        <v>400.06020109999997</v>
      </c>
      <c r="F37" s="1079">
        <f t="shared" si="13"/>
        <v>1707927</v>
      </c>
      <c r="G37" s="1048">
        <f t="shared" si="13"/>
        <v>169761.67572878298</v>
      </c>
      <c r="H37" s="1079">
        <v>17450117</v>
      </c>
      <c r="I37" s="1048">
        <v>75175.774627047998</v>
      </c>
      <c r="J37" s="1047">
        <v>411774</v>
      </c>
      <c r="K37" s="1048">
        <v>352.25078053599998</v>
      </c>
      <c r="L37" s="1047">
        <v>9881</v>
      </c>
      <c r="M37" s="1048">
        <v>19.664529341000001</v>
      </c>
      <c r="N37" s="1047">
        <v>3123897</v>
      </c>
      <c r="O37" s="1048">
        <v>1726.461457609</v>
      </c>
      <c r="P37" s="1047">
        <v>309769</v>
      </c>
      <c r="Q37" s="1048">
        <v>247.21729769199999</v>
      </c>
      <c r="R37" s="1047">
        <v>1509374</v>
      </c>
      <c r="S37" s="1048">
        <v>1040.3283317119999</v>
      </c>
      <c r="T37" s="1047">
        <v>273311</v>
      </c>
      <c r="U37" s="1048">
        <v>146.17928572</v>
      </c>
      <c r="V37" s="1047">
        <v>5638006</v>
      </c>
      <c r="W37" s="1048">
        <v>3532.1016826099999</v>
      </c>
      <c r="X37" s="1048">
        <v>11388.681704131001</v>
      </c>
      <c r="Y37" s="1047" t="s">
        <v>555</v>
      </c>
      <c r="Z37" s="1047">
        <v>37291400</v>
      </c>
      <c r="AA37" s="1048">
        <v>38422.895182146</v>
      </c>
      <c r="AB37" s="1047">
        <v>30720</v>
      </c>
      <c r="AC37" s="1048">
        <v>85.467642897000005</v>
      </c>
      <c r="AD37" s="1047">
        <v>3377097</v>
      </c>
      <c r="AE37" s="1048">
        <v>1173.559112182</v>
      </c>
      <c r="AF37" s="1047">
        <v>131380</v>
      </c>
      <c r="AG37" s="1048">
        <v>88.950890060999996</v>
      </c>
      <c r="AH37" s="1047">
        <v>3598063</v>
      </c>
      <c r="AI37" s="1048">
        <v>760.50684917399997</v>
      </c>
      <c r="AJ37" s="1047">
        <v>413883</v>
      </c>
      <c r="AK37" s="1048">
        <v>171.42786662899999</v>
      </c>
      <c r="AL37" s="1047">
        <v>44842543</v>
      </c>
      <c r="AM37" s="1048">
        <v>40702.807543089002</v>
      </c>
      <c r="AN37" s="1047">
        <v>562651</v>
      </c>
      <c r="AO37" s="1048">
        <v>380.560338785</v>
      </c>
      <c r="AP37" s="1047">
        <v>183321</v>
      </c>
      <c r="AQ37" s="1048">
        <v>75.803964808000003</v>
      </c>
      <c r="AR37" s="1047">
        <v>42390</v>
      </c>
      <c r="AS37" s="1048">
        <v>66.645790000000005</v>
      </c>
      <c r="AT37" s="1047">
        <v>149108</v>
      </c>
      <c r="AU37" s="1048">
        <v>149.91616861700001</v>
      </c>
      <c r="AV37" s="1047">
        <v>214433</v>
      </c>
      <c r="AW37" s="1048">
        <v>147.86639612100001</v>
      </c>
      <c r="AX37" s="1047" t="s">
        <v>555</v>
      </c>
      <c r="AY37" s="1047">
        <v>405931</v>
      </c>
      <c r="AZ37" s="1048">
        <v>364.428354738</v>
      </c>
      <c r="BA37" s="1079">
        <v>51632452</v>
      </c>
      <c r="BB37" s="1048">
        <v>45055.701884030001</v>
      </c>
      <c r="BC37" s="1047">
        <v>2674512</v>
      </c>
      <c r="BD37" s="1047">
        <v>39574049</v>
      </c>
      <c r="BE37" s="1047">
        <v>7544985</v>
      </c>
      <c r="BF37" s="1047">
        <f t="shared" si="6"/>
        <v>49793546</v>
      </c>
      <c r="BG37" s="1047">
        <v>10032957</v>
      </c>
      <c r="BH37" s="1047">
        <v>15570815</v>
      </c>
      <c r="BI37" s="1048">
        <v>98917.722013167004</v>
      </c>
      <c r="BJ37" s="1047">
        <v>1828870</v>
      </c>
      <c r="BK37" s="1047">
        <v>670050218</v>
      </c>
      <c r="BL37" s="1048">
        <v>164739.359350796</v>
      </c>
      <c r="BM37" s="1047">
        <v>238676153</v>
      </c>
      <c r="BN37" s="1047">
        <v>16019</v>
      </c>
      <c r="BO37" s="1047">
        <v>14406492</v>
      </c>
      <c r="BP37" s="1048">
        <v>75876.757687566002</v>
      </c>
      <c r="BQ37" s="1047">
        <v>24077039</v>
      </c>
      <c r="BR37" s="1047">
        <v>12859</v>
      </c>
      <c r="BS37" s="1047">
        <v>125641</v>
      </c>
      <c r="BT37" s="1225"/>
    </row>
    <row r="38" spans="1:72" s="180" customFormat="1" ht="11.1" customHeight="1">
      <c r="A38" s="1049" t="s">
        <v>563</v>
      </c>
      <c r="B38" s="1049">
        <v>1782308</v>
      </c>
      <c r="C38" s="1050">
        <v>175781.73256490199</v>
      </c>
      <c r="D38" s="1049">
        <v>8010</v>
      </c>
      <c r="E38" s="1050">
        <v>540.86600092599997</v>
      </c>
      <c r="F38" s="1049">
        <f t="shared" si="13"/>
        <v>1790318</v>
      </c>
      <c r="G38" s="1050">
        <f t="shared" si="13"/>
        <v>176322.598565828</v>
      </c>
      <c r="H38" s="1072">
        <v>29839489</v>
      </c>
      <c r="I38" s="1050">
        <v>77394.584595598004</v>
      </c>
      <c r="J38" s="1049">
        <v>414212</v>
      </c>
      <c r="K38" s="1050">
        <v>339.66773769999998</v>
      </c>
      <c r="L38" s="1049">
        <v>8623</v>
      </c>
      <c r="M38" s="1050">
        <v>18.341230639999999</v>
      </c>
      <c r="N38" s="1049">
        <v>2972314</v>
      </c>
      <c r="O38" s="1050">
        <v>1684.496177</v>
      </c>
      <c r="P38" s="1049">
        <v>276218</v>
      </c>
      <c r="Q38" s="1050">
        <v>208.3357785</v>
      </c>
      <c r="R38" s="1049">
        <v>1482469</v>
      </c>
      <c r="S38" s="1050">
        <v>1021.723892</v>
      </c>
      <c r="T38" s="1049">
        <v>257348</v>
      </c>
      <c r="U38" s="1050">
        <v>124.2730601</v>
      </c>
      <c r="V38" s="1049">
        <v>5411184</v>
      </c>
      <c r="W38" s="1050">
        <v>3396.8378760000001</v>
      </c>
      <c r="X38" s="1050">
        <v>11488.19743</v>
      </c>
      <c r="Y38" s="1049" t="s">
        <v>563</v>
      </c>
      <c r="Z38" s="1049">
        <v>34981152</v>
      </c>
      <c r="AA38" s="1050">
        <v>37119.134639999997</v>
      </c>
      <c r="AB38" s="1049">
        <v>20287</v>
      </c>
      <c r="AC38" s="1050">
        <v>52.868198030000002</v>
      </c>
      <c r="AD38" s="1049">
        <v>3163300</v>
      </c>
      <c r="AE38" s="1050">
        <v>1108.9625860000001</v>
      </c>
      <c r="AF38" s="1049">
        <v>116131</v>
      </c>
      <c r="AG38" s="1050">
        <v>82.873753440000002</v>
      </c>
      <c r="AH38" s="1049">
        <v>3814078</v>
      </c>
      <c r="AI38" s="1050">
        <v>818.41131110000003</v>
      </c>
      <c r="AJ38" s="1049">
        <v>363091</v>
      </c>
      <c r="AK38" s="1050">
        <v>135.37291160000001</v>
      </c>
      <c r="AL38" s="1049">
        <v>42458039</v>
      </c>
      <c r="AM38" s="1050">
        <v>39317.623399999997</v>
      </c>
      <c r="AN38" s="1049">
        <v>585157</v>
      </c>
      <c r="AO38" s="1050">
        <v>423.47096929999998</v>
      </c>
      <c r="AP38" s="1049">
        <v>176184</v>
      </c>
      <c r="AQ38" s="1050">
        <v>59.055934530000002</v>
      </c>
      <c r="AR38" s="1049">
        <v>46897</v>
      </c>
      <c r="AS38" s="1050">
        <v>75.572730000000007</v>
      </c>
      <c r="AT38" s="1049">
        <v>166339</v>
      </c>
      <c r="AU38" s="1050">
        <v>164.5601408</v>
      </c>
      <c r="AV38" s="1049">
        <v>218790</v>
      </c>
      <c r="AW38" s="1050">
        <v>157.06514079999999</v>
      </c>
      <c r="AX38" s="1049" t="s">
        <v>563</v>
      </c>
      <c r="AY38" s="1049">
        <v>432026</v>
      </c>
      <c r="AZ38" s="1050">
        <v>397.19801159999997</v>
      </c>
      <c r="BA38" s="1072">
        <v>49062590</v>
      </c>
      <c r="BB38" s="1050">
        <v>43594.186199999996</v>
      </c>
      <c r="BC38" s="1049">
        <v>2706098</v>
      </c>
      <c r="BD38" s="1049">
        <v>40093882</v>
      </c>
      <c r="BE38" s="1049">
        <v>7547244</v>
      </c>
      <c r="BF38" s="1049">
        <f t="shared" si="6"/>
        <v>50347224</v>
      </c>
      <c r="BG38" s="1049">
        <v>10297103</v>
      </c>
      <c r="BH38" s="1049">
        <v>17168234</v>
      </c>
      <c r="BI38" s="1050">
        <v>104749.557414544</v>
      </c>
      <c r="BJ38" s="1049">
        <v>1841979</v>
      </c>
      <c r="BK38" s="1049">
        <v>721866474</v>
      </c>
      <c r="BL38" s="1050">
        <v>171664.11689614801</v>
      </c>
      <c r="BM38" s="1049">
        <v>239302991</v>
      </c>
      <c r="BN38" s="1049">
        <v>15912</v>
      </c>
      <c r="BO38" s="1049">
        <v>16257689</v>
      </c>
      <c r="BP38" s="1050">
        <v>66265.454218568004</v>
      </c>
      <c r="BQ38" s="1049">
        <v>24277971</v>
      </c>
      <c r="BR38" s="1049">
        <v>12946</v>
      </c>
      <c r="BS38" s="1049">
        <v>125569</v>
      </c>
      <c r="BT38" s="1225"/>
    </row>
    <row r="39" spans="1:72" s="180" customFormat="1" ht="11.1" customHeight="1">
      <c r="A39" s="1047" t="s">
        <v>564</v>
      </c>
      <c r="B39" s="1047">
        <v>1607362</v>
      </c>
      <c r="C39" s="1048">
        <v>152970.590845233</v>
      </c>
      <c r="D39" s="1047">
        <v>7956</v>
      </c>
      <c r="E39" s="1048">
        <v>488.61617434999999</v>
      </c>
      <c r="F39" s="1047">
        <f t="shared" si="13"/>
        <v>1615318</v>
      </c>
      <c r="G39" s="1048">
        <f t="shared" si="13"/>
        <v>153459.207019583</v>
      </c>
      <c r="H39" s="1079">
        <v>24269787</v>
      </c>
      <c r="I39" s="1048">
        <v>72238.931316867995</v>
      </c>
      <c r="J39" s="1047">
        <v>358660</v>
      </c>
      <c r="K39" s="1048">
        <v>306.75011166399997</v>
      </c>
      <c r="L39" s="1047">
        <v>7699</v>
      </c>
      <c r="M39" s="1048">
        <v>15.575237184000001</v>
      </c>
      <c r="N39" s="1047">
        <v>2794769</v>
      </c>
      <c r="O39" s="1048">
        <v>1568.715638051</v>
      </c>
      <c r="P39" s="1047">
        <v>260381</v>
      </c>
      <c r="Q39" s="1048">
        <v>206.138310628</v>
      </c>
      <c r="R39" s="1047">
        <v>1346407</v>
      </c>
      <c r="S39" s="1048">
        <v>905.72765960599997</v>
      </c>
      <c r="T39" s="1047">
        <v>241623</v>
      </c>
      <c r="U39" s="1048">
        <v>114.2011336275</v>
      </c>
      <c r="V39" s="1047">
        <v>5009539</v>
      </c>
      <c r="W39" s="1048">
        <v>3117.1080907605001</v>
      </c>
      <c r="X39" s="1048">
        <v>11022.309787718999</v>
      </c>
      <c r="Y39" s="1047" t="s">
        <v>564</v>
      </c>
      <c r="Z39" s="1047">
        <v>36130110</v>
      </c>
      <c r="AA39" s="1048">
        <v>38794.239598756998</v>
      </c>
      <c r="AB39" s="1047">
        <v>16350</v>
      </c>
      <c r="AC39" s="1048">
        <v>38.064032615999999</v>
      </c>
      <c r="AD39" s="1047">
        <v>3116695</v>
      </c>
      <c r="AE39" s="1048">
        <v>1097.6653042089999</v>
      </c>
      <c r="AF39" s="1047">
        <v>102669</v>
      </c>
      <c r="AG39" s="1048">
        <v>71.050870553500005</v>
      </c>
      <c r="AH39" s="1047">
        <v>3553563</v>
      </c>
      <c r="AI39" s="1048">
        <v>709.04006068900003</v>
      </c>
      <c r="AJ39" s="1047">
        <v>319197</v>
      </c>
      <c r="AK39" s="1048">
        <v>102.64008423849999</v>
      </c>
      <c r="AL39" s="1047">
        <v>43238584</v>
      </c>
      <c r="AM39" s="1048">
        <v>40812.699951062998</v>
      </c>
      <c r="AN39" s="1047">
        <v>541629</v>
      </c>
      <c r="AO39" s="1048">
        <v>385.60754300899998</v>
      </c>
      <c r="AP39" s="1047">
        <v>159180</v>
      </c>
      <c r="AQ39" s="1048">
        <v>56.721950145500003</v>
      </c>
      <c r="AR39" s="1047">
        <v>44482</v>
      </c>
      <c r="AS39" s="1048">
        <v>71.537580000000005</v>
      </c>
      <c r="AT39" s="1047">
        <v>139513</v>
      </c>
      <c r="AU39" s="1048">
        <v>142.87158448599999</v>
      </c>
      <c r="AV39" s="1047">
        <v>219959</v>
      </c>
      <c r="AW39" s="1048">
        <v>158.91692510799999</v>
      </c>
      <c r="AX39" s="1047" t="s">
        <v>564</v>
      </c>
      <c r="AY39" s="1047">
        <v>403954</v>
      </c>
      <c r="AZ39" s="1048">
        <v>373.326089594</v>
      </c>
      <c r="BA39" s="1079">
        <v>49352886</v>
      </c>
      <c r="BB39" s="1048">
        <v>44745.463624572003</v>
      </c>
      <c r="BC39" s="1047">
        <v>2653977</v>
      </c>
      <c r="BD39" s="1047">
        <v>40346611</v>
      </c>
      <c r="BE39" s="1047">
        <v>7562366</v>
      </c>
      <c r="BF39" s="1047">
        <f t="shared" si="6"/>
        <v>50562954</v>
      </c>
      <c r="BG39" s="1047">
        <v>10550673</v>
      </c>
      <c r="BH39" s="1047">
        <v>16404594</v>
      </c>
      <c r="BI39" s="1048">
        <v>96693.111662405994</v>
      </c>
      <c r="BJ39" s="1047">
        <v>1856192</v>
      </c>
      <c r="BK39" s="1047">
        <v>674798192</v>
      </c>
      <c r="BL39" s="1048">
        <v>159080.67996414599</v>
      </c>
      <c r="BM39" s="1047">
        <v>240466334</v>
      </c>
      <c r="BN39" s="1047">
        <v>15860</v>
      </c>
      <c r="BO39" s="1047">
        <v>12941874</v>
      </c>
      <c r="BP39" s="1048">
        <v>62274.926111312998</v>
      </c>
      <c r="BQ39" s="1047">
        <v>24476356</v>
      </c>
      <c r="BR39" s="1047">
        <v>12930</v>
      </c>
      <c r="BS39" s="1047">
        <v>127027</v>
      </c>
      <c r="BT39" s="1225"/>
    </row>
    <row r="40" spans="1:72" s="181" customFormat="1" ht="11.1" customHeight="1">
      <c r="A40" s="1049" t="s">
        <v>556</v>
      </c>
      <c r="B40" s="1049">
        <v>1779648</v>
      </c>
      <c r="C40" s="1050">
        <v>173415.81950630996</v>
      </c>
      <c r="D40" s="1049">
        <v>6606</v>
      </c>
      <c r="E40" s="1050">
        <v>299.87862177400001</v>
      </c>
      <c r="F40" s="1049">
        <f t="shared" si="13"/>
        <v>1786254</v>
      </c>
      <c r="G40" s="1050">
        <f t="shared" si="13"/>
        <v>173715.69812808395</v>
      </c>
      <c r="H40" s="1072">
        <v>26704190</v>
      </c>
      <c r="I40" s="1050">
        <v>81803.014150110001</v>
      </c>
      <c r="J40" s="1049">
        <v>369791</v>
      </c>
      <c r="K40" s="1050">
        <v>320.69928483699999</v>
      </c>
      <c r="L40" s="1049">
        <v>7234</v>
      </c>
      <c r="M40" s="1050">
        <v>14.020713096</v>
      </c>
      <c r="N40" s="1049">
        <v>3637142</v>
      </c>
      <c r="O40" s="1050">
        <v>2151.4661617289999</v>
      </c>
      <c r="P40" s="1049">
        <v>259068</v>
      </c>
      <c r="Q40" s="1050">
        <v>183.24927581899999</v>
      </c>
      <c r="R40" s="1049">
        <v>1404467</v>
      </c>
      <c r="S40" s="1050">
        <v>1003.062096597</v>
      </c>
      <c r="T40" s="1049">
        <v>268645</v>
      </c>
      <c r="U40" s="1050">
        <v>130.33293929499999</v>
      </c>
      <c r="V40" s="1049">
        <v>5946347</v>
      </c>
      <c r="W40" s="1050">
        <v>3802.8304713729999</v>
      </c>
      <c r="X40" s="1050">
        <v>11638.087528440001</v>
      </c>
      <c r="Y40" s="1049" t="s">
        <v>556</v>
      </c>
      <c r="Z40" s="1049">
        <v>48026496</v>
      </c>
      <c r="AA40" s="1050">
        <v>53934.444755320001</v>
      </c>
      <c r="AB40" s="1049">
        <v>17222</v>
      </c>
      <c r="AC40" s="1050">
        <v>42.136883277000003</v>
      </c>
      <c r="AD40" s="1049">
        <v>4150511</v>
      </c>
      <c r="AE40" s="1050">
        <v>1527.5973951650001</v>
      </c>
      <c r="AF40" s="1049">
        <v>96090</v>
      </c>
      <c r="AG40" s="1050">
        <v>66.050845855999995</v>
      </c>
      <c r="AH40" s="1049">
        <v>4068088</v>
      </c>
      <c r="AI40" s="1050">
        <v>870.47701000999996</v>
      </c>
      <c r="AJ40" s="1049">
        <v>368016</v>
      </c>
      <c r="AK40" s="1050">
        <v>116.07115252449999</v>
      </c>
      <c r="AL40" s="1049">
        <v>56726423</v>
      </c>
      <c r="AM40" s="1050">
        <v>56556.778042152502</v>
      </c>
      <c r="AN40" s="1049">
        <v>780134</v>
      </c>
      <c r="AO40" s="1050">
        <v>561.37965057199995</v>
      </c>
      <c r="AP40" s="1049">
        <v>161614</v>
      </c>
      <c r="AQ40" s="1050">
        <v>62.250953715500003</v>
      </c>
      <c r="AR40" s="1049">
        <v>47671</v>
      </c>
      <c r="AS40" s="1050">
        <v>77.050550000000001</v>
      </c>
      <c r="AT40" s="1049">
        <v>114332</v>
      </c>
      <c r="AU40" s="1050">
        <v>113.698889459</v>
      </c>
      <c r="AV40" s="1049">
        <v>274181</v>
      </c>
      <c r="AW40" s="1050">
        <v>195.33497023800001</v>
      </c>
      <c r="AX40" s="1049" t="s">
        <v>556</v>
      </c>
      <c r="AY40" s="1049">
        <v>436184</v>
      </c>
      <c r="AZ40" s="1050">
        <v>386.08440969700001</v>
      </c>
      <c r="BA40" s="1072">
        <v>64050702</v>
      </c>
      <c r="BB40" s="1050">
        <v>61369.323527510001</v>
      </c>
      <c r="BC40" s="1049">
        <v>2571551</v>
      </c>
      <c r="BD40" s="1049">
        <v>40632468</v>
      </c>
      <c r="BE40" s="1049">
        <v>7934167</v>
      </c>
      <c r="BF40" s="1049">
        <f t="shared" si="6"/>
        <v>51138186</v>
      </c>
      <c r="BG40" s="1049">
        <v>10781863</v>
      </c>
      <c r="BH40" s="1049">
        <v>25308927</v>
      </c>
      <c r="BI40" s="1050">
        <v>131326.97720948901</v>
      </c>
      <c r="BJ40" s="1049">
        <v>1420593</v>
      </c>
      <c r="BK40" s="1049">
        <v>638367114</v>
      </c>
      <c r="BL40" s="1050">
        <v>178127.919919576</v>
      </c>
      <c r="BM40" s="1049">
        <v>143627028</v>
      </c>
      <c r="BN40" s="1049">
        <v>15838</v>
      </c>
      <c r="BO40" s="1049">
        <v>17188649</v>
      </c>
      <c r="BP40" s="1050">
        <v>70536.573365638993</v>
      </c>
      <c r="BQ40" s="1049">
        <v>24662272</v>
      </c>
      <c r="BR40" s="1049">
        <v>12937</v>
      </c>
      <c r="BS40" s="1049">
        <v>129133</v>
      </c>
      <c r="BT40" s="1321"/>
    </row>
    <row r="41" spans="1:72" s="181" customFormat="1" ht="11.1" customHeight="1">
      <c r="A41" s="1047" t="s">
        <v>565</v>
      </c>
      <c r="B41" s="1047">
        <v>1395025</v>
      </c>
      <c r="C41" s="1048">
        <v>146690.47269416798</v>
      </c>
      <c r="D41" s="1047">
        <v>6590</v>
      </c>
      <c r="E41" s="1048">
        <v>284.35962164</v>
      </c>
      <c r="F41" s="1079">
        <f t="shared" si="13"/>
        <v>1401615</v>
      </c>
      <c r="G41" s="1048">
        <f t="shared" si="13"/>
        <v>146974.83231580799</v>
      </c>
      <c r="H41" s="1079">
        <v>24448298</v>
      </c>
      <c r="I41" s="1048">
        <v>71250.688548911989</v>
      </c>
      <c r="J41" s="1047">
        <v>359461</v>
      </c>
      <c r="K41" s="1048">
        <v>292.98460663499998</v>
      </c>
      <c r="L41" s="1047">
        <v>6912</v>
      </c>
      <c r="M41" s="1048">
        <v>15.559994749999998</v>
      </c>
      <c r="N41" s="1047">
        <v>2857545</v>
      </c>
      <c r="O41" s="1048">
        <v>1567.3205367289997</v>
      </c>
      <c r="P41" s="1047">
        <v>382943</v>
      </c>
      <c r="Q41" s="1048">
        <v>290.19074767100011</v>
      </c>
      <c r="R41" s="1047">
        <v>1427239</v>
      </c>
      <c r="S41" s="1048">
        <v>991.46985080400009</v>
      </c>
      <c r="T41" s="1047">
        <v>277385</v>
      </c>
      <c r="U41" s="1048">
        <v>131.15565502499999</v>
      </c>
      <c r="V41" s="1047">
        <v>5311485</v>
      </c>
      <c r="W41" s="1048">
        <v>3288.6813916140004</v>
      </c>
      <c r="X41" s="1048">
        <v>11809.231575021</v>
      </c>
      <c r="Y41" s="1047" t="s">
        <v>565</v>
      </c>
      <c r="Z41" s="1047">
        <v>34518548</v>
      </c>
      <c r="AA41" s="1048">
        <v>35651.432406504988</v>
      </c>
      <c r="AB41" s="1047">
        <v>18409</v>
      </c>
      <c r="AC41" s="1048">
        <v>42.114095600999995</v>
      </c>
      <c r="AD41" s="1047">
        <v>3378034</v>
      </c>
      <c r="AE41" s="1048">
        <v>1106.678259069</v>
      </c>
      <c r="AF41" s="1047">
        <v>113762</v>
      </c>
      <c r="AG41" s="1048">
        <v>80.056443896999994</v>
      </c>
      <c r="AH41" s="1047">
        <v>3751940</v>
      </c>
      <c r="AI41" s="1048">
        <v>744.6834263799999</v>
      </c>
      <c r="AJ41" s="1047">
        <v>345874</v>
      </c>
      <c r="AK41" s="1048">
        <v>110.214314855</v>
      </c>
      <c r="AL41" s="1047">
        <v>42126567</v>
      </c>
      <c r="AM41" s="1048">
        <v>37735.178946306994</v>
      </c>
      <c r="AN41" s="1047">
        <v>549881</v>
      </c>
      <c r="AO41" s="1048">
        <v>325.14652321600005</v>
      </c>
      <c r="AP41" s="1047">
        <v>159190</v>
      </c>
      <c r="AQ41" s="1048">
        <v>58.888954548499996</v>
      </c>
      <c r="AR41" s="1047">
        <v>39640</v>
      </c>
      <c r="AS41" s="1048">
        <v>62.886839999999992</v>
      </c>
      <c r="AT41" s="1047">
        <v>119151</v>
      </c>
      <c r="AU41" s="1048">
        <v>108.74114676000002</v>
      </c>
      <c r="AV41" s="1047">
        <v>210515</v>
      </c>
      <c r="AW41" s="1048">
        <v>135.86485813399997</v>
      </c>
      <c r="AX41" s="1047" t="s">
        <v>565</v>
      </c>
      <c r="AY41" s="1047">
        <v>369306</v>
      </c>
      <c r="AZ41" s="1048">
        <v>307.49284489399997</v>
      </c>
      <c r="BA41" s="1079">
        <v>48516429</v>
      </c>
      <c r="BB41" s="1048">
        <v>41715.388660579491</v>
      </c>
      <c r="BC41" s="1047">
        <v>2575501</v>
      </c>
      <c r="BD41" s="1047">
        <v>41507024</v>
      </c>
      <c r="BE41" s="1047">
        <v>7635853</v>
      </c>
      <c r="BF41" s="1047">
        <f t="shared" si="6"/>
        <v>51718378</v>
      </c>
      <c r="BG41" s="1047">
        <v>10725063</v>
      </c>
      <c r="BH41" s="1047">
        <v>16617033</v>
      </c>
      <c r="BI41" s="1048">
        <v>99465.191843246997</v>
      </c>
      <c r="BJ41" s="1047">
        <v>1424521</v>
      </c>
      <c r="BK41" s="1047">
        <v>554303573</v>
      </c>
      <c r="BL41" s="1048">
        <v>125035.70072412099</v>
      </c>
      <c r="BM41" s="1047">
        <v>144174115</v>
      </c>
      <c r="BN41" s="1047">
        <v>15843</v>
      </c>
      <c r="BO41" s="1047">
        <v>12173706</v>
      </c>
      <c r="BP41" s="1048">
        <v>61698.184743721991</v>
      </c>
      <c r="BQ41" s="1047">
        <v>24499751</v>
      </c>
      <c r="BR41" s="1047">
        <v>12929</v>
      </c>
      <c r="BS41" s="1047">
        <v>130332</v>
      </c>
      <c r="BT41" s="1321"/>
    </row>
    <row r="42" spans="1:72" s="181" customFormat="1" ht="11.1" customHeight="1">
      <c r="A42" s="1049" t="s">
        <v>566</v>
      </c>
      <c r="B42" s="1049">
        <v>1674266</v>
      </c>
      <c r="C42" s="1050">
        <v>164489.14560123201</v>
      </c>
      <c r="D42" s="1049">
        <v>7847</v>
      </c>
      <c r="E42" s="1049">
        <v>346.6</v>
      </c>
      <c r="F42" s="1049">
        <f t="shared" si="13"/>
        <v>1682113</v>
      </c>
      <c r="G42" s="1050">
        <f>E42+C42</f>
        <v>164835.74560123202</v>
      </c>
      <c r="H42" s="1072">
        <v>32466685</v>
      </c>
      <c r="I42" s="1050">
        <v>85285.142973528986</v>
      </c>
      <c r="J42" s="1049">
        <v>365078</v>
      </c>
      <c r="K42" s="1050">
        <v>306.97234649399996</v>
      </c>
      <c r="L42" s="1049">
        <v>8172</v>
      </c>
      <c r="M42" s="1050">
        <v>16.667651973799998</v>
      </c>
      <c r="N42" s="1049">
        <v>2999092</v>
      </c>
      <c r="O42" s="1050">
        <v>1758.4923490220001</v>
      </c>
      <c r="P42" s="1049">
        <v>325120</v>
      </c>
      <c r="Q42" s="1050">
        <v>233.3550593672</v>
      </c>
      <c r="R42" s="1049">
        <v>1467766</v>
      </c>
      <c r="S42" s="1050">
        <v>1050.5322467789999</v>
      </c>
      <c r="T42" s="1049">
        <v>289632</v>
      </c>
      <c r="U42" s="1050">
        <v>139.30042522300002</v>
      </c>
      <c r="V42" s="1049">
        <v>5454860</v>
      </c>
      <c r="W42" s="1050">
        <v>3505.3200788589993</v>
      </c>
      <c r="X42" s="1050">
        <v>11879.007553578998</v>
      </c>
      <c r="Y42" s="1049" t="s">
        <v>566</v>
      </c>
      <c r="Z42" s="1049">
        <v>40963221</v>
      </c>
      <c r="AA42" s="1050">
        <v>44294.133263299991</v>
      </c>
      <c r="AB42" s="1049">
        <v>17785</v>
      </c>
      <c r="AC42" s="1050">
        <v>41.673626498000004</v>
      </c>
      <c r="AD42" s="1049">
        <v>3593550</v>
      </c>
      <c r="AE42" s="1050">
        <v>1213.0837708890001</v>
      </c>
      <c r="AF42" s="1049">
        <v>110610</v>
      </c>
      <c r="AG42" s="1050">
        <v>75.876061661500003</v>
      </c>
      <c r="AH42" s="1049">
        <v>4036819</v>
      </c>
      <c r="AI42" s="1050">
        <v>833.64210660499998</v>
      </c>
      <c r="AJ42" s="1049">
        <v>424079</v>
      </c>
      <c r="AK42" s="1050">
        <v>140.77105442049998</v>
      </c>
      <c r="AL42" s="1049">
        <v>49146064</v>
      </c>
      <c r="AM42" s="1050">
        <v>46599.179883373989</v>
      </c>
      <c r="AN42" s="1049">
        <v>716258</v>
      </c>
      <c r="AO42" s="1050">
        <v>481.906322832</v>
      </c>
      <c r="AP42" s="1049">
        <v>192007</v>
      </c>
      <c r="AQ42" s="1050">
        <v>65.228614977199996</v>
      </c>
      <c r="AR42" s="1049">
        <v>44858</v>
      </c>
      <c r="AS42" s="1050">
        <v>67.378879999999995</v>
      </c>
      <c r="AT42" s="1049">
        <v>123972</v>
      </c>
      <c r="AU42" s="1050">
        <v>146.24615476599999</v>
      </c>
      <c r="AV42" s="1049">
        <v>243539</v>
      </c>
      <c r="AW42" s="1050">
        <v>140.45735474200001</v>
      </c>
      <c r="AX42" s="1049" t="s">
        <v>566</v>
      </c>
      <c r="AY42" s="1049">
        <v>412369</v>
      </c>
      <c r="AZ42" s="1050">
        <v>354.08238950800001</v>
      </c>
      <c r="BA42" s="1072">
        <v>55921558</v>
      </c>
      <c r="BB42" s="1050">
        <v>51005.717289550186</v>
      </c>
      <c r="BC42" s="1049">
        <v>2577763</v>
      </c>
      <c r="BD42" s="1049">
        <v>41830524</v>
      </c>
      <c r="BE42" s="1049">
        <v>7986257</v>
      </c>
      <c r="BF42" s="1049">
        <f t="shared" si="6"/>
        <v>52394544</v>
      </c>
      <c r="BG42" s="1049">
        <v>11161910</v>
      </c>
      <c r="BH42" s="1049">
        <v>19288046</v>
      </c>
      <c r="BI42" s="1050">
        <v>99618.194652445003</v>
      </c>
      <c r="BJ42" s="1049">
        <v>1428589</v>
      </c>
      <c r="BK42" s="1049">
        <v>613271750</v>
      </c>
      <c r="BL42" s="1050">
        <v>154852.73878239898</v>
      </c>
      <c r="BM42" s="1049">
        <v>144998590</v>
      </c>
      <c r="BN42" s="1049">
        <v>15898</v>
      </c>
      <c r="BO42" s="1049">
        <v>15120882.949999999</v>
      </c>
      <c r="BP42" s="1050">
        <v>68642.962358190998</v>
      </c>
      <c r="BQ42" s="1049">
        <v>25187059</v>
      </c>
      <c r="BR42" s="1049">
        <v>12925</v>
      </c>
      <c r="BS42" s="1049">
        <v>133150</v>
      </c>
      <c r="BT42" s="1321"/>
    </row>
    <row r="43" spans="1:72" s="181" customFormat="1" ht="11.1" customHeight="1">
      <c r="A43" s="1047" t="s">
        <v>557</v>
      </c>
      <c r="B43" s="1047">
        <v>1572368</v>
      </c>
      <c r="C43" s="1048">
        <v>170634.27365194593</v>
      </c>
      <c r="D43" s="1047">
        <v>8022</v>
      </c>
      <c r="E43" s="1048">
        <v>193.71388239000001</v>
      </c>
      <c r="F43" s="1047">
        <f t="shared" si="13"/>
        <v>1580390</v>
      </c>
      <c r="G43" s="1048">
        <f>E43+C43</f>
        <v>170827.98753433593</v>
      </c>
      <c r="H43" s="1079">
        <v>41059989</v>
      </c>
      <c r="I43" s="1048">
        <v>86661.995574218003</v>
      </c>
      <c r="J43" s="1047">
        <v>358171</v>
      </c>
      <c r="K43" s="1048">
        <v>304.92340300699999</v>
      </c>
      <c r="L43" s="1047">
        <v>10237</v>
      </c>
      <c r="M43" s="1048">
        <v>25.371138221999999</v>
      </c>
      <c r="N43" s="1047">
        <v>2968838</v>
      </c>
      <c r="O43" s="1048">
        <v>1635.036982949</v>
      </c>
      <c r="P43" s="1047">
        <v>450719</v>
      </c>
      <c r="Q43" s="1048">
        <v>349.66039633299999</v>
      </c>
      <c r="R43" s="1047">
        <v>1335633</v>
      </c>
      <c r="S43" s="1048">
        <v>1067.2863788699999</v>
      </c>
      <c r="T43" s="1047">
        <v>291857</v>
      </c>
      <c r="U43" s="1048">
        <v>142.69014062700001</v>
      </c>
      <c r="V43" s="1047">
        <v>5415455</v>
      </c>
      <c r="W43" s="1048">
        <v>3524.968440008</v>
      </c>
      <c r="X43" s="1048">
        <v>12217.306967338</v>
      </c>
      <c r="Y43" s="1047" t="s">
        <v>557</v>
      </c>
      <c r="Z43" s="1047">
        <v>37324602</v>
      </c>
      <c r="AA43" s="1048">
        <v>41850.527760981</v>
      </c>
      <c r="AB43" s="1047">
        <v>20108</v>
      </c>
      <c r="AC43" s="1048">
        <v>46.642603874999999</v>
      </c>
      <c r="AD43" s="1047">
        <v>3498842</v>
      </c>
      <c r="AE43" s="1048">
        <v>1269.8283084879999</v>
      </c>
      <c r="AF43" s="1047">
        <v>129212</v>
      </c>
      <c r="AG43" s="1048">
        <v>99.499397047000002</v>
      </c>
      <c r="AH43" s="1047">
        <v>3911224</v>
      </c>
      <c r="AI43" s="1048">
        <v>747.045406877</v>
      </c>
      <c r="AJ43" s="1047">
        <v>365831</v>
      </c>
      <c r="AK43" s="1048">
        <v>138.1112167</v>
      </c>
      <c r="AL43" s="1047">
        <v>45249819</v>
      </c>
      <c r="AM43" s="1048">
        <v>44151.654693967997</v>
      </c>
      <c r="AN43" s="1047">
        <v>628196</v>
      </c>
      <c r="AO43" s="1048">
        <v>459.57075326400002</v>
      </c>
      <c r="AP43" s="1047">
        <v>153974</v>
      </c>
      <c r="AQ43" s="1048">
        <v>64.236696486</v>
      </c>
      <c r="AR43" s="1047">
        <v>40913</v>
      </c>
      <c r="AS43" s="1048">
        <v>61.792149999999999</v>
      </c>
      <c r="AT43" s="1047">
        <v>119586</v>
      </c>
      <c r="AU43" s="1048">
        <v>111.991942694</v>
      </c>
      <c r="AV43" s="1047">
        <v>222801</v>
      </c>
      <c r="AW43" s="1048">
        <v>128.913375425</v>
      </c>
      <c r="AX43" s="1047" t="s">
        <v>557</v>
      </c>
      <c r="AY43" s="1047">
        <v>383300</v>
      </c>
      <c r="AZ43" s="1048">
        <v>302.69746811900001</v>
      </c>
      <c r="BA43" s="1079">
        <v>51830744</v>
      </c>
      <c r="BB43" s="1048">
        <v>48503.128051845</v>
      </c>
      <c r="BC43" s="1047">
        <v>2946233</v>
      </c>
      <c r="BD43" s="1047">
        <v>43151639</v>
      </c>
      <c r="BE43" s="1047">
        <v>7039117</v>
      </c>
      <c r="BF43" s="1047">
        <f t="shared" si="6"/>
        <v>53136989</v>
      </c>
      <c r="BG43" s="1047">
        <v>11366563</v>
      </c>
      <c r="BH43" s="1047">
        <v>18305024</v>
      </c>
      <c r="BI43" s="1048">
        <v>104935.02852792801</v>
      </c>
      <c r="BJ43" s="1047">
        <v>1436434</v>
      </c>
      <c r="BK43" s="1047">
        <v>592322699</v>
      </c>
      <c r="BL43" s="1048">
        <v>146351.82302921699</v>
      </c>
      <c r="BM43" s="1047">
        <v>145641488</v>
      </c>
      <c r="BN43" s="1047">
        <v>15373</v>
      </c>
      <c r="BO43" s="1047">
        <v>16721989</v>
      </c>
      <c r="BP43" s="1048">
        <v>62785.42266258</v>
      </c>
      <c r="BQ43" s="1047">
        <v>24406197</v>
      </c>
      <c r="BR43" s="1047">
        <v>12918</v>
      </c>
      <c r="BS43" s="1047">
        <v>133178</v>
      </c>
      <c r="BT43" s="1321"/>
    </row>
    <row r="44" spans="1:72" s="181" customFormat="1" ht="11.1" customHeight="1">
      <c r="A44" s="1322" t="s">
        <v>2790</v>
      </c>
      <c r="B44" s="1049"/>
      <c r="C44" s="1050"/>
      <c r="D44" s="1049"/>
      <c r="E44" s="1049"/>
      <c r="F44" s="1049"/>
      <c r="G44" s="1050"/>
      <c r="H44" s="1072"/>
      <c r="I44" s="1050"/>
      <c r="J44" s="1049"/>
      <c r="K44" s="1050"/>
      <c r="L44" s="1049"/>
      <c r="M44" s="1050"/>
      <c r="N44" s="1049"/>
      <c r="O44" s="1050"/>
      <c r="P44" s="1049"/>
      <c r="Q44" s="1050"/>
      <c r="R44" s="1049"/>
      <c r="S44" s="1050"/>
      <c r="T44" s="1049"/>
      <c r="U44" s="1050"/>
      <c r="V44" s="1049"/>
      <c r="W44" s="1050"/>
      <c r="X44" s="1050"/>
      <c r="Y44" s="1322" t="s">
        <v>2790</v>
      </c>
      <c r="Z44" s="1049"/>
      <c r="AA44" s="1050"/>
      <c r="AB44" s="1049"/>
      <c r="AC44" s="1050"/>
      <c r="AD44" s="1049"/>
      <c r="AE44" s="1050"/>
      <c r="AF44" s="1049"/>
      <c r="AG44" s="1050"/>
      <c r="AH44" s="1049"/>
      <c r="AI44" s="1050"/>
      <c r="AJ44" s="1049"/>
      <c r="AK44" s="1050"/>
      <c r="AL44" s="1049"/>
      <c r="AM44" s="1050"/>
      <c r="AN44" s="1049"/>
      <c r="AO44" s="1050"/>
      <c r="AP44" s="1049"/>
      <c r="AQ44" s="1050"/>
      <c r="AR44" s="1049"/>
      <c r="AS44" s="1050"/>
      <c r="AT44" s="1049"/>
      <c r="AU44" s="1050"/>
      <c r="AV44" s="1049"/>
      <c r="AW44" s="1050"/>
      <c r="AX44" s="1322" t="s">
        <v>2790</v>
      </c>
      <c r="AY44" s="1049"/>
      <c r="AZ44" s="1050"/>
      <c r="BA44" s="1072"/>
      <c r="BB44" s="1050"/>
      <c r="BC44" s="1049"/>
      <c r="BD44" s="1049"/>
      <c r="BE44" s="1049"/>
      <c r="BF44" s="1049"/>
      <c r="BG44" s="1049"/>
      <c r="BH44" s="1049"/>
      <c r="BI44" s="1050"/>
      <c r="BJ44" s="1049"/>
      <c r="BK44" s="1049"/>
      <c r="BL44" s="1050"/>
      <c r="BM44" s="1049"/>
      <c r="BN44" s="1049"/>
      <c r="BO44" s="1049"/>
      <c r="BP44" s="1050"/>
      <c r="BQ44" s="1049"/>
      <c r="BR44" s="1049"/>
      <c r="BS44" s="1049"/>
      <c r="BT44" s="1321"/>
    </row>
    <row r="45" spans="1:72" s="181" customFormat="1" ht="11.1" customHeight="1">
      <c r="A45" s="1047" t="s">
        <v>559</v>
      </c>
      <c r="B45" s="1047">
        <v>1599932</v>
      </c>
      <c r="C45" s="1048">
        <v>157862.556959512</v>
      </c>
      <c r="D45" s="1047">
        <v>8441</v>
      </c>
      <c r="E45" s="1048">
        <v>186.29435487000001</v>
      </c>
      <c r="F45" s="1047">
        <f t="shared" si="13"/>
        <v>1608373</v>
      </c>
      <c r="G45" s="1048">
        <f>E45+C45</f>
        <v>158048.85131438202</v>
      </c>
      <c r="H45" s="1079">
        <v>41067971</v>
      </c>
      <c r="I45" s="1048">
        <v>87811.527011782004</v>
      </c>
      <c r="J45" s="1047">
        <v>375273</v>
      </c>
      <c r="K45" s="1048">
        <v>311.44610531199999</v>
      </c>
      <c r="L45" s="1047">
        <v>8304</v>
      </c>
      <c r="M45" s="1048">
        <v>16.535123172399999</v>
      </c>
      <c r="N45" s="1047">
        <v>3179129</v>
      </c>
      <c r="O45" s="1048">
        <v>1852.654123908</v>
      </c>
      <c r="P45" s="1047">
        <v>386697</v>
      </c>
      <c r="Q45" s="1048">
        <v>289.23879058770001</v>
      </c>
      <c r="R45" s="1047">
        <v>1207466</v>
      </c>
      <c r="S45" s="1048">
        <v>885.24754472400002</v>
      </c>
      <c r="T45" s="1047">
        <v>323455</v>
      </c>
      <c r="U45" s="1048">
        <v>153.75808022769999</v>
      </c>
      <c r="V45" s="1047">
        <v>5480324</v>
      </c>
      <c r="W45" s="1048">
        <v>3508.8797679318</v>
      </c>
      <c r="X45" s="1048">
        <v>12217.831576410999</v>
      </c>
      <c r="Y45" s="1047" t="s">
        <v>559</v>
      </c>
      <c r="Z45" s="1047">
        <v>37765661</v>
      </c>
      <c r="AA45" s="1048">
        <v>41696.47755001</v>
      </c>
      <c r="AB45" s="1047">
        <v>18432</v>
      </c>
      <c r="AC45" s="1048">
        <v>42.794006952499998</v>
      </c>
      <c r="AD45" s="1047">
        <v>3647147</v>
      </c>
      <c r="AE45" s="1048">
        <v>1196.9288318829999</v>
      </c>
      <c r="AF45" s="1047">
        <v>135177</v>
      </c>
      <c r="AG45" s="1048">
        <v>93.041138607199997</v>
      </c>
      <c r="AH45" s="1047">
        <v>3177445</v>
      </c>
      <c r="AI45" s="1048">
        <v>581.65981115</v>
      </c>
      <c r="AJ45" s="1047">
        <v>452609</v>
      </c>
      <c r="AK45" s="1048">
        <v>192.6825256635</v>
      </c>
      <c r="AL45" s="1047">
        <v>45196471</v>
      </c>
      <c r="AM45" s="1048">
        <v>43803.583864266198</v>
      </c>
      <c r="AN45" s="1047">
        <v>412465</v>
      </c>
      <c r="AO45" s="1048">
        <v>390.82259022400001</v>
      </c>
      <c r="AP45" s="1047">
        <v>11665</v>
      </c>
      <c r="AQ45" s="1048">
        <v>11.650109473700001</v>
      </c>
      <c r="AR45" s="1047">
        <v>41047</v>
      </c>
      <c r="AS45" s="1048">
        <v>61.327469999999998</v>
      </c>
      <c r="AT45" s="1047">
        <v>127118</v>
      </c>
      <c r="AU45" s="1048">
        <v>132.83519913000001</v>
      </c>
      <c r="AV45" s="1047">
        <v>251945</v>
      </c>
      <c r="AW45" s="1048">
        <v>141.11370831400001</v>
      </c>
      <c r="AX45" s="1047" t="s">
        <v>559</v>
      </c>
      <c r="AY45" s="1047">
        <v>420110</v>
      </c>
      <c r="AZ45" s="1048">
        <v>335.27637744399999</v>
      </c>
      <c r="BA45" s="1079">
        <v>51521035</v>
      </c>
      <c r="BB45" s="1048">
        <v>48050.212709339699</v>
      </c>
      <c r="BC45" s="1047">
        <v>2979489</v>
      </c>
      <c r="BD45" s="1047">
        <v>44082562</v>
      </c>
      <c r="BE45" s="1047">
        <v>9825359</v>
      </c>
      <c r="BF45" s="1047">
        <f>BC45+BD45+BE45</f>
        <v>56887410</v>
      </c>
      <c r="BG45" s="1047">
        <v>11642594</v>
      </c>
      <c r="BH45" s="1047">
        <v>20361782</v>
      </c>
      <c r="BI45" s="1048">
        <v>113470.25018894501</v>
      </c>
      <c r="BJ45" s="1047">
        <v>1442007</v>
      </c>
      <c r="BK45" s="1047">
        <v>625295220</v>
      </c>
      <c r="BL45" s="1048">
        <v>148566.62480855899</v>
      </c>
      <c r="BM45" s="1047">
        <v>145825056</v>
      </c>
      <c r="BN45" s="1047">
        <v>15342</v>
      </c>
      <c r="BO45" s="1047">
        <v>13946868</v>
      </c>
      <c r="BP45" s="1048">
        <v>65402.491000000002</v>
      </c>
      <c r="BQ45" s="1047">
        <v>24616822</v>
      </c>
      <c r="BR45" s="1047">
        <v>12814</v>
      </c>
      <c r="BS45" s="1047">
        <v>134327</v>
      </c>
      <c r="BT45" s="1321"/>
    </row>
    <row r="46" spans="1:72" s="181" customFormat="1" ht="11.1" customHeight="1">
      <c r="A46" s="1049" t="s">
        <v>560</v>
      </c>
      <c r="B46" s="1049">
        <v>1511562</v>
      </c>
      <c r="C46" s="1050">
        <v>144540.22213074501</v>
      </c>
      <c r="D46" s="1049">
        <v>6632</v>
      </c>
      <c r="E46" s="1050">
        <v>252.13247107000001</v>
      </c>
      <c r="F46" s="1049">
        <f t="shared" si="13"/>
        <v>1518194</v>
      </c>
      <c r="G46" s="1050">
        <f>E46+C46</f>
        <v>144792.35460181502</v>
      </c>
      <c r="H46" s="1072">
        <v>16240007</v>
      </c>
      <c r="I46" s="1050">
        <v>69470.731684391998</v>
      </c>
      <c r="J46" s="1049">
        <v>437240</v>
      </c>
      <c r="K46" s="1050">
        <v>372.07729776999997</v>
      </c>
      <c r="L46" s="1049">
        <v>6835</v>
      </c>
      <c r="M46" s="1050">
        <v>15.90362199786</v>
      </c>
      <c r="N46" s="1049">
        <v>3406437</v>
      </c>
      <c r="O46" s="1050">
        <v>1909.858418925</v>
      </c>
      <c r="P46" s="1049">
        <v>375155</v>
      </c>
      <c r="Q46" s="1050">
        <v>273.79869985049999</v>
      </c>
      <c r="R46" s="1049">
        <v>1325620</v>
      </c>
      <c r="S46" s="1050">
        <v>1044.152157446</v>
      </c>
      <c r="T46" s="1049">
        <v>310353</v>
      </c>
      <c r="U46" s="1050">
        <v>145.00379950530001</v>
      </c>
      <c r="V46" s="1049">
        <v>5861640</v>
      </c>
      <c r="W46" s="1050">
        <v>3760.7939954946601</v>
      </c>
      <c r="X46" s="1050">
        <v>12392.700568492</v>
      </c>
      <c r="Y46" s="1049" t="s">
        <v>560</v>
      </c>
      <c r="Z46" s="1049">
        <v>38733387</v>
      </c>
      <c r="AA46" s="1050">
        <v>38617.307035263002</v>
      </c>
      <c r="AB46" s="1049">
        <v>19846</v>
      </c>
      <c r="AC46" s="1050">
        <v>45.990203174999998</v>
      </c>
      <c r="AD46" s="1049">
        <v>3899214</v>
      </c>
      <c r="AE46" s="1050">
        <v>1279.6237408909999</v>
      </c>
      <c r="AF46" s="1049">
        <v>141795</v>
      </c>
      <c r="AG46" s="1050">
        <v>92.462346917000005</v>
      </c>
      <c r="AH46" s="1049">
        <v>3688316</v>
      </c>
      <c r="AI46" s="1050">
        <v>609.03027412699998</v>
      </c>
      <c r="AJ46" s="1049">
        <v>464635</v>
      </c>
      <c r="AK46" s="1050">
        <v>203.15478869699999</v>
      </c>
      <c r="AL46" s="1049">
        <v>46947193</v>
      </c>
      <c r="AM46" s="1050">
        <v>40847.568389070002</v>
      </c>
      <c r="AN46" s="1049">
        <v>577908</v>
      </c>
      <c r="AO46" s="1050">
        <v>416.92239135599999</v>
      </c>
      <c r="AP46" s="1049">
        <v>187065</v>
      </c>
      <c r="AQ46" s="1050">
        <v>64.688959681979995</v>
      </c>
      <c r="AR46" s="1049">
        <v>41513</v>
      </c>
      <c r="AS46" s="1050">
        <v>62.38796</v>
      </c>
      <c r="AT46" s="1049">
        <v>119121</v>
      </c>
      <c r="AU46" s="1050">
        <v>108.97973099399999</v>
      </c>
      <c r="AV46" s="1049">
        <v>264436</v>
      </c>
      <c r="AW46" s="1050">
        <v>136.899334767</v>
      </c>
      <c r="AX46" s="1049" t="s">
        <v>560</v>
      </c>
      <c r="AY46" s="1049">
        <v>425070</v>
      </c>
      <c r="AZ46" s="1050">
        <v>308.26702576100001</v>
      </c>
      <c r="BA46" s="1072">
        <v>53998876</v>
      </c>
      <c r="BB46" s="1050">
        <v>45398.240761363602</v>
      </c>
      <c r="BC46" s="1049">
        <v>3008436</v>
      </c>
      <c r="BD46" s="1049">
        <v>44993654</v>
      </c>
      <c r="BE46" s="1049">
        <v>9994907</v>
      </c>
      <c r="BF46" s="1049">
        <f t="shared" ref="BF46:BF52" si="14">BC46+BD46+BE46</f>
        <v>57996997</v>
      </c>
      <c r="BG46" s="1049">
        <v>11963735</v>
      </c>
      <c r="BH46" s="1049">
        <v>21234251</v>
      </c>
      <c r="BI46" s="1050">
        <v>111667.097575793</v>
      </c>
      <c r="BJ46" s="1049">
        <v>1441156</v>
      </c>
      <c r="BK46" s="1049">
        <v>653592222</v>
      </c>
      <c r="BL46" s="1050">
        <v>151123.645042497</v>
      </c>
      <c r="BM46" s="1049">
        <v>146464063</v>
      </c>
      <c r="BN46" s="1049">
        <v>15346</v>
      </c>
      <c r="BO46" s="1049">
        <v>13314605</v>
      </c>
      <c r="BP46" s="1050">
        <v>63571.173717846003</v>
      </c>
      <c r="BQ46" s="1049">
        <v>24863366</v>
      </c>
      <c r="BR46" s="1049">
        <v>12801</v>
      </c>
      <c r="BS46" s="1049">
        <v>134615</v>
      </c>
      <c r="BT46" s="1321"/>
    </row>
    <row r="47" spans="1:72" s="181" customFormat="1" ht="11.1" customHeight="1">
      <c r="A47" s="1047" t="s">
        <v>554</v>
      </c>
      <c r="B47" s="1047">
        <v>1511562</v>
      </c>
      <c r="C47" s="1048">
        <v>144540.22213074501</v>
      </c>
      <c r="D47" s="1047">
        <v>6897</v>
      </c>
      <c r="E47" s="1048">
        <v>177.13499999999999</v>
      </c>
      <c r="F47" s="1047">
        <f t="shared" si="13"/>
        <v>1518459</v>
      </c>
      <c r="G47" s="1048">
        <f>E47+C47</f>
        <v>144717.35713074502</v>
      </c>
      <c r="H47" s="1079">
        <v>15746700</v>
      </c>
      <c r="I47" s="1048">
        <v>74816.953000000009</v>
      </c>
      <c r="J47" s="1047">
        <v>461687</v>
      </c>
      <c r="K47" s="1048">
        <v>406.27558069899999</v>
      </c>
      <c r="L47" s="1047">
        <v>6903</v>
      </c>
      <c r="M47" s="1048">
        <v>15.396472680700001</v>
      </c>
      <c r="N47" s="1047">
        <v>3523773</v>
      </c>
      <c r="O47" s="1048">
        <v>1975.6577413570001</v>
      </c>
      <c r="P47" s="1047">
        <v>406646</v>
      </c>
      <c r="Q47" s="1048">
        <v>294.14496199360002</v>
      </c>
      <c r="R47" s="1047">
        <v>1296548</v>
      </c>
      <c r="S47" s="1048">
        <v>958.67237527700001</v>
      </c>
      <c r="T47" s="1047">
        <v>321682</v>
      </c>
      <c r="U47" s="1048">
        <v>167.14675900290001</v>
      </c>
      <c r="V47" s="1047">
        <v>6017239</v>
      </c>
      <c r="W47" s="1048">
        <v>3817.2938910101998</v>
      </c>
      <c r="X47" s="1048">
        <v>11630.972811063</v>
      </c>
      <c r="Y47" s="1047" t="s">
        <v>554</v>
      </c>
      <c r="Z47" s="1047">
        <v>37616037</v>
      </c>
      <c r="AA47" s="1048">
        <v>39695.364927249997</v>
      </c>
      <c r="AB47" s="1047">
        <v>23191</v>
      </c>
      <c r="AC47" s="1048">
        <v>53.113377392319997</v>
      </c>
      <c r="AD47" s="1047">
        <v>3902652</v>
      </c>
      <c r="AE47" s="1048">
        <v>1400.1206824010001</v>
      </c>
      <c r="AF47" s="1047">
        <v>177325</v>
      </c>
      <c r="AG47" s="1048">
        <v>103.270490657</v>
      </c>
      <c r="AH47" s="1047">
        <v>3389105</v>
      </c>
      <c r="AI47" s="1048">
        <v>605.042610674</v>
      </c>
      <c r="AJ47" s="1047">
        <v>513907</v>
      </c>
      <c r="AK47" s="1048">
        <v>186.88896187509999</v>
      </c>
      <c r="AL47" s="1047">
        <v>45622217</v>
      </c>
      <c r="AM47" s="1048">
        <v>42043.8010502494</v>
      </c>
      <c r="AN47" s="1047">
        <v>578869</v>
      </c>
      <c r="AO47" s="1048">
        <v>424.27212027899998</v>
      </c>
      <c r="AP47" s="1047">
        <v>179370</v>
      </c>
      <c r="AQ47" s="1048">
        <v>67.129303256529994</v>
      </c>
      <c r="AR47" s="1047">
        <v>39852</v>
      </c>
      <c r="AS47" s="1048">
        <v>58.026769999999999</v>
      </c>
      <c r="AT47" s="1047">
        <v>106440</v>
      </c>
      <c r="AU47" s="1048">
        <v>101.047514831</v>
      </c>
      <c r="AV47" s="1047">
        <v>293757</v>
      </c>
      <c r="AW47" s="1048">
        <v>151.42616693900001</v>
      </c>
      <c r="AX47" s="1047" t="s">
        <v>554</v>
      </c>
      <c r="AY47" s="1047">
        <v>440049</v>
      </c>
      <c r="AZ47" s="1048">
        <v>310.50045176999998</v>
      </c>
      <c r="BA47" s="1079">
        <v>52837744</v>
      </c>
      <c r="BB47" s="1048">
        <v>46662.996816565203</v>
      </c>
      <c r="BC47" s="1047">
        <v>2650935</v>
      </c>
      <c r="BD47" s="1047">
        <v>42800891</v>
      </c>
      <c r="BE47" s="1047">
        <v>9720330</v>
      </c>
      <c r="BF47" s="1047">
        <f t="shared" si="14"/>
        <v>55172156</v>
      </c>
      <c r="BG47" s="1047">
        <v>12261943</v>
      </c>
      <c r="BH47" s="1047">
        <v>21778951</v>
      </c>
      <c r="BI47" s="1048">
        <v>108628.06299999999</v>
      </c>
      <c r="BJ47" s="1047">
        <v>1445169</v>
      </c>
      <c r="BK47" s="1047">
        <v>644448320</v>
      </c>
      <c r="BL47" s="1048">
        <v>153951.70199999999</v>
      </c>
      <c r="BM47" s="1047">
        <v>141775261</v>
      </c>
      <c r="BN47" s="1047">
        <v>15321</v>
      </c>
      <c r="BO47" s="1047">
        <v>13610375</v>
      </c>
      <c r="BP47" s="1048">
        <v>66965.959566225007</v>
      </c>
      <c r="BQ47" s="1047">
        <v>25107164</v>
      </c>
      <c r="BR47" s="1047">
        <v>12849</v>
      </c>
      <c r="BS47" s="1047">
        <v>136309</v>
      </c>
      <c r="BT47" s="1321"/>
    </row>
    <row r="48" spans="1:72" s="181" customFormat="1" ht="11.1" customHeight="1">
      <c r="A48" s="1049" t="s">
        <v>561</v>
      </c>
      <c r="B48" s="1049">
        <v>1523144</v>
      </c>
      <c r="C48" s="1050">
        <v>139165.72778526001</v>
      </c>
      <c r="D48" s="1049">
        <v>6691</v>
      </c>
      <c r="E48" s="1050">
        <v>242.25942832000001</v>
      </c>
      <c r="F48" s="1049">
        <f t="shared" ref="F48:F50" si="15">B48+D48</f>
        <v>1529835</v>
      </c>
      <c r="G48" s="1050">
        <f t="shared" ref="G48:G50" si="16">E48+C48</f>
        <v>139407.98721358</v>
      </c>
      <c r="H48" s="1072">
        <v>27306554</v>
      </c>
      <c r="I48" s="1050">
        <v>70629.457559830989</v>
      </c>
      <c r="J48" s="1049">
        <v>460579</v>
      </c>
      <c r="K48" s="1050">
        <v>400.05180861400004</v>
      </c>
      <c r="L48" s="1049">
        <v>7911</v>
      </c>
      <c r="M48" s="1050">
        <v>18.1575957919</v>
      </c>
      <c r="N48" s="1049">
        <v>3541846</v>
      </c>
      <c r="O48" s="1050">
        <v>2187.1645293470001</v>
      </c>
      <c r="P48" s="1049">
        <v>443765</v>
      </c>
      <c r="Q48" s="1050">
        <v>335.77329013500008</v>
      </c>
      <c r="R48" s="1049">
        <v>1317584</v>
      </c>
      <c r="S48" s="1050">
        <v>967.62526595099985</v>
      </c>
      <c r="T48" s="1049">
        <v>333468</v>
      </c>
      <c r="U48" s="1050">
        <v>151.16118712619999</v>
      </c>
      <c r="V48" s="1049">
        <v>6105153</v>
      </c>
      <c r="W48" s="1050">
        <v>4059.9336769651004</v>
      </c>
      <c r="X48" s="1050">
        <v>11530.164889638001</v>
      </c>
      <c r="Y48" s="1049" t="s">
        <v>561</v>
      </c>
      <c r="Z48" s="1049">
        <v>38315812</v>
      </c>
      <c r="AA48" s="1050">
        <v>40700.895657729998</v>
      </c>
      <c r="AB48" s="1049">
        <v>24324</v>
      </c>
      <c r="AC48" s="1050">
        <v>53.948991626189994</v>
      </c>
      <c r="AD48" s="1049">
        <v>4173883</v>
      </c>
      <c r="AE48" s="1050">
        <v>1515.0634444269999</v>
      </c>
      <c r="AF48" s="1049">
        <v>209359</v>
      </c>
      <c r="AG48" s="1050">
        <v>288.8481601955001</v>
      </c>
      <c r="AH48" s="1049">
        <v>3334233</v>
      </c>
      <c r="AI48" s="1050">
        <v>586.76958069799991</v>
      </c>
      <c r="AJ48" s="1049">
        <v>517369</v>
      </c>
      <c r="AK48" s="1050">
        <v>167.90267424279997</v>
      </c>
      <c r="AL48" s="1049">
        <v>46574980</v>
      </c>
      <c r="AM48" s="1050">
        <v>43313.428508919496</v>
      </c>
      <c r="AN48" s="1049">
        <v>574668</v>
      </c>
      <c r="AO48" s="1050">
        <v>417.86603096400006</v>
      </c>
      <c r="AP48" s="1049">
        <v>201314</v>
      </c>
      <c r="AQ48" s="1050">
        <v>66.482342714400005</v>
      </c>
      <c r="AR48" s="1049">
        <v>42073</v>
      </c>
      <c r="AS48" s="1050">
        <v>62.544809999999998</v>
      </c>
      <c r="AT48" s="1049">
        <v>114161</v>
      </c>
      <c r="AU48" s="1050">
        <v>104.016897965</v>
      </c>
      <c r="AV48" s="1049">
        <v>51122</v>
      </c>
      <c r="AW48" s="1050">
        <v>21.938618174999998</v>
      </c>
      <c r="AX48" s="1049" t="s">
        <v>561</v>
      </c>
      <c r="AY48" s="1049">
        <v>207356</v>
      </c>
      <c r="AZ48" s="1050">
        <v>188.50032613999997</v>
      </c>
      <c r="BA48" s="1072">
        <v>53663471</v>
      </c>
      <c r="BB48" s="1050">
        <v>48046.210885702996</v>
      </c>
      <c r="BC48" s="1049">
        <v>2741767</v>
      </c>
      <c r="BD48" s="1049">
        <v>40645345</v>
      </c>
      <c r="BE48" s="1049">
        <v>9337857</v>
      </c>
      <c r="BF48" s="1049">
        <f t="shared" si="14"/>
        <v>52724969</v>
      </c>
      <c r="BG48" s="1049">
        <v>12547851</v>
      </c>
      <c r="BH48" s="1049">
        <v>22948517</v>
      </c>
      <c r="BI48" s="1050">
        <v>123083.48556929504</v>
      </c>
      <c r="BJ48" s="1049">
        <v>1465506</v>
      </c>
      <c r="BK48" s="1049">
        <v>678633515</v>
      </c>
      <c r="BL48" s="1050">
        <v>158295.75149409295</v>
      </c>
      <c r="BM48" s="1049">
        <v>142284228</v>
      </c>
      <c r="BN48" s="1049">
        <v>15349</v>
      </c>
      <c r="BO48" s="1049">
        <v>16530294</v>
      </c>
      <c r="BP48" s="1050">
        <v>66099.091784966993</v>
      </c>
      <c r="BQ48" s="1049">
        <v>25382771</v>
      </c>
      <c r="BR48" s="1049">
        <v>12792</v>
      </c>
      <c r="BS48" s="1049">
        <v>136717</v>
      </c>
      <c r="BT48" s="1321"/>
    </row>
    <row r="49" spans="1:110" s="1205" customFormat="1" ht="11.1" customHeight="1">
      <c r="A49" s="1047" t="s">
        <v>562</v>
      </c>
      <c r="B49" s="1047">
        <v>1584064</v>
      </c>
      <c r="C49" s="1048">
        <v>147318.75415785395</v>
      </c>
      <c r="D49" s="1047">
        <v>6591</v>
      </c>
      <c r="E49" s="1048">
        <v>290.60603071000003</v>
      </c>
      <c r="F49" s="1047">
        <f t="shared" si="15"/>
        <v>1590655</v>
      </c>
      <c r="G49" s="1048">
        <f t="shared" si="16"/>
        <v>147609.36018856397</v>
      </c>
      <c r="H49" s="1079">
        <v>17031013</v>
      </c>
      <c r="I49" s="1048">
        <v>73803.990267700996</v>
      </c>
      <c r="J49" s="1047">
        <v>468971</v>
      </c>
      <c r="K49" s="1048">
        <v>382.48137285900003</v>
      </c>
      <c r="L49" s="1047">
        <v>7655</v>
      </c>
      <c r="M49" s="1048">
        <v>21.942084946630004</v>
      </c>
      <c r="N49" s="1047">
        <v>3443940</v>
      </c>
      <c r="O49" s="1048">
        <v>2048.0819157750002</v>
      </c>
      <c r="P49" s="1047">
        <v>363366</v>
      </c>
      <c r="Q49" s="1048">
        <v>329.70456795179996</v>
      </c>
      <c r="R49" s="1047">
        <v>1427149</v>
      </c>
      <c r="S49" s="1048">
        <v>1078.2497508819997</v>
      </c>
      <c r="T49" s="1047">
        <v>336300</v>
      </c>
      <c r="U49" s="1048">
        <v>204.46648583780001</v>
      </c>
      <c r="V49" s="1047">
        <v>6047381</v>
      </c>
      <c r="W49" s="1048">
        <v>4064.926178252229</v>
      </c>
      <c r="X49" s="1048">
        <v>12023.173934245997</v>
      </c>
      <c r="Y49" s="1047" t="s">
        <v>562</v>
      </c>
      <c r="Z49" s="1047">
        <v>37738507</v>
      </c>
      <c r="AA49" s="1048">
        <v>40326.258886982992</v>
      </c>
      <c r="AB49" s="1047">
        <v>23070</v>
      </c>
      <c r="AC49" s="1048">
        <v>48.210516362799993</v>
      </c>
      <c r="AD49" s="1047">
        <v>3885765</v>
      </c>
      <c r="AE49" s="1048">
        <v>1241.4888597300001</v>
      </c>
      <c r="AF49" s="1047">
        <v>190897</v>
      </c>
      <c r="AG49" s="1048">
        <v>111.83377934809998</v>
      </c>
      <c r="AH49" s="1047">
        <v>3402093</v>
      </c>
      <c r="AI49" s="1048">
        <v>626.37109246199998</v>
      </c>
      <c r="AJ49" s="1047">
        <v>525324</v>
      </c>
      <c r="AK49" s="1048">
        <v>182.97801063510002</v>
      </c>
      <c r="AL49" s="1047">
        <v>45765656</v>
      </c>
      <c r="AM49" s="1048">
        <v>42537.141145520996</v>
      </c>
      <c r="AN49" s="1047">
        <v>554580</v>
      </c>
      <c r="AO49" s="1048">
        <v>413.24462087900002</v>
      </c>
      <c r="AP49" s="1047">
        <v>195347</v>
      </c>
      <c r="AQ49" s="1048">
        <v>60.852722171539995</v>
      </c>
      <c r="AR49" s="1047">
        <v>40293</v>
      </c>
      <c r="AS49" s="1048">
        <v>58.994289999999999</v>
      </c>
      <c r="AT49" s="1047">
        <v>129505</v>
      </c>
      <c r="AU49" s="1048">
        <v>123.60847838499998</v>
      </c>
      <c r="AV49" s="1047">
        <v>328678</v>
      </c>
      <c r="AW49" s="1048">
        <v>278.06085191599999</v>
      </c>
      <c r="AX49" s="1047" t="s">
        <v>562</v>
      </c>
      <c r="AY49" s="1047">
        <v>498476</v>
      </c>
      <c r="AZ49" s="1048">
        <v>460.66362030100004</v>
      </c>
      <c r="BA49" s="1079">
        <v>53061440</v>
      </c>
      <c r="BB49" s="1048">
        <v>47536.828287124765</v>
      </c>
      <c r="BC49" s="1047">
        <v>2793187</v>
      </c>
      <c r="BD49" s="1047">
        <v>40719233</v>
      </c>
      <c r="BE49" s="1047">
        <v>8977847</v>
      </c>
      <c r="BF49" s="1047">
        <f t="shared" si="14"/>
        <v>52490267</v>
      </c>
      <c r="BG49" s="1047">
        <v>12590364</v>
      </c>
      <c r="BH49" s="1047">
        <v>22433034</v>
      </c>
      <c r="BI49" s="1048">
        <v>107993.16727004902</v>
      </c>
      <c r="BJ49" s="1047">
        <v>1491161</v>
      </c>
      <c r="BK49" s="1047">
        <v>666334177</v>
      </c>
      <c r="BL49" s="1048">
        <v>158409.155376173</v>
      </c>
      <c r="BM49" s="1047">
        <v>143074976</v>
      </c>
      <c r="BN49" s="1047">
        <v>15340</v>
      </c>
      <c r="BO49" s="1047">
        <v>14276252</v>
      </c>
      <c r="BP49" s="1048">
        <v>67696.326846656011</v>
      </c>
      <c r="BQ49" s="1047">
        <v>25616672</v>
      </c>
      <c r="BR49" s="1047">
        <v>12768</v>
      </c>
      <c r="BS49" s="1047">
        <v>140167</v>
      </c>
      <c r="BT49" s="1696"/>
    </row>
    <row r="50" spans="1:110" ht="11.1" customHeight="1">
      <c r="A50" s="1049" t="s">
        <v>555</v>
      </c>
      <c r="B50" s="1049">
        <v>1600784</v>
      </c>
      <c r="C50" s="1050">
        <v>148469.95409586601</v>
      </c>
      <c r="D50" s="1049">
        <v>6687</v>
      </c>
      <c r="E50" s="1050">
        <v>2842.8917611699999</v>
      </c>
      <c r="F50" s="1049">
        <f t="shared" si="15"/>
        <v>1607471</v>
      </c>
      <c r="G50" s="1050">
        <f t="shared" si="16"/>
        <v>151312.84585703601</v>
      </c>
      <c r="H50" s="1072">
        <v>20256732</v>
      </c>
      <c r="I50" s="1050">
        <v>72386.612329633004</v>
      </c>
      <c r="J50" s="1049">
        <v>501132</v>
      </c>
      <c r="K50" s="1050">
        <v>462.7028613</v>
      </c>
      <c r="L50" s="1049">
        <v>7260</v>
      </c>
      <c r="M50" s="1050">
        <v>14.083496370000001</v>
      </c>
      <c r="N50" s="1049">
        <v>3513695</v>
      </c>
      <c r="O50" s="1050">
        <v>2189.9375180000002</v>
      </c>
      <c r="P50" s="1049">
        <v>355324</v>
      </c>
      <c r="Q50" s="1050">
        <v>246.53688059999999</v>
      </c>
      <c r="R50" s="1049">
        <v>1467281</v>
      </c>
      <c r="S50" s="1050">
        <v>1206.231096</v>
      </c>
      <c r="T50" s="1049">
        <v>317915</v>
      </c>
      <c r="U50" s="1050">
        <v>156.63308910000001</v>
      </c>
      <c r="V50" s="1049">
        <v>6162607</v>
      </c>
      <c r="W50" s="1050">
        <v>4276.124941</v>
      </c>
      <c r="X50" s="1050">
        <v>12168.02491</v>
      </c>
      <c r="Y50" s="1049" t="s">
        <v>555</v>
      </c>
      <c r="Z50" s="1049">
        <v>38339919</v>
      </c>
      <c r="AA50" s="1050">
        <v>42131.249049999999</v>
      </c>
      <c r="AB50" s="1049">
        <v>21006</v>
      </c>
      <c r="AC50" s="1050">
        <v>48.258557000000003</v>
      </c>
      <c r="AD50" s="1049">
        <v>3873688</v>
      </c>
      <c r="AE50" s="1050">
        <v>1296.8154750000001</v>
      </c>
      <c r="AF50" s="1049">
        <v>169138</v>
      </c>
      <c r="AG50" s="1050">
        <v>104.5451659</v>
      </c>
      <c r="AH50" s="1049">
        <v>4312755</v>
      </c>
      <c r="AI50" s="1050">
        <v>618.91923710000003</v>
      </c>
      <c r="AJ50" s="1049">
        <v>422224</v>
      </c>
      <c r="AK50" s="1050">
        <v>183.55454230000001</v>
      </c>
      <c r="AL50" s="1049">
        <v>47138730</v>
      </c>
      <c r="AM50" s="1050">
        <v>44383.34203</v>
      </c>
      <c r="AN50" s="1049">
        <v>573827</v>
      </c>
      <c r="AO50" s="1050">
        <v>439.3809038</v>
      </c>
      <c r="AP50" s="1049">
        <v>172693</v>
      </c>
      <c r="AQ50" s="1050">
        <v>56.03201584</v>
      </c>
      <c r="AR50" s="1049">
        <v>46817</v>
      </c>
      <c r="AS50" s="1050">
        <v>71.089261239999999</v>
      </c>
      <c r="AT50" s="1049">
        <v>170067</v>
      </c>
      <c r="AU50" s="1050">
        <v>143.5281803</v>
      </c>
      <c r="AV50" s="1049">
        <v>33535</v>
      </c>
      <c r="AW50" s="1050">
        <v>22.500195770000001</v>
      </c>
      <c r="AX50" s="1049" t="s">
        <v>555</v>
      </c>
      <c r="AY50" s="1049">
        <v>250419</v>
      </c>
      <c r="AZ50" s="1050">
        <v>237.11763730000001</v>
      </c>
      <c r="BA50" s="1072">
        <v>54298276</v>
      </c>
      <c r="BB50" s="1050">
        <v>49391.997530000001</v>
      </c>
      <c r="BC50" s="1049">
        <v>2807820</v>
      </c>
      <c r="BD50" s="1049">
        <v>40289810</v>
      </c>
      <c r="BE50" s="1049">
        <v>8679473</v>
      </c>
      <c r="BF50" s="1049">
        <f t="shared" si="14"/>
        <v>51777103</v>
      </c>
      <c r="BG50" s="1049">
        <v>12899891</v>
      </c>
      <c r="BH50" s="1049">
        <v>25440081</v>
      </c>
      <c r="BI50" s="1050">
        <v>118205.92660207101</v>
      </c>
      <c r="BJ50" s="1049">
        <v>1515704</v>
      </c>
      <c r="BK50" s="1049">
        <v>708314372</v>
      </c>
      <c r="BL50" s="1050">
        <v>167674.39788760801</v>
      </c>
      <c r="BM50" s="1049">
        <v>144092030</v>
      </c>
      <c r="BN50" s="1049">
        <v>15328</v>
      </c>
      <c r="BO50" s="1049">
        <v>15045342</v>
      </c>
      <c r="BP50" s="1050">
        <v>68593.958033186995</v>
      </c>
      <c r="BQ50" s="1049">
        <v>25832979</v>
      </c>
      <c r="BR50" s="1049">
        <v>12713</v>
      </c>
      <c r="BS50" s="1049">
        <v>142773</v>
      </c>
      <c r="BT50" s="1073"/>
      <c r="BU50" s="1225"/>
      <c r="BV50" s="180"/>
    </row>
    <row r="51" spans="1:110" ht="11.1" customHeight="1">
      <c r="A51" s="1830" t="s">
        <v>563</v>
      </c>
      <c r="B51" s="1830">
        <v>1625972</v>
      </c>
      <c r="C51" s="1831">
        <v>152871.655908463</v>
      </c>
      <c r="D51" s="1830">
        <v>6288</v>
      </c>
      <c r="E51" s="1831">
        <v>263.39438776999998</v>
      </c>
      <c r="F51" s="1830">
        <f t="shared" ref="F51:F52" si="17">B51+D51</f>
        <v>1632260</v>
      </c>
      <c r="G51" s="1831">
        <f t="shared" ref="G51:G52" si="18">E51+C51</f>
        <v>153135.05029623301</v>
      </c>
      <c r="H51" s="1832">
        <v>25715795</v>
      </c>
      <c r="I51" s="1831">
        <v>76064.978508002023</v>
      </c>
      <c r="J51" s="1830">
        <v>636237</v>
      </c>
      <c r="K51" s="1831">
        <v>599.56036608099998</v>
      </c>
      <c r="L51" s="1830">
        <v>6989</v>
      </c>
      <c r="M51" s="1831">
        <v>14.815913629849998</v>
      </c>
      <c r="N51" s="1830">
        <v>3597309</v>
      </c>
      <c r="O51" s="1831">
        <v>2167.0796098750006</v>
      </c>
      <c r="P51" s="1830">
        <v>331168</v>
      </c>
      <c r="Q51" s="1831">
        <v>256.08718872039998</v>
      </c>
      <c r="R51" s="1830">
        <v>1436732</v>
      </c>
      <c r="S51" s="1831">
        <v>1211.6741886080001</v>
      </c>
      <c r="T51" s="1830">
        <v>299767</v>
      </c>
      <c r="U51" s="1831">
        <v>145.86323327165002</v>
      </c>
      <c r="V51" s="1830">
        <v>6308202</v>
      </c>
      <c r="W51" s="1831">
        <v>4395.0805001859007</v>
      </c>
      <c r="X51" s="1831">
        <v>13013.387112577002</v>
      </c>
      <c r="Y51" s="1830" t="s">
        <v>563</v>
      </c>
      <c r="Z51" s="1830">
        <v>39549787</v>
      </c>
      <c r="AA51" s="1831">
        <v>43688.366865495002</v>
      </c>
      <c r="AB51" s="1830">
        <v>20362</v>
      </c>
      <c r="AC51" s="1831">
        <v>44.7969911056</v>
      </c>
      <c r="AD51" s="1830">
        <v>3994020</v>
      </c>
      <c r="AE51" s="1831">
        <v>1373.9096492240001</v>
      </c>
      <c r="AF51" s="1830">
        <v>164618</v>
      </c>
      <c r="AG51" s="1831">
        <v>106.27764426390002</v>
      </c>
      <c r="AH51" s="1830">
        <v>3396970</v>
      </c>
      <c r="AI51" s="1831">
        <v>695.32583162000014</v>
      </c>
      <c r="AJ51" s="1830">
        <v>496200</v>
      </c>
      <c r="AK51" s="1831">
        <v>182.19967283009998</v>
      </c>
      <c r="AL51" s="1830">
        <v>47621957</v>
      </c>
      <c r="AM51" s="1831">
        <v>46090.876654538595</v>
      </c>
      <c r="AN51" s="1830">
        <v>600351</v>
      </c>
      <c r="AO51" s="1831">
        <v>470.00548876099992</v>
      </c>
      <c r="AP51" s="1830">
        <v>160486</v>
      </c>
      <c r="AQ51" s="1831">
        <v>58.34478016264999</v>
      </c>
      <c r="AR51" s="1830">
        <v>61907</v>
      </c>
      <c r="AS51" s="1831">
        <v>88.486205193999993</v>
      </c>
      <c r="AT51" s="1830">
        <v>194650</v>
      </c>
      <c r="AU51" s="1831">
        <v>157.08748847300001</v>
      </c>
      <c r="AV51" s="1830">
        <v>45338</v>
      </c>
      <c r="AW51" s="1830">
        <v>35.614113123999999</v>
      </c>
      <c r="AX51" s="1830" t="s">
        <v>563</v>
      </c>
      <c r="AY51" s="1830">
        <v>301895</v>
      </c>
      <c r="AZ51" s="1831">
        <v>281.18780679099996</v>
      </c>
      <c r="BA51" s="1832">
        <v>54992891</v>
      </c>
      <c r="BB51" s="1831">
        <v>51295.495230439155</v>
      </c>
      <c r="BC51" s="1830">
        <v>2585639</v>
      </c>
      <c r="BD51" s="1830">
        <v>40655731</v>
      </c>
      <c r="BE51" s="1830">
        <v>8342330</v>
      </c>
      <c r="BF51" s="1830">
        <f t="shared" si="14"/>
        <v>51583700</v>
      </c>
      <c r="BG51" s="1830">
        <v>13337818</v>
      </c>
      <c r="BH51" s="1830">
        <v>24797148</v>
      </c>
      <c r="BI51" s="1831">
        <v>136347.72356230402</v>
      </c>
      <c r="BJ51" s="1830">
        <v>1510465</v>
      </c>
      <c r="BK51" s="1830">
        <v>744055515</v>
      </c>
      <c r="BL51" s="1831">
        <v>172918.69199999998</v>
      </c>
      <c r="BM51" s="1830">
        <v>144943391</v>
      </c>
      <c r="BN51" s="1830">
        <v>15217</v>
      </c>
      <c r="BO51" s="1830">
        <v>17621693</v>
      </c>
      <c r="BP51" s="1831">
        <v>73410.096999999994</v>
      </c>
      <c r="BQ51" s="1830">
        <v>26033997</v>
      </c>
      <c r="BR51" s="1830">
        <v>12674</v>
      </c>
      <c r="BS51" s="1830">
        <v>143209</v>
      </c>
      <c r="BT51" s="1073"/>
      <c r="BU51" s="1225"/>
      <c r="BV51" s="180"/>
    </row>
    <row r="52" spans="1:110" ht="11.1" customHeight="1" thickBot="1">
      <c r="A52" s="1833" t="s">
        <v>564</v>
      </c>
      <c r="B52" s="1833">
        <v>1395662</v>
      </c>
      <c r="C52" s="1834">
        <v>131375.93443164902</v>
      </c>
      <c r="D52" s="1833">
        <v>7553</v>
      </c>
      <c r="E52" s="1834">
        <v>316.15115804999999</v>
      </c>
      <c r="F52" s="1835">
        <f t="shared" si="17"/>
        <v>1403215</v>
      </c>
      <c r="G52" s="1834">
        <f t="shared" si="18"/>
        <v>131692.08558969901</v>
      </c>
      <c r="H52" s="1835">
        <v>14706235</v>
      </c>
      <c r="I52" s="1834">
        <v>69146.103797775024</v>
      </c>
      <c r="J52" s="1833">
        <v>426680</v>
      </c>
      <c r="K52" s="1834">
        <v>475.87097764300006</v>
      </c>
      <c r="L52" s="1833">
        <v>5686</v>
      </c>
      <c r="M52" s="1834">
        <v>12.525116145100004</v>
      </c>
      <c r="N52" s="1833">
        <v>3217263</v>
      </c>
      <c r="O52" s="1834">
        <v>1971.127415234</v>
      </c>
      <c r="P52" s="1833">
        <v>270459</v>
      </c>
      <c r="Q52" s="1834">
        <v>199.46011991510002</v>
      </c>
      <c r="R52" s="1833">
        <v>1228327</v>
      </c>
      <c r="S52" s="1834">
        <v>916.94629778700005</v>
      </c>
      <c r="T52" s="1833">
        <v>260156</v>
      </c>
      <c r="U52" s="1834">
        <v>120.80637227769998</v>
      </c>
      <c r="V52" s="1833">
        <v>5408571</v>
      </c>
      <c r="W52" s="1834">
        <v>3696.7362990019001</v>
      </c>
      <c r="X52" s="1834">
        <v>13012.090198563001</v>
      </c>
      <c r="Y52" s="1833" t="s">
        <v>564</v>
      </c>
      <c r="Z52" s="1833">
        <v>36830157</v>
      </c>
      <c r="AA52" s="1834">
        <v>41604.220315311999</v>
      </c>
      <c r="AB52" s="1833">
        <v>16706</v>
      </c>
      <c r="AC52" s="1834">
        <v>36.247313677400001</v>
      </c>
      <c r="AD52" s="1833">
        <v>3550238</v>
      </c>
      <c r="AE52" s="1834">
        <v>1198.6182733649998</v>
      </c>
      <c r="AF52" s="1833">
        <v>143802</v>
      </c>
      <c r="AG52" s="1834">
        <v>86.622379403899998</v>
      </c>
      <c r="AH52" s="1833">
        <v>3050989</v>
      </c>
      <c r="AI52" s="1834">
        <v>564.4430406969999</v>
      </c>
      <c r="AJ52" s="1833">
        <v>398119</v>
      </c>
      <c r="AK52" s="1834">
        <v>134.06191576809999</v>
      </c>
      <c r="AL52" s="1833">
        <v>43990011</v>
      </c>
      <c r="AM52" s="1834">
        <v>43624.213238223398</v>
      </c>
      <c r="AN52" s="1833">
        <v>557254</v>
      </c>
      <c r="AO52" s="1834">
        <v>447.6742121829999</v>
      </c>
      <c r="AP52" s="1833">
        <v>121761</v>
      </c>
      <c r="AQ52" s="1834">
        <v>41.020386024159997</v>
      </c>
      <c r="AR52" s="1833">
        <v>50073</v>
      </c>
      <c r="AS52" s="1834">
        <v>72.610658924000006</v>
      </c>
      <c r="AT52" s="1833">
        <v>116933</v>
      </c>
      <c r="AU52" s="1834">
        <v>95.33033058700002</v>
      </c>
      <c r="AV52" s="1833">
        <v>32355</v>
      </c>
      <c r="AW52" s="1833">
        <v>20.901416459</v>
      </c>
      <c r="AX52" s="1833" t="s">
        <v>564</v>
      </c>
      <c r="AY52" s="1833">
        <v>199361</v>
      </c>
      <c r="AZ52" s="1834">
        <v>188.84240597000002</v>
      </c>
      <c r="BA52" s="1835">
        <v>50276958</v>
      </c>
      <c r="BB52" s="1834">
        <v>47998.486541402461</v>
      </c>
      <c r="BC52" s="1833">
        <v>2607835</v>
      </c>
      <c r="BD52" s="1833">
        <v>40454466</v>
      </c>
      <c r="BE52" s="1833">
        <v>8120519</v>
      </c>
      <c r="BF52" s="1833">
        <f t="shared" si="14"/>
        <v>51182820</v>
      </c>
      <c r="BG52" s="1833">
        <v>23038900</v>
      </c>
      <c r="BH52" s="1833">
        <v>28768089</v>
      </c>
      <c r="BI52" s="1834">
        <v>140515.53225151298</v>
      </c>
      <c r="BJ52" s="1833">
        <v>1523235</v>
      </c>
      <c r="BK52" s="1833">
        <v>615580925</v>
      </c>
      <c r="BL52" s="1834">
        <v>148045.45775036301</v>
      </c>
      <c r="BM52" s="1833">
        <v>145103411</v>
      </c>
      <c r="BN52" s="1833">
        <v>15217</v>
      </c>
      <c r="BO52" s="1833">
        <v>12275084</v>
      </c>
      <c r="BP52" s="1834">
        <v>61340.529521901</v>
      </c>
      <c r="BQ52" s="1833">
        <v>26033997</v>
      </c>
      <c r="BR52" s="1833">
        <v>13046</v>
      </c>
      <c r="BS52" s="1833">
        <v>146530</v>
      </c>
      <c r="BT52" s="1073"/>
      <c r="BU52" s="1225"/>
      <c r="BV52" s="180"/>
    </row>
    <row r="53" spans="1:110">
      <c r="A53" s="1051" t="s">
        <v>2796</v>
      </c>
      <c r="B53" s="1051"/>
      <c r="C53" s="1133"/>
      <c r="D53" s="1051"/>
      <c r="E53" s="1133"/>
      <c r="F53" s="1051"/>
      <c r="G53" s="1133"/>
      <c r="H53" s="1648"/>
      <c r="I53" s="1133"/>
      <c r="J53" s="1051"/>
      <c r="K53" s="1133"/>
      <c r="L53" s="1051" t="s">
        <v>2797</v>
      </c>
      <c r="M53" s="1133"/>
      <c r="N53" s="1051"/>
      <c r="O53" s="1133"/>
      <c r="P53" s="1051"/>
      <c r="Q53" s="1133"/>
      <c r="R53" s="1051"/>
      <c r="S53" s="1133"/>
      <c r="T53" s="1051"/>
      <c r="U53" s="1133"/>
      <c r="V53" s="1051"/>
      <c r="W53" s="1133"/>
      <c r="X53" s="1133"/>
      <c r="Y53" s="1051"/>
      <c r="Z53" s="1051"/>
      <c r="AA53" s="1133"/>
      <c r="AB53" s="1051"/>
      <c r="AC53" s="1133"/>
      <c r="AD53" s="1051"/>
      <c r="AE53" s="1133"/>
      <c r="AF53" s="1051"/>
      <c r="AG53" s="1133"/>
      <c r="AH53" s="1051"/>
      <c r="AI53" s="1133"/>
      <c r="AJ53" s="1051"/>
      <c r="AK53" s="1133"/>
      <c r="AL53" s="1051"/>
      <c r="AM53" s="1133"/>
      <c r="AN53" s="1051"/>
      <c r="AO53" s="1133"/>
      <c r="AP53" s="1051"/>
      <c r="AQ53" s="1133"/>
      <c r="AR53" s="1051"/>
      <c r="AS53" s="1133"/>
      <c r="AT53" s="1051"/>
      <c r="AU53" s="1133"/>
      <c r="AV53" s="1051"/>
      <c r="AW53" s="1133"/>
      <c r="AX53" s="1051"/>
      <c r="AY53" s="1051"/>
      <c r="AZ53" s="1133"/>
      <c r="BA53" s="1648"/>
      <c r="BB53" s="1133"/>
      <c r="BC53" s="1051"/>
      <c r="BD53" s="1051"/>
      <c r="BE53" s="1051"/>
      <c r="BF53" s="1051"/>
      <c r="BG53" s="1051"/>
      <c r="BH53" s="1051"/>
      <c r="BI53" s="1133"/>
      <c r="BJ53" s="1051" t="s">
        <v>2798</v>
      </c>
      <c r="BK53" s="1051"/>
      <c r="BL53" s="1133"/>
      <c r="BM53" s="1051"/>
      <c r="BN53" s="1051"/>
      <c r="BO53" s="1051"/>
      <c r="BP53" s="1133"/>
      <c r="BQ53" s="1051"/>
      <c r="BR53" s="1051"/>
      <c r="BS53" s="1051"/>
      <c r="BT53" s="1094"/>
      <c r="BU53" s="1094"/>
      <c r="BV53" s="1094"/>
      <c r="BW53" s="1094"/>
      <c r="BX53" s="1094"/>
      <c r="BY53" s="1094"/>
      <c r="BZ53" s="1094"/>
    </row>
    <row r="54" spans="1:110">
      <c r="A54" s="1207" t="s">
        <v>2147</v>
      </c>
      <c r="B54" s="1207"/>
      <c r="C54" s="1207"/>
      <c r="D54" s="1207"/>
      <c r="E54" s="1207"/>
      <c r="F54" s="1209"/>
      <c r="G54" s="1209"/>
      <c r="H54" s="1209"/>
      <c r="I54" s="1209"/>
      <c r="J54" s="735"/>
      <c r="L54" s="12" t="s">
        <v>2146</v>
      </c>
      <c r="M54" s="30"/>
      <c r="N54" s="30"/>
      <c r="O54" s="30"/>
      <c r="P54" s="30"/>
      <c r="Q54" s="30"/>
      <c r="AA54" s="1073"/>
      <c r="AE54" s="1073"/>
      <c r="AI54" s="1073"/>
      <c r="AY54" s="1256"/>
      <c r="BA54" s="1"/>
      <c r="BC54" s="1"/>
      <c r="BD54" s="1095"/>
      <c r="BE54" s="1095"/>
      <c r="BF54" s="1"/>
      <c r="BG54" s="1095"/>
      <c r="BH54" s="1095"/>
      <c r="BI54" s="1094"/>
      <c r="BJ54" s="1214"/>
      <c r="BK54" s="1083"/>
      <c r="BL54" s="1094"/>
      <c r="BM54" s="1214"/>
      <c r="BN54" s="1215"/>
      <c r="BO54" s="1214"/>
      <c r="BP54" s="1094"/>
      <c r="BQ54" s="1094"/>
      <c r="BS54" s="1214"/>
      <c r="BT54" s="1073"/>
      <c r="BU54" s="1225"/>
      <c r="BV54" s="180"/>
    </row>
    <row r="55" spans="1:110">
      <c r="A55" s="1208" t="s">
        <v>2142</v>
      </c>
      <c r="B55" s="1208"/>
      <c r="C55" s="1208"/>
      <c r="D55" s="1206"/>
      <c r="E55" s="1206"/>
      <c r="F55" s="1206"/>
      <c r="G55" s="1213"/>
      <c r="H55" s="1083"/>
      <c r="I55" s="2215" t="s">
        <v>1309</v>
      </c>
      <c r="J55" s="2215"/>
      <c r="K55" s="1133"/>
      <c r="S55" s="1073"/>
      <c r="AA55" s="1073"/>
      <c r="AC55" s="1073"/>
      <c r="AE55" s="1073"/>
      <c r="AI55" s="1073"/>
      <c r="AJ55" s="1073"/>
      <c r="BB55" s="1095"/>
      <c r="BC55" s="1679"/>
      <c r="BF55" s="1"/>
      <c r="BG55" s="1214"/>
      <c r="BH55" s="1083"/>
      <c r="BI55" s="1094"/>
      <c r="BJ55" s="1214"/>
      <c r="BK55" s="1083"/>
      <c r="BL55" s="1094"/>
      <c r="BM55" s="1214"/>
      <c r="BN55" s="1215"/>
      <c r="BO55" s="1094"/>
      <c r="BP55" s="1095"/>
      <c r="BQ55" s="1094"/>
      <c r="BT55" s="1524"/>
      <c r="BU55" s="1524"/>
      <c r="BV55" s="1524"/>
      <c r="BW55" s="1524"/>
      <c r="BX55" s="1524"/>
      <c r="BY55" s="1524"/>
      <c r="BZ55" s="1524"/>
      <c r="CA55" s="1524"/>
      <c r="CB55" s="1524"/>
    </row>
    <row r="56" spans="1:110">
      <c r="A56" s="1205"/>
      <c r="B56" s="1137"/>
      <c r="C56" s="1133"/>
      <c r="D56" s="1133"/>
      <c r="E56" s="1051"/>
      <c r="F56" s="1133"/>
      <c r="G56" s="1133"/>
      <c r="K56" s="1133"/>
      <c r="L56" s="1051"/>
      <c r="M56" s="1051"/>
      <c r="N56" s="1051"/>
      <c r="O56" s="1133"/>
      <c r="P56" s="1051"/>
      <c r="Q56" s="230"/>
      <c r="R56" s="230"/>
      <c r="S56" s="1073"/>
      <c r="T56" s="230"/>
      <c r="U56" s="230"/>
      <c r="V56" s="230"/>
      <c r="W56" s="230"/>
      <c r="X56" s="230"/>
      <c r="Y56" s="230"/>
      <c r="Z56" s="230"/>
      <c r="AA56" s="1073"/>
      <c r="AB56" s="230"/>
      <c r="AC56" s="1073"/>
      <c r="AD56" s="230"/>
      <c r="AE56" s="1073"/>
      <c r="AF56" s="230"/>
      <c r="AG56" s="230"/>
      <c r="AH56" s="230"/>
      <c r="AI56" s="1073"/>
      <c r="AJ56" s="1073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B56" s="1095"/>
      <c r="BC56" s="1679"/>
      <c r="BF56" s="1"/>
      <c r="BI56" s="1094"/>
      <c r="BJ56" s="1214"/>
      <c r="BK56" s="1083"/>
      <c r="BL56" s="1094"/>
      <c r="BM56" s="1215"/>
      <c r="BQ56" s="1094"/>
      <c r="BU56" s="1225"/>
      <c r="BV56" s="180"/>
    </row>
    <row r="57" spans="1:110">
      <c r="B57" s="1094"/>
      <c r="C57" s="1094"/>
      <c r="D57" s="1094"/>
      <c r="E57" s="1094"/>
      <c r="F57" s="1094"/>
      <c r="G57" s="1094"/>
      <c r="H57" s="1094"/>
      <c r="I57" s="1094"/>
      <c r="J57" s="1094"/>
      <c r="K57" s="1094"/>
      <c r="L57" s="1094"/>
      <c r="M57" s="1094"/>
      <c r="N57" s="1094"/>
      <c r="O57" s="1094"/>
      <c r="P57" s="1094"/>
      <c r="Q57" s="1094"/>
      <c r="R57" s="1094"/>
      <c r="S57" s="1094"/>
      <c r="T57" s="1094"/>
      <c r="U57" s="1094"/>
      <c r="V57" s="1094"/>
      <c r="W57" s="1094"/>
      <c r="X57" s="1094"/>
      <c r="Y57" s="1094"/>
      <c r="Z57" s="1094"/>
      <c r="AA57" s="1094"/>
      <c r="AB57" s="1094"/>
      <c r="AC57" s="1094"/>
      <c r="AD57" s="1094"/>
      <c r="AE57" s="1094"/>
      <c r="AF57" s="1094"/>
      <c r="AG57" s="1094"/>
      <c r="AH57" s="1094"/>
      <c r="AI57" s="1094"/>
      <c r="AJ57" s="1094"/>
      <c r="AK57" s="1094"/>
      <c r="AL57" s="1094"/>
      <c r="AM57" s="1094"/>
      <c r="AN57" s="1094"/>
      <c r="AO57" s="1094"/>
      <c r="AP57" s="1094"/>
      <c r="AQ57" s="1094"/>
      <c r="AR57" s="1094"/>
      <c r="AS57" s="1094"/>
      <c r="AT57" s="1094"/>
      <c r="AU57" s="1094"/>
      <c r="AV57" s="1094"/>
      <c r="AW57" s="1094"/>
      <c r="AX57" s="1094"/>
      <c r="AY57" s="1094"/>
      <c r="AZ57" s="1094"/>
      <c r="BA57" s="1094"/>
      <c r="BB57" s="1094"/>
      <c r="BC57" s="1094"/>
      <c r="BD57" s="1094"/>
      <c r="BE57" s="1094"/>
      <c r="BF57" s="1094"/>
      <c r="BG57" s="1094"/>
      <c r="BH57" s="1094"/>
      <c r="BI57" s="1094"/>
      <c r="BJ57" s="1094"/>
      <c r="BK57" s="1094"/>
      <c r="BL57" s="1094"/>
      <c r="BM57" s="1094"/>
      <c r="BN57" s="1094"/>
      <c r="BO57" s="1094"/>
      <c r="BP57" s="1094"/>
      <c r="BQ57" s="1094"/>
      <c r="BR57" s="1094"/>
      <c r="BS57" s="1094"/>
      <c r="BU57" s="1225"/>
      <c r="BV57" s="180"/>
    </row>
    <row r="58" spans="1:110">
      <c r="B58" s="1094"/>
      <c r="C58" s="1094"/>
      <c r="D58" s="1073"/>
      <c r="E58" s="1073"/>
      <c r="F58" s="1073"/>
      <c r="G58" s="1073"/>
      <c r="I58" s="1768"/>
      <c r="J58" s="1215"/>
      <c r="K58" s="1215"/>
      <c r="L58" s="1215"/>
      <c r="M58" s="1215"/>
      <c r="N58" s="1215"/>
      <c r="O58" s="1215"/>
      <c r="P58" s="1215"/>
      <c r="Q58" s="1215"/>
      <c r="R58" s="1215"/>
      <c r="S58" s="1215"/>
      <c r="T58" s="1215"/>
      <c r="U58" s="1215"/>
      <c r="V58" s="1215"/>
      <c r="W58" s="1215"/>
      <c r="X58" s="1215"/>
      <c r="Y58" s="1215"/>
      <c r="Z58" s="1215"/>
      <c r="AA58" s="1215"/>
      <c r="AB58" s="1215"/>
      <c r="AC58" s="1215"/>
      <c r="AD58" s="1215"/>
      <c r="AE58" s="1215"/>
      <c r="AF58" s="1215"/>
      <c r="AG58" s="1215"/>
      <c r="AH58" s="1215"/>
      <c r="AI58" s="1215"/>
      <c r="AJ58" s="1215"/>
      <c r="AK58" s="1215"/>
      <c r="AL58" s="1215"/>
      <c r="AM58" s="1215"/>
      <c r="AN58" s="1215"/>
      <c r="AO58" s="1215"/>
      <c r="AP58" s="1215"/>
      <c r="AQ58" s="1215"/>
      <c r="AR58" s="1215"/>
      <c r="AS58" s="1215"/>
      <c r="AT58" s="1215"/>
      <c r="AU58" s="1215"/>
      <c r="AV58" s="1215"/>
      <c r="AW58" s="1215"/>
      <c r="AX58" s="1215"/>
      <c r="AY58" s="1215"/>
      <c r="AZ58" s="1215"/>
      <c r="BC58" s="1679"/>
      <c r="BF58" s="1"/>
      <c r="BI58" s="1094"/>
      <c r="BJ58" s="1216"/>
      <c r="BK58" s="1216"/>
      <c r="BL58" s="1216"/>
      <c r="BM58" s="1216"/>
      <c r="BO58" s="1216"/>
      <c r="BP58" s="1216"/>
      <c r="BQ58" s="1094"/>
      <c r="BR58" s="1073"/>
      <c r="BS58" s="1216"/>
      <c r="BU58" s="1225"/>
      <c r="BV58" s="180"/>
    </row>
    <row r="59" spans="1:110">
      <c r="B59" s="1094"/>
      <c r="C59" s="1094"/>
      <c r="D59" s="1094"/>
      <c r="E59" s="1094"/>
      <c r="F59" s="1094"/>
      <c r="G59" s="1094"/>
      <c r="H59" s="1893"/>
      <c r="I59" s="1893"/>
      <c r="J59" s="1214"/>
      <c r="K59" s="1094"/>
      <c r="L59" s="1094"/>
      <c r="M59" s="1094"/>
      <c r="N59" s="1094"/>
      <c r="O59" s="1094"/>
      <c r="P59" s="1094"/>
      <c r="Q59" s="1094"/>
      <c r="R59" s="1094"/>
      <c r="S59" s="1094"/>
      <c r="T59" s="1094"/>
      <c r="U59" s="1094"/>
      <c r="V59" s="1094"/>
      <c r="W59" s="1094"/>
      <c r="X59" s="1094"/>
      <c r="Y59" s="1094"/>
      <c r="Z59" s="1094"/>
      <c r="AA59" s="1094"/>
      <c r="AB59" s="1094"/>
      <c r="AC59" s="1094"/>
      <c r="AD59" s="1094"/>
      <c r="AE59" s="1094"/>
      <c r="AF59" s="1094"/>
      <c r="AG59" s="1094"/>
      <c r="AH59" s="1094"/>
      <c r="AI59" s="1094"/>
      <c r="AJ59" s="1094"/>
      <c r="AK59" s="1094"/>
      <c r="AL59" s="1094"/>
      <c r="AM59" s="1094"/>
      <c r="AN59" s="1094"/>
      <c r="AO59" s="1094"/>
      <c r="AP59" s="1094"/>
      <c r="AQ59" s="1094"/>
      <c r="AR59" s="1094"/>
      <c r="AS59" s="1094"/>
      <c r="AT59" s="1094"/>
      <c r="AU59" s="1094"/>
      <c r="AV59" s="1094"/>
      <c r="AW59" s="1094"/>
      <c r="AX59" s="1094"/>
      <c r="AY59" s="1094"/>
      <c r="AZ59" s="1094"/>
      <c r="BA59" s="1094"/>
      <c r="BB59" s="1094"/>
      <c r="BC59" s="1094"/>
      <c r="BD59" s="1094"/>
      <c r="BE59" s="1094"/>
      <c r="BF59" s="1094"/>
      <c r="BG59" s="1094"/>
      <c r="BH59" s="1094"/>
      <c r="BI59" s="1094"/>
      <c r="BJ59" s="1094"/>
      <c r="BK59" s="1094"/>
      <c r="BL59" s="1094"/>
      <c r="BM59" s="1094"/>
      <c r="BN59" s="1094"/>
      <c r="BO59" s="1094"/>
      <c r="BP59" s="1094"/>
      <c r="BQ59" s="1094"/>
      <c r="BR59" s="1094"/>
      <c r="BS59" s="1094"/>
      <c r="BU59" s="1225"/>
      <c r="BV59" s="180"/>
    </row>
    <row r="60" spans="1:110">
      <c r="C60" s="1216"/>
      <c r="D60" s="1216"/>
      <c r="E60" s="1217"/>
      <c r="F60" s="1216"/>
      <c r="G60" s="1216"/>
      <c r="J60" s="1214"/>
      <c r="K60" s="1188"/>
      <c r="L60" s="1188"/>
      <c r="M60" s="1188"/>
      <c r="N60" s="1188"/>
      <c r="O60" s="1188"/>
      <c r="P60" s="1083"/>
      <c r="Q60" s="1188"/>
      <c r="R60" s="1188"/>
      <c r="S60" s="1188"/>
      <c r="T60" s="1188"/>
      <c r="U60" s="1188"/>
      <c r="V60" s="1188"/>
      <c r="W60" s="1188"/>
      <c r="X60" s="1188"/>
      <c r="Y60" s="1188"/>
      <c r="Z60" s="1188"/>
      <c r="AA60" s="1188"/>
      <c r="AB60" s="1188"/>
      <c r="AC60" s="1188"/>
      <c r="AD60" s="1188"/>
      <c r="AE60" s="1188"/>
      <c r="AF60" s="1188"/>
      <c r="AG60" s="1188"/>
      <c r="AH60" s="1188"/>
      <c r="AI60" s="1188"/>
      <c r="AJ60" s="1188"/>
      <c r="AK60" s="1188"/>
      <c r="AL60" s="1188"/>
      <c r="AM60" s="1188"/>
      <c r="AN60" s="1188"/>
      <c r="AO60" s="1188"/>
      <c r="AP60" s="1188"/>
      <c r="AQ60" s="1188"/>
      <c r="AR60" s="1188"/>
      <c r="AS60" s="1188"/>
      <c r="BC60" s="1149"/>
      <c r="BF60" s="1"/>
      <c r="BG60" s="1095"/>
      <c r="BI60" s="1094"/>
      <c r="BO60" s="1073"/>
      <c r="BP60" s="1073"/>
      <c r="BR60" s="1073"/>
      <c r="BU60" s="1225"/>
      <c r="BV60" s="180"/>
    </row>
    <row r="61" spans="1:110">
      <c r="C61" s="1216"/>
      <c r="D61" s="1217"/>
      <c r="E61" s="1217"/>
      <c r="F61" s="1217"/>
      <c r="G61" s="1218"/>
      <c r="H61" s="1188"/>
      <c r="I61" s="1217"/>
      <c r="J61" s="1217"/>
      <c r="K61" s="1188"/>
      <c r="L61" s="1188"/>
      <c r="M61" s="1188"/>
      <c r="N61" s="1188"/>
      <c r="O61" s="1188"/>
      <c r="P61" s="1188"/>
      <c r="Q61" s="1188"/>
      <c r="R61" s="1188"/>
      <c r="S61" s="1188"/>
      <c r="T61" s="1188"/>
      <c r="U61" s="1188"/>
      <c r="V61" s="1188"/>
      <c r="W61" s="1188"/>
      <c r="X61" s="1188"/>
      <c r="Y61" s="1188"/>
      <c r="Z61" s="1188"/>
      <c r="AA61" s="1188"/>
      <c r="AB61" s="1188"/>
      <c r="AC61" s="1188"/>
      <c r="AD61" s="1188"/>
      <c r="AE61" s="1188"/>
      <c r="AF61" s="1188"/>
      <c r="AG61" s="1188"/>
      <c r="AH61" s="1188"/>
      <c r="AI61" s="1188"/>
      <c r="AJ61" s="1188"/>
      <c r="AK61" s="1188"/>
      <c r="AL61" s="1188"/>
      <c r="AM61" s="1188"/>
      <c r="AN61" s="1188"/>
      <c r="AO61" s="1188"/>
      <c r="AP61" s="1188"/>
      <c r="AQ61" s="1188"/>
      <c r="AR61" s="1188"/>
      <c r="AS61" s="1188"/>
      <c r="AU61" s="1215"/>
      <c r="BC61" s="1149"/>
      <c r="BF61" s="1"/>
      <c r="BG61" s="1095"/>
      <c r="BI61" s="1094"/>
      <c r="BO61" s="1073"/>
      <c r="BR61" s="1073"/>
      <c r="BU61" s="1225"/>
      <c r="BV61" s="180"/>
    </row>
    <row r="62" spans="1:110">
      <c r="B62" s="1073"/>
      <c r="C62" s="1094"/>
      <c r="D62" s="1095"/>
      <c r="E62" s="1073"/>
      <c r="F62" s="1094"/>
      <c r="G62" s="1095"/>
      <c r="H62" s="1"/>
      <c r="I62" s="1074"/>
      <c r="J62" s="1073"/>
      <c r="BC62" s="1149"/>
      <c r="BF62" s="1"/>
      <c r="BG62" s="1095"/>
      <c r="BI62" s="1094"/>
      <c r="BR62" s="1073"/>
      <c r="BU62" s="1225"/>
      <c r="BV62" s="180"/>
    </row>
    <row r="63" spans="1:110">
      <c r="B63" s="1073"/>
      <c r="C63" s="1073"/>
      <c r="D63" s="1073"/>
      <c r="E63" s="1073"/>
      <c r="F63" s="1073"/>
      <c r="G63" s="1073"/>
      <c r="H63" s="1073"/>
      <c r="I63" s="1073"/>
      <c r="J63" s="1073"/>
      <c r="K63" s="1073"/>
      <c r="L63" s="1073"/>
      <c r="M63" s="1073"/>
      <c r="N63" s="1073"/>
      <c r="O63" s="1073"/>
      <c r="P63" s="1073"/>
      <c r="Q63" s="1073"/>
      <c r="R63" s="1073"/>
      <c r="S63" s="1073"/>
      <c r="T63" s="1073"/>
      <c r="U63" s="1073"/>
      <c r="V63" s="1073"/>
      <c r="W63" s="1073"/>
      <c r="X63" s="1073"/>
      <c r="Y63" s="1073"/>
      <c r="Z63" s="1073"/>
      <c r="AA63" s="1073"/>
      <c r="AB63" s="1073"/>
      <c r="AC63" s="1073"/>
      <c r="AD63" s="1073"/>
      <c r="AE63" s="1073"/>
      <c r="AF63" s="1073"/>
      <c r="AG63" s="1073"/>
      <c r="AH63" s="1073"/>
      <c r="AI63" s="1073"/>
      <c r="AJ63" s="1073"/>
      <c r="AK63" s="1073"/>
      <c r="AL63" s="1073"/>
      <c r="AM63" s="1073"/>
      <c r="AN63" s="1073"/>
      <c r="AO63" s="1073"/>
      <c r="AP63" s="1073"/>
      <c r="AQ63" s="1073"/>
      <c r="AR63" s="1073"/>
      <c r="AS63" s="1073"/>
      <c r="AT63" s="1073"/>
      <c r="AU63" s="1073"/>
      <c r="AV63" s="1073"/>
      <c r="AW63" s="1073"/>
      <c r="AX63" s="1073"/>
      <c r="AY63" s="1073"/>
      <c r="AZ63" s="1073"/>
      <c r="BA63" s="1073"/>
      <c r="BB63" s="1073"/>
      <c r="BC63" s="1073"/>
      <c r="BD63" s="1073"/>
      <c r="BE63" s="1073"/>
      <c r="BF63" s="1073"/>
      <c r="BG63" s="1073"/>
      <c r="BH63" s="1073"/>
      <c r="BI63" s="1073"/>
      <c r="BJ63" s="1073"/>
      <c r="BK63" s="1073"/>
      <c r="BL63" s="1073"/>
      <c r="BM63" s="1073"/>
      <c r="BN63" s="1073"/>
      <c r="BO63" s="1073"/>
      <c r="BP63" s="1073"/>
      <c r="BQ63" s="1073"/>
      <c r="BR63" s="1073"/>
      <c r="BS63" s="1073"/>
    </row>
    <row r="64" spans="1:110">
      <c r="B64" s="1073"/>
      <c r="C64" s="1094"/>
      <c r="D64" s="1094"/>
      <c r="E64" s="1094"/>
      <c r="F64" s="1094"/>
      <c r="G64" s="1094"/>
      <c r="H64" s="1094"/>
      <c r="I64" s="1094"/>
      <c r="J64" s="1094"/>
      <c r="K64" s="1094"/>
      <c r="L64" s="1094"/>
      <c r="M64" s="1094"/>
      <c r="N64" s="1094"/>
      <c r="O64" s="1094"/>
      <c r="P64" s="1094"/>
      <c r="Q64" s="1094"/>
      <c r="R64" s="1094"/>
      <c r="S64" s="1094"/>
      <c r="T64" s="1094"/>
      <c r="U64" s="1094"/>
      <c r="V64" s="1094"/>
      <c r="W64" s="1094"/>
      <c r="X64" s="1094"/>
      <c r="Y64" s="1094"/>
      <c r="Z64" s="1094"/>
      <c r="AA64" s="1094"/>
      <c r="AB64" s="1094"/>
      <c r="AC64" s="1094"/>
      <c r="AD64" s="1094"/>
      <c r="AE64" s="1094"/>
      <c r="AF64" s="1094"/>
      <c r="AG64" s="1094"/>
      <c r="AH64" s="1094"/>
      <c r="AI64" s="1094"/>
      <c r="AJ64" s="1094"/>
      <c r="AK64" s="1094"/>
      <c r="AL64" s="1094"/>
      <c r="AM64" s="1094"/>
      <c r="AN64" s="1094"/>
      <c r="AO64" s="1094"/>
      <c r="AP64" s="1094"/>
      <c r="AQ64" s="1094"/>
      <c r="AR64" s="1094"/>
      <c r="AS64" s="1094"/>
      <c r="BC64" s="1149"/>
      <c r="BF64" s="1"/>
      <c r="BG64" s="1095"/>
      <c r="BI64" s="1094"/>
      <c r="BT64" s="1095"/>
      <c r="BU64" s="1095"/>
      <c r="BV64" s="1095"/>
      <c r="BW64" s="1095"/>
      <c r="BX64" s="1095"/>
      <c r="BY64" s="1095"/>
      <c r="BZ64" s="1095"/>
      <c r="CA64" s="1095"/>
      <c r="CB64" s="1095"/>
      <c r="CC64" s="1095"/>
      <c r="CD64" s="1095"/>
      <c r="CE64" s="1095"/>
      <c r="CF64" s="1095"/>
      <c r="CG64" s="1095"/>
      <c r="CH64" s="1095"/>
      <c r="CI64" s="1095"/>
      <c r="CJ64" s="1095"/>
      <c r="CK64" s="1095"/>
      <c r="CL64" s="1095"/>
      <c r="CM64" s="1095"/>
      <c r="CN64" s="1095"/>
      <c r="CO64" s="1095"/>
      <c r="CP64" s="1095"/>
      <c r="CQ64" s="1095"/>
      <c r="CR64" s="1095"/>
      <c r="CS64" s="1095"/>
      <c r="CT64" s="1095"/>
      <c r="CU64" s="1095"/>
      <c r="CV64" s="1095"/>
      <c r="CW64" s="1095"/>
      <c r="CX64" s="1095"/>
      <c r="CY64" s="1095"/>
      <c r="CZ64" s="1095"/>
      <c r="DA64" s="1095"/>
      <c r="DB64" s="1095"/>
      <c r="DC64" s="1095"/>
      <c r="DD64" s="1095"/>
      <c r="DE64" s="1095"/>
      <c r="DF64" s="1095"/>
    </row>
    <row r="65" spans="3:71">
      <c r="C65" s="1095"/>
      <c r="D65" s="1095"/>
      <c r="F65" s="1095"/>
      <c r="G65" s="1095"/>
      <c r="H65" s="1"/>
      <c r="I65" s="1"/>
      <c r="BC65" s="1149"/>
      <c r="BF65" s="1"/>
      <c r="BG65" s="1095"/>
      <c r="BI65" s="1094"/>
    </row>
    <row r="66" spans="3:71">
      <c r="C66" s="1095"/>
      <c r="D66" s="1095"/>
      <c r="F66" s="1095"/>
      <c r="G66" s="1095"/>
      <c r="H66" s="1"/>
      <c r="I66" s="1"/>
      <c r="BF66" s="1"/>
      <c r="BG66" s="230"/>
      <c r="BI66" s="1094"/>
    </row>
    <row r="68" spans="3:71">
      <c r="BJ68" s="1095"/>
      <c r="BK68" s="1095"/>
      <c r="BL68" s="1095"/>
      <c r="BM68" s="1095"/>
      <c r="BN68" s="1095"/>
      <c r="BO68" s="1095"/>
      <c r="BP68" s="1095"/>
      <c r="BQ68" s="1095"/>
      <c r="BR68" s="1095"/>
      <c r="BS68" s="1095"/>
    </row>
    <row r="71" spans="3:71">
      <c r="BJ71" s="1095"/>
      <c r="BK71" s="1095"/>
      <c r="BL71" s="1095"/>
      <c r="BM71" s="1095"/>
      <c r="BN71" s="1095"/>
      <c r="BO71" s="1095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102">
    <mergeCell ref="AP6:AQ6"/>
    <mergeCell ref="AU3:AW3"/>
    <mergeCell ref="AL1:AQ1"/>
    <mergeCell ref="AS2:AW2"/>
    <mergeCell ref="U1:X1"/>
    <mergeCell ref="J5:M5"/>
    <mergeCell ref="N5:Q5"/>
    <mergeCell ref="Z5:AC5"/>
    <mergeCell ref="AD5:AG5"/>
    <mergeCell ref="AH5:AK5"/>
    <mergeCell ref="I1:K1"/>
    <mergeCell ref="L1:Q1"/>
    <mergeCell ref="AH1:AK1"/>
    <mergeCell ref="U2:X2"/>
    <mergeCell ref="Z4:AM4"/>
    <mergeCell ref="I55:J55"/>
    <mergeCell ref="BJ3:BM4"/>
    <mergeCell ref="AX3:AX8"/>
    <mergeCell ref="AY3:BB3"/>
    <mergeCell ref="BC3:BF4"/>
    <mergeCell ref="BG3:BI4"/>
    <mergeCell ref="BE5:BE6"/>
    <mergeCell ref="BH5:BI6"/>
    <mergeCell ref="BK8:BL8"/>
    <mergeCell ref="AY8:AZ8"/>
    <mergeCell ref="BA8:BB8"/>
    <mergeCell ref="BK5:BL6"/>
    <mergeCell ref="BG5:BG6"/>
    <mergeCell ref="AT8:AU8"/>
    <mergeCell ref="AV8:AW8"/>
    <mergeCell ref="P6:Q6"/>
    <mergeCell ref="AL5:AM6"/>
    <mergeCell ref="AF6:AG6"/>
    <mergeCell ref="AD6:AE6"/>
    <mergeCell ref="AJ6:AK6"/>
    <mergeCell ref="AB6:AC6"/>
    <mergeCell ref="Z6:AA6"/>
    <mergeCell ref="AH6:AI6"/>
    <mergeCell ref="BA4:BB6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J6:K6"/>
    <mergeCell ref="L6:M6"/>
    <mergeCell ref="N6:O6"/>
    <mergeCell ref="J4:X4"/>
    <mergeCell ref="R6:S6"/>
    <mergeCell ref="T6:U6"/>
    <mergeCell ref="BQ2:BS2"/>
    <mergeCell ref="AS1:AW1"/>
    <mergeCell ref="BF1:BI1"/>
    <mergeCell ref="BJ1:BO1"/>
    <mergeCell ref="BN5:BN6"/>
    <mergeCell ref="BO5:BP6"/>
    <mergeCell ref="AN6:AO6"/>
    <mergeCell ref="AY6:AZ6"/>
    <mergeCell ref="BM5:BM6"/>
    <mergeCell ref="BJ5:BJ6"/>
    <mergeCell ref="AR6:AS6"/>
    <mergeCell ref="BC5:BC6"/>
    <mergeCell ref="BD5:BD6"/>
    <mergeCell ref="BN3:BQ4"/>
    <mergeCell ref="BR3:BR6"/>
    <mergeCell ref="BS3:BS6"/>
    <mergeCell ref="AN4:AQ5"/>
    <mergeCell ref="AR4:AW5"/>
    <mergeCell ref="AY4:AZ5"/>
    <mergeCell ref="AT6:AU6"/>
    <mergeCell ref="AV6:AW6"/>
    <mergeCell ref="BQ5:BQ6"/>
    <mergeCell ref="BF5:BF6"/>
    <mergeCell ref="BP1:BS1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N8:AO8"/>
    <mergeCell ref="AP8:AQ8"/>
    <mergeCell ref="AR8:AS8"/>
    <mergeCell ref="AH8:AI8"/>
  </mergeCells>
  <pageMargins left="0.62992125984252001" right="0.511811023622047" top="0.31496062992126" bottom="2.5590551E-2" header="0" footer="6.4960630000000005E-2"/>
  <pageSetup paperSize="448" scale="98" orientation="portrait" r:id="rId2"/>
  <headerFooter differentFirst="1" alignWithMargins="0">
    <oddFooter>&amp;C&amp;"Times New Roman,Regular"&amp;8&amp;P</oddFooter>
  </headerFooter>
  <colBreaks count="2" manualBreakCount="2">
    <brk id="49" max="50" man="1"/>
    <brk id="6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X172"/>
  <sheetViews>
    <sheetView zoomScale="140" zoomScaleNormal="140" workbookViewId="0">
      <pane xSplit="1" ySplit="5" topLeftCell="O36" activePane="bottomRight" state="frozen"/>
      <selection activeCell="Q6" sqref="Q6"/>
      <selection pane="topRight" activeCell="Q6" sqref="Q6"/>
      <selection pane="bottomLeft" activeCell="Q6" sqref="Q6"/>
      <selection pane="bottomRight" sqref="A1:XFD1048576"/>
    </sheetView>
  </sheetViews>
  <sheetFormatPr defaultColWidth="9.140625" defaultRowHeight="11.25"/>
  <cols>
    <col min="1" max="1" width="10.28515625" style="891" customWidth="1"/>
    <col min="2" max="2" width="10.85546875" style="891" customWidth="1"/>
    <col min="3" max="3" width="11.140625" style="891" customWidth="1"/>
    <col min="4" max="4" width="11" style="891" customWidth="1"/>
    <col min="5" max="5" width="11.28515625" style="891" customWidth="1"/>
    <col min="6" max="6" width="11" style="891" customWidth="1"/>
    <col min="7" max="7" width="12.42578125" style="891" customWidth="1"/>
    <col min="8" max="8" width="8.5703125" style="891" customWidth="1"/>
    <col min="9" max="9" width="9.5703125" style="891" customWidth="1"/>
    <col min="10" max="10" width="10.140625" style="891" customWidth="1"/>
    <col min="11" max="11" width="10.7109375" style="891" customWidth="1"/>
    <col min="12" max="13" width="9.85546875" style="891" customWidth="1"/>
    <col min="14" max="14" width="15.85546875" style="891" customWidth="1"/>
    <col min="15" max="15" width="8.85546875" style="891" customWidth="1"/>
    <col min="16" max="16" width="7.7109375" style="891" customWidth="1"/>
    <col min="17" max="17" width="8.5703125" style="891" customWidth="1"/>
    <col min="18" max="18" width="8.7109375" style="891" customWidth="1"/>
    <col min="19" max="19" width="9.140625" style="891"/>
    <col min="20" max="20" width="9.28515625" style="891" customWidth="1"/>
    <col min="21" max="21" width="13.7109375" style="891" customWidth="1"/>
    <col min="22" max="22" width="12.28515625" style="891" customWidth="1"/>
    <col min="23" max="16384" width="9.140625" style="891"/>
  </cols>
  <sheetData>
    <row r="1" spans="1:22" s="162" customFormat="1" ht="15" customHeight="1">
      <c r="A1" s="1860"/>
      <c r="B1" s="1860"/>
      <c r="C1" s="1860"/>
      <c r="D1" s="1860"/>
      <c r="E1" s="1860"/>
      <c r="F1" s="2251" t="s">
        <v>123</v>
      </c>
      <c r="G1" s="2251"/>
      <c r="H1" s="2245" t="s">
        <v>122</v>
      </c>
      <c r="I1" s="2245"/>
      <c r="J1" s="161"/>
      <c r="K1" s="161"/>
      <c r="L1" s="2251" t="s">
        <v>427</v>
      </c>
      <c r="M1" s="2251"/>
      <c r="N1" s="2251"/>
      <c r="O1" s="2245" t="s">
        <v>2706</v>
      </c>
      <c r="P1" s="2245"/>
      <c r="Q1" s="2245"/>
      <c r="R1" s="2245"/>
      <c r="S1" s="2245"/>
      <c r="T1" s="2251" t="s">
        <v>428</v>
      </c>
      <c r="U1" s="2251"/>
      <c r="V1" s="2251"/>
    </row>
    <row r="2" spans="1:22" s="165" customFormat="1" ht="11.25" customHeight="1">
      <c r="A2" s="163"/>
      <c r="B2" s="163"/>
      <c r="C2" s="163"/>
      <c r="D2" s="164"/>
      <c r="F2" s="1404"/>
      <c r="H2" s="164"/>
      <c r="I2" s="164"/>
      <c r="J2" s="164"/>
      <c r="K2" s="164"/>
      <c r="L2" s="2250" t="s">
        <v>24</v>
      </c>
      <c r="M2" s="2250"/>
      <c r="N2" s="2250"/>
      <c r="O2" s="164"/>
      <c r="P2" s="164"/>
      <c r="Q2" s="166"/>
      <c r="R2" s="166"/>
      <c r="S2" s="166"/>
      <c r="T2" s="166"/>
      <c r="U2" s="2250" t="s">
        <v>24</v>
      </c>
      <c r="V2" s="2250"/>
    </row>
    <row r="3" spans="1:22" s="165" customFormat="1" ht="12.75" customHeight="1">
      <c r="A3" s="2234" t="s">
        <v>481</v>
      </c>
      <c r="B3" s="2247" t="s">
        <v>486</v>
      </c>
      <c r="C3" s="2248"/>
      <c r="D3" s="2249"/>
      <c r="E3" s="2246" t="s">
        <v>329</v>
      </c>
      <c r="F3" s="2246"/>
      <c r="G3" s="2246"/>
      <c r="H3" s="2246" t="s">
        <v>885</v>
      </c>
      <c r="I3" s="2246"/>
      <c r="J3" s="2246"/>
      <c r="K3" s="2252" t="s">
        <v>886</v>
      </c>
      <c r="L3" s="2252"/>
      <c r="M3" s="2252"/>
      <c r="N3" s="2242" t="s">
        <v>909</v>
      </c>
      <c r="O3" s="2237" t="s">
        <v>481</v>
      </c>
      <c r="P3" s="2253" t="s">
        <v>889</v>
      </c>
      <c r="Q3" s="2247" t="s">
        <v>888</v>
      </c>
      <c r="R3" s="2248"/>
      <c r="S3" s="2248"/>
      <c r="T3" s="2248"/>
      <c r="U3" s="2249"/>
      <c r="V3" s="2255" t="s">
        <v>1247</v>
      </c>
    </row>
    <row r="4" spans="1:22" s="167" customFormat="1" ht="29.25" customHeight="1">
      <c r="A4" s="2235"/>
      <c r="B4" s="1858" t="s">
        <v>906</v>
      </c>
      <c r="C4" s="1858" t="s">
        <v>907</v>
      </c>
      <c r="D4" s="1858" t="s">
        <v>908</v>
      </c>
      <c r="E4" s="1858" t="s">
        <v>487</v>
      </c>
      <c r="F4" s="1858" t="s">
        <v>488</v>
      </c>
      <c r="G4" s="1858" t="s">
        <v>633</v>
      </c>
      <c r="H4" s="1858" t="s">
        <v>487</v>
      </c>
      <c r="I4" s="1858" t="s">
        <v>488</v>
      </c>
      <c r="J4" s="1858" t="s">
        <v>634</v>
      </c>
      <c r="K4" s="1858" t="s">
        <v>489</v>
      </c>
      <c r="L4" s="1858" t="s">
        <v>478</v>
      </c>
      <c r="M4" s="1858" t="s">
        <v>638</v>
      </c>
      <c r="N4" s="2243"/>
      <c r="O4" s="2238"/>
      <c r="P4" s="2254"/>
      <c r="Q4" s="1857" t="s">
        <v>890</v>
      </c>
      <c r="R4" s="1857" t="s">
        <v>742</v>
      </c>
      <c r="S4" s="1857" t="s">
        <v>743</v>
      </c>
      <c r="T4" s="1857" t="s">
        <v>744</v>
      </c>
      <c r="U4" s="1857" t="s">
        <v>640</v>
      </c>
      <c r="V4" s="2256"/>
    </row>
    <row r="5" spans="1:22" s="217" customFormat="1" ht="17.25" customHeight="1">
      <c r="A5" s="2236"/>
      <c r="B5" s="333">
        <v>1</v>
      </c>
      <c r="C5" s="333">
        <v>2</v>
      </c>
      <c r="D5" s="333" t="s">
        <v>637</v>
      </c>
      <c r="E5" s="333">
        <v>4</v>
      </c>
      <c r="F5" s="333">
        <v>5</v>
      </c>
      <c r="G5" s="333" t="s">
        <v>636</v>
      </c>
      <c r="H5" s="333">
        <v>7</v>
      </c>
      <c r="I5" s="333">
        <v>8</v>
      </c>
      <c r="J5" s="333" t="s">
        <v>635</v>
      </c>
      <c r="K5" s="333">
        <v>10</v>
      </c>
      <c r="L5" s="333">
        <v>11</v>
      </c>
      <c r="M5" s="333" t="s">
        <v>639</v>
      </c>
      <c r="N5" s="333" t="s">
        <v>227</v>
      </c>
      <c r="O5" s="2239"/>
      <c r="P5" s="889">
        <v>14</v>
      </c>
      <c r="Q5" s="889">
        <v>15</v>
      </c>
      <c r="R5" s="889">
        <v>16</v>
      </c>
      <c r="S5" s="889">
        <v>17</v>
      </c>
      <c r="T5" s="889">
        <v>18</v>
      </c>
      <c r="U5" s="890" t="s">
        <v>887</v>
      </c>
      <c r="V5" s="2257"/>
    </row>
    <row r="6" spans="1:22" s="185" customFormat="1" ht="12" customHeight="1">
      <c r="A6" s="1460" t="s">
        <v>81</v>
      </c>
      <c r="B6" s="249">
        <v>112345.1</v>
      </c>
      <c r="C6" s="225">
        <v>147983</v>
      </c>
      <c r="D6" s="225">
        <v>-35637.9</v>
      </c>
      <c r="E6" s="249">
        <v>15453.4</v>
      </c>
      <c r="F6" s="249">
        <v>25710.799999999999</v>
      </c>
      <c r="G6" s="249">
        <v>-10257.400000000001</v>
      </c>
      <c r="H6" s="249">
        <v>551.70000000000005</v>
      </c>
      <c r="I6" s="225">
        <v>10566.400000000001</v>
      </c>
      <c r="J6" s="249">
        <v>-10014.700000000001</v>
      </c>
      <c r="K6" s="249">
        <v>864.8</v>
      </c>
      <c r="L6" s="249">
        <v>78001.299999999988</v>
      </c>
      <c r="M6" s="249">
        <v>78866.100000000006</v>
      </c>
      <c r="N6" s="224">
        <v>22956.1</v>
      </c>
      <c r="O6" s="1460" t="s">
        <v>81</v>
      </c>
      <c r="P6" s="249">
        <v>3373.5999999999995</v>
      </c>
      <c r="Q6" s="249">
        <v>6316.4000000000005</v>
      </c>
      <c r="R6" s="249">
        <v>-2029.5</v>
      </c>
      <c r="S6" s="249">
        <v>-820.69999999999936</v>
      </c>
      <c r="T6" s="249">
        <v>-24814.3</v>
      </c>
      <c r="U6" s="224">
        <f t="shared" ref="U6" si="0">Q6+R6+S6+T6</f>
        <v>-21348.1</v>
      </c>
      <c r="V6" s="225">
        <f t="shared" ref="V6" si="1">-(N6+P6+U6)</f>
        <v>-4981.5999999999985</v>
      </c>
    </row>
    <row r="7" spans="1:22" s="186" customFormat="1" ht="12" customHeight="1">
      <c r="A7" s="317" t="s">
        <v>189</v>
      </c>
      <c r="B7" s="283">
        <v>164159.20000000001</v>
      </c>
      <c r="C7" s="283">
        <v>216341.09999999998</v>
      </c>
      <c r="D7" s="283">
        <v>-52181.899999999994</v>
      </c>
      <c r="E7" s="283">
        <v>18292.900000000001</v>
      </c>
      <c r="F7" s="283">
        <v>35500.6</v>
      </c>
      <c r="G7" s="283">
        <v>-17207.7</v>
      </c>
      <c r="H7" s="283">
        <v>871.7</v>
      </c>
      <c r="I7" s="283">
        <v>11267.1</v>
      </c>
      <c r="J7" s="283">
        <v>-10395.4</v>
      </c>
      <c r="K7" s="283">
        <v>1047.0999999999999</v>
      </c>
      <c r="L7" s="283">
        <v>84013.2</v>
      </c>
      <c r="M7" s="283">
        <v>85060.299999999988</v>
      </c>
      <c r="N7" s="283">
        <v>5275.3000000000011</v>
      </c>
      <c r="O7" s="317" t="s">
        <v>189</v>
      </c>
      <c r="P7" s="283">
        <v>4138.1000000000004</v>
      </c>
      <c r="Q7" s="283">
        <v>5585.6</v>
      </c>
      <c r="R7" s="283">
        <v>-6109.2000000000007</v>
      </c>
      <c r="S7" s="283">
        <v>-9589.7999999999993</v>
      </c>
      <c r="T7" s="283">
        <v>5351</v>
      </c>
      <c r="U7" s="283">
        <v>-4762.3999999999996</v>
      </c>
      <c r="V7" s="283">
        <v>-4651.0000000000018</v>
      </c>
    </row>
    <row r="8" spans="1:22" s="159" customFormat="1" ht="12" customHeight="1">
      <c r="A8" s="1460" t="s">
        <v>705</v>
      </c>
      <c r="B8" s="225">
        <v>193375.5</v>
      </c>
      <c r="C8" s="225">
        <v>253042.2</v>
      </c>
      <c r="D8" s="225">
        <v>-59666.7</v>
      </c>
      <c r="E8" s="225">
        <v>19370.400000000001</v>
      </c>
      <c r="F8" s="225">
        <v>41880.299999999996</v>
      </c>
      <c r="G8" s="225">
        <v>-22509.899999999998</v>
      </c>
      <c r="H8" s="225">
        <v>1523.3000000000002</v>
      </c>
      <c r="I8" s="225">
        <v>13242.2</v>
      </c>
      <c r="J8" s="225">
        <v>-11718.9</v>
      </c>
      <c r="K8" s="225">
        <v>829.19999999999993</v>
      </c>
      <c r="L8" s="225">
        <v>101982.6</v>
      </c>
      <c r="M8" s="225">
        <v>102811.8</v>
      </c>
      <c r="N8" s="225">
        <v>8916.2999999999993</v>
      </c>
      <c r="O8" s="1460" t="s">
        <v>705</v>
      </c>
      <c r="P8" s="225">
        <v>3678.5</v>
      </c>
      <c r="Q8" s="225">
        <v>9088.2000000000007</v>
      </c>
      <c r="R8" s="225">
        <v>4142.6000000000004</v>
      </c>
      <c r="S8" s="225">
        <v>-17391</v>
      </c>
      <c r="T8" s="225">
        <v>-2324.4999999999991</v>
      </c>
      <c r="U8" s="225">
        <v>-6484.699999999998</v>
      </c>
      <c r="V8" s="225">
        <v>-6110.1000000000022</v>
      </c>
    </row>
    <row r="9" spans="1:22" s="159" customFormat="1" ht="12" customHeight="1">
      <c r="A9" s="317" t="s">
        <v>1007</v>
      </c>
      <c r="B9" s="283">
        <v>211643</v>
      </c>
      <c r="C9" s="283">
        <v>272427.10000000003</v>
      </c>
      <c r="D9" s="283">
        <v>-60784.099999999991</v>
      </c>
      <c r="E9" s="283">
        <v>22601.1</v>
      </c>
      <c r="F9" s="283">
        <v>48387.100000000006</v>
      </c>
      <c r="G9" s="283">
        <v>-25786.000000000004</v>
      </c>
      <c r="H9" s="283">
        <v>965.00000000000011</v>
      </c>
      <c r="I9" s="283">
        <v>19441.600000000002</v>
      </c>
      <c r="J9" s="283">
        <v>-18476.600000000002</v>
      </c>
      <c r="K9" s="283">
        <v>516.6</v>
      </c>
      <c r="L9" s="283">
        <v>119520.40000000001</v>
      </c>
      <c r="M9" s="283">
        <v>120037</v>
      </c>
      <c r="N9" s="283">
        <v>14990.300000000003</v>
      </c>
      <c r="O9" s="317" t="s">
        <v>1007</v>
      </c>
      <c r="P9" s="283">
        <v>4690.7999999999993</v>
      </c>
      <c r="Q9" s="283">
        <v>-13776.300000000001</v>
      </c>
      <c r="R9" s="283">
        <v>742.90000000000009</v>
      </c>
      <c r="S9" s="283">
        <v>-15951.5</v>
      </c>
      <c r="T9" s="283">
        <v>41316</v>
      </c>
      <c r="U9" s="283">
        <v>12331.100000000002</v>
      </c>
      <c r="V9" s="283">
        <v>-7350.0000000000018</v>
      </c>
    </row>
    <row r="10" spans="1:22" s="159" customFormat="1" ht="12" customHeight="1">
      <c r="A10" s="1460" t="s">
        <v>991</v>
      </c>
      <c r="B10" s="225">
        <v>230946.3</v>
      </c>
      <c r="C10" s="225">
        <v>286835.69999999995</v>
      </c>
      <c r="D10" s="225">
        <v>-55889.4</v>
      </c>
      <c r="E10" s="225">
        <v>24212.899999999998</v>
      </c>
      <c r="F10" s="225">
        <v>56129.399999999994</v>
      </c>
      <c r="G10" s="225">
        <v>-31916.5</v>
      </c>
      <c r="H10" s="225">
        <v>1011.5000000000001</v>
      </c>
      <c r="I10" s="225">
        <v>21168.1</v>
      </c>
      <c r="J10" s="225">
        <v>-20156.599999999999</v>
      </c>
      <c r="K10" s="225">
        <v>615.20000000000005</v>
      </c>
      <c r="L10" s="225">
        <v>115425</v>
      </c>
      <c r="M10" s="225">
        <v>116040.2</v>
      </c>
      <c r="N10" s="225">
        <v>8077.7000000000044</v>
      </c>
      <c r="O10" s="1460" t="s">
        <v>991</v>
      </c>
      <c r="P10" s="225">
        <v>5009.5</v>
      </c>
      <c r="Q10" s="225">
        <v>-11562.9</v>
      </c>
      <c r="R10" s="225">
        <v>-3019.8999999999996</v>
      </c>
      <c r="S10" s="225">
        <v>-17019.400000000001</v>
      </c>
      <c r="T10" s="225">
        <v>45942.100000000006</v>
      </c>
      <c r="U10" s="225">
        <v>14339.899999999998</v>
      </c>
      <c r="V10" s="225">
        <v>1252.6999999999916</v>
      </c>
    </row>
    <row r="11" spans="1:22" s="159" customFormat="1" ht="12" customHeight="1">
      <c r="A11" s="317" t="s">
        <v>1042</v>
      </c>
      <c r="B11" s="283">
        <v>238483.7</v>
      </c>
      <c r="C11" s="283">
        <v>284654.7</v>
      </c>
      <c r="D11" s="283">
        <v>-46170.999999999993</v>
      </c>
      <c r="E11" s="283">
        <v>23956.9</v>
      </c>
      <c r="F11" s="283">
        <v>64556.600000000006</v>
      </c>
      <c r="G11" s="283">
        <v>-40599.699999999997</v>
      </c>
      <c r="H11" s="283">
        <v>582.6</v>
      </c>
      <c r="I11" s="283">
        <v>22769.799999999996</v>
      </c>
      <c r="J11" s="283">
        <v>-22187.200000000001</v>
      </c>
      <c r="K11" s="283">
        <v>594.6</v>
      </c>
      <c r="L11" s="283">
        <v>122888.8</v>
      </c>
      <c r="M11" s="283">
        <v>123483.4</v>
      </c>
      <c r="N11" s="283">
        <v>14525.500000000015</v>
      </c>
      <c r="O11" s="317" t="s">
        <v>1042</v>
      </c>
      <c r="P11" s="283">
        <v>4024.8999999999996</v>
      </c>
      <c r="Q11" s="283">
        <v>-14216.999999999998</v>
      </c>
      <c r="R11" s="283">
        <v>-4157.5</v>
      </c>
      <c r="S11" s="283">
        <v>-3579.9999999999991</v>
      </c>
      <c r="T11" s="283">
        <v>33041</v>
      </c>
      <c r="U11" s="283">
        <v>11086.5</v>
      </c>
      <c r="V11" s="283">
        <v>-7463.9000000000133</v>
      </c>
    </row>
    <row r="12" spans="1:22" s="159" customFormat="1" ht="12" customHeight="1">
      <c r="A12" s="1460" t="s">
        <v>1163</v>
      </c>
      <c r="B12" s="225">
        <v>261822.6</v>
      </c>
      <c r="C12" s="225">
        <v>303951.89999999997</v>
      </c>
      <c r="D12" s="225">
        <v>-42129.299999999996</v>
      </c>
      <c r="E12" s="225">
        <v>27156.699999999997</v>
      </c>
      <c r="F12" s="225">
        <v>57509.7</v>
      </c>
      <c r="G12" s="225">
        <v>-30353</v>
      </c>
      <c r="H12" s="225">
        <v>1200.1000000000001</v>
      </c>
      <c r="I12" s="225">
        <v>20802</v>
      </c>
      <c r="J12" s="225">
        <v>-19601.899999999998</v>
      </c>
      <c r="K12" s="225">
        <v>532.1</v>
      </c>
      <c r="L12" s="225">
        <v>119572.5</v>
      </c>
      <c r="M12" s="225">
        <v>120104.59999999999</v>
      </c>
      <c r="N12" s="225">
        <v>28020.399999999994</v>
      </c>
      <c r="O12" s="1460" t="s">
        <v>1163</v>
      </c>
      <c r="P12" s="225">
        <v>3748.4</v>
      </c>
      <c r="Q12" s="225">
        <v>-15496</v>
      </c>
      <c r="R12" s="225">
        <v>3977.3</v>
      </c>
      <c r="S12" s="225">
        <v>-13250.5</v>
      </c>
      <c r="T12" s="225">
        <v>42962.3</v>
      </c>
      <c r="U12" s="225">
        <v>18193.099999999999</v>
      </c>
      <c r="V12" s="225">
        <v>-13575.699999999997</v>
      </c>
    </row>
    <row r="13" spans="1:22" s="160" customFormat="1" ht="12" customHeight="1">
      <c r="A13" s="317" t="s">
        <v>1187</v>
      </c>
      <c r="B13" s="283">
        <v>269251.7</v>
      </c>
      <c r="C13" s="283">
        <v>334930</v>
      </c>
      <c r="D13" s="283">
        <v>-65678.300000000017</v>
      </c>
      <c r="E13" s="283">
        <v>28718.6</v>
      </c>
      <c r="F13" s="283">
        <v>64385.600000000006</v>
      </c>
      <c r="G13" s="283">
        <v>-35667.000000000007</v>
      </c>
      <c r="H13" s="283">
        <v>812.4</v>
      </c>
      <c r="I13" s="283">
        <v>21662.2</v>
      </c>
      <c r="J13" s="283">
        <v>-20849.8</v>
      </c>
      <c r="K13" s="283">
        <v>343.8</v>
      </c>
      <c r="L13" s="283">
        <v>105172.20000000001</v>
      </c>
      <c r="M13" s="283">
        <v>105516</v>
      </c>
      <c r="N13" s="283">
        <v>-16679.10000000002</v>
      </c>
      <c r="O13" s="317" t="s">
        <v>1187</v>
      </c>
      <c r="P13" s="283">
        <v>2486.3999999999996</v>
      </c>
      <c r="Q13" s="283">
        <v>-18863.099999999999</v>
      </c>
      <c r="R13" s="283">
        <v>-1288.7</v>
      </c>
      <c r="S13" s="283">
        <v>-27292</v>
      </c>
      <c r="T13" s="283">
        <v>26394.400000000001</v>
      </c>
      <c r="U13" s="283">
        <v>-21049.4</v>
      </c>
      <c r="V13" s="283">
        <v>-6856.6999999999807</v>
      </c>
    </row>
    <row r="14" spans="1:22" s="160" customFormat="1" ht="12" customHeight="1">
      <c r="A14" s="1460" t="s">
        <v>1311</v>
      </c>
      <c r="B14" s="225">
        <v>297456.2</v>
      </c>
      <c r="C14" s="225">
        <v>447422.4</v>
      </c>
      <c r="D14" s="225">
        <v>-149966.20000000001</v>
      </c>
      <c r="E14" s="225">
        <v>37062.899999999994</v>
      </c>
      <c r="F14" s="225">
        <v>76200.299999999988</v>
      </c>
      <c r="G14" s="225">
        <v>-39137.399999999994</v>
      </c>
      <c r="H14" s="225">
        <v>1035.0999999999999</v>
      </c>
      <c r="I14" s="225">
        <v>18647.8</v>
      </c>
      <c r="J14" s="225">
        <v>-17612.7</v>
      </c>
      <c r="K14" s="225">
        <v>397.6</v>
      </c>
      <c r="L14" s="225">
        <v>126970.9</v>
      </c>
      <c r="M14" s="225">
        <v>127368.5</v>
      </c>
      <c r="N14" s="225">
        <v>-79347.799999999988</v>
      </c>
      <c r="O14" s="1460" t="s">
        <v>1311</v>
      </c>
      <c r="P14" s="225">
        <v>2398.6999999999998</v>
      </c>
      <c r="Q14" s="225">
        <v>-14874.099999999999</v>
      </c>
      <c r="R14" s="225">
        <v>664.4</v>
      </c>
      <c r="S14" s="225">
        <v>-59732.399999999994</v>
      </c>
      <c r="T14" s="225">
        <v>-6402.3</v>
      </c>
      <c r="U14" s="225">
        <v>-80344.399999999994</v>
      </c>
      <c r="V14" s="225">
        <v>-3395.299999999992</v>
      </c>
    </row>
    <row r="15" spans="1:22" s="160" customFormat="1" ht="12" customHeight="1">
      <c r="A15" s="317" t="s">
        <v>1420</v>
      </c>
      <c r="B15" s="814">
        <v>335633.30000000005</v>
      </c>
      <c r="C15" s="814">
        <v>465793.29999999993</v>
      </c>
      <c r="D15" s="282">
        <v>-130160</v>
      </c>
      <c r="E15" s="282">
        <v>50849.100000000006</v>
      </c>
      <c r="F15" s="282">
        <v>79728</v>
      </c>
      <c r="G15" s="282">
        <v>-28878.899999999994</v>
      </c>
      <c r="H15" s="282">
        <v>3522.7999999999997</v>
      </c>
      <c r="I15" s="282">
        <v>20633.8</v>
      </c>
      <c r="J15" s="282">
        <v>-17111</v>
      </c>
      <c r="K15" s="282">
        <v>195</v>
      </c>
      <c r="L15" s="282">
        <v>142465.79999999999</v>
      </c>
      <c r="M15" s="282">
        <v>142660.79999999999</v>
      </c>
      <c r="N15" s="282">
        <v>-33489.099999999984</v>
      </c>
      <c r="O15" s="317" t="s">
        <v>1420</v>
      </c>
      <c r="P15" s="814">
        <v>1955.5</v>
      </c>
      <c r="Q15" s="814">
        <v>-22072.3</v>
      </c>
      <c r="R15" s="814">
        <v>1609.1999999999998</v>
      </c>
      <c r="S15" s="814">
        <v>-20294.7</v>
      </c>
      <c r="T15" s="814">
        <v>-831.5</v>
      </c>
      <c r="U15" s="814">
        <v>-41589.300000000003</v>
      </c>
      <c r="V15" s="814">
        <v>-10055.700000000017</v>
      </c>
    </row>
    <row r="16" spans="1:22" s="160" customFormat="1" ht="12" customHeight="1">
      <c r="A16" s="1426" t="s">
        <v>1502</v>
      </c>
      <c r="B16" s="880">
        <v>280337.59999999998</v>
      </c>
      <c r="C16" s="958">
        <v>429749</v>
      </c>
      <c r="D16" s="880">
        <v>-149411.4</v>
      </c>
      <c r="E16" s="880">
        <v>50747.8</v>
      </c>
      <c r="F16" s="880">
        <v>72093.8</v>
      </c>
      <c r="G16" s="958">
        <v>-21346</v>
      </c>
      <c r="H16" s="880">
        <v>1853.9</v>
      </c>
      <c r="I16" s="958">
        <v>23355</v>
      </c>
      <c r="J16" s="880">
        <v>-21501.1</v>
      </c>
      <c r="K16" s="880">
        <v>163.69999999999999</v>
      </c>
      <c r="L16" s="880">
        <v>158938.59999999998</v>
      </c>
      <c r="M16" s="880">
        <v>159102.29999999999</v>
      </c>
      <c r="N16" s="880">
        <v>-33156.19999999999</v>
      </c>
      <c r="O16" s="1426" t="s">
        <v>1502</v>
      </c>
      <c r="P16" s="880">
        <v>2174.1999999999998</v>
      </c>
      <c r="Q16" s="880">
        <v>-10783.7</v>
      </c>
      <c r="R16" s="880">
        <v>-124.90000000000002</v>
      </c>
      <c r="S16" s="880">
        <v>-55974.5</v>
      </c>
      <c r="T16" s="880">
        <v>27451.9</v>
      </c>
      <c r="U16" s="880">
        <v>-39431.200000000004</v>
      </c>
      <c r="V16" s="880">
        <v>-8449.2000000000135</v>
      </c>
    </row>
    <row r="17" spans="1:22" s="160" customFormat="1" ht="12" customHeight="1">
      <c r="A17" s="1872" t="s">
        <v>1555</v>
      </c>
      <c r="B17" s="865">
        <f>SUM(B18:B21)</f>
        <v>312956.5</v>
      </c>
      <c r="C17" s="864">
        <f t="shared" ref="C17:N17" si="2">SUM(C18:C21)</f>
        <v>514608.8</v>
      </c>
      <c r="D17" s="865">
        <f t="shared" si="2"/>
        <v>-201652.3</v>
      </c>
      <c r="E17" s="865">
        <f t="shared" si="2"/>
        <v>63459.3</v>
      </c>
      <c r="F17" s="865">
        <f t="shared" si="2"/>
        <v>87684</v>
      </c>
      <c r="G17" s="865">
        <f t="shared" si="2"/>
        <v>-24224.699999999997</v>
      </c>
      <c r="H17" s="865">
        <f t="shared" si="2"/>
        <v>2059.5</v>
      </c>
      <c r="I17" s="865">
        <f t="shared" si="2"/>
        <v>24609.199999999997</v>
      </c>
      <c r="J17" s="865">
        <f t="shared" si="2"/>
        <v>-22549.7</v>
      </c>
      <c r="K17" s="865">
        <f t="shared" si="2"/>
        <v>278.10000000000002</v>
      </c>
      <c r="L17" s="865">
        <f t="shared" si="2"/>
        <v>214737</v>
      </c>
      <c r="M17" s="865">
        <f t="shared" si="2"/>
        <v>215015.1</v>
      </c>
      <c r="N17" s="865">
        <f t="shared" si="2"/>
        <v>-33411.599999999977</v>
      </c>
      <c r="O17" s="1873" t="s">
        <v>1555</v>
      </c>
      <c r="P17" s="864">
        <f t="shared" ref="P17:V17" si="3">SUM(P18:P21)</f>
        <v>1872.6999999999998</v>
      </c>
      <c r="Q17" s="864">
        <f t="shared" si="3"/>
        <v>-11488.099999999999</v>
      </c>
      <c r="R17" s="864">
        <f t="shared" si="3"/>
        <v>2917.3</v>
      </c>
      <c r="S17" s="864">
        <f t="shared" si="3"/>
        <v>-107518.20000000001</v>
      </c>
      <c r="T17" s="864">
        <f t="shared" si="3"/>
        <v>84686.399999999994</v>
      </c>
      <c r="U17" s="864">
        <f t="shared" si="3"/>
        <v>-31402.6</v>
      </c>
      <c r="V17" s="864">
        <f t="shared" si="3"/>
        <v>136.29999999997744</v>
      </c>
    </row>
    <row r="18" spans="1:22" s="160" customFormat="1" ht="12" customHeight="1">
      <c r="A18" s="1460" t="s">
        <v>1303</v>
      </c>
      <c r="B18" s="225">
        <v>80550.8</v>
      </c>
      <c r="C18" s="225">
        <v>99540.1</v>
      </c>
      <c r="D18" s="225">
        <f t="shared" ref="D18:D21" si="4">B18-C18</f>
        <v>-18989.300000000003</v>
      </c>
      <c r="E18" s="225">
        <v>13721.9</v>
      </c>
      <c r="F18" s="225">
        <v>17991.400000000001</v>
      </c>
      <c r="G18" s="225">
        <f t="shared" ref="G18:G21" si="5">E18-F18</f>
        <v>-4269.5000000000018</v>
      </c>
      <c r="H18" s="225">
        <v>331.1</v>
      </c>
      <c r="I18" s="225">
        <v>6015.3</v>
      </c>
      <c r="J18" s="225">
        <f t="shared" ref="J18:J21" si="6">H18-I18</f>
        <v>-5684.2</v>
      </c>
      <c r="K18" s="225">
        <v>84.2</v>
      </c>
      <c r="L18" s="225">
        <v>57806.3</v>
      </c>
      <c r="M18" s="225">
        <f t="shared" ref="M18:M21" si="7">K18+L18</f>
        <v>57890.5</v>
      </c>
      <c r="N18" s="225">
        <f t="shared" ref="N18:N21" si="8">D18+G18+J18+M18</f>
        <v>28947.499999999996</v>
      </c>
      <c r="O18" s="1460" t="s">
        <v>1303</v>
      </c>
      <c r="P18" s="225">
        <v>427</v>
      </c>
      <c r="Q18" s="225">
        <v>-1927.4</v>
      </c>
      <c r="R18" s="225">
        <v>1444.8</v>
      </c>
      <c r="S18" s="225">
        <v>1940.9</v>
      </c>
      <c r="T18" s="225">
        <v>25437.5</v>
      </c>
      <c r="U18" s="225">
        <f t="shared" ref="U18:U21" si="9">Q18+R18+S18+T18</f>
        <v>26895.8</v>
      </c>
      <c r="V18" s="225">
        <f t="shared" ref="V18:V26" si="10">-(N18+P18-U18)</f>
        <v>-2478.6999999999971</v>
      </c>
    </row>
    <row r="19" spans="1:22" s="160" customFormat="1" ht="12" customHeight="1">
      <c r="A19" s="317" t="s">
        <v>1300</v>
      </c>
      <c r="B19" s="283">
        <v>75099.199999999997</v>
      </c>
      <c r="C19" s="283">
        <v>114396.9</v>
      </c>
      <c r="D19" s="283">
        <f t="shared" si="4"/>
        <v>-39297.699999999997</v>
      </c>
      <c r="E19" s="283">
        <v>16939.2</v>
      </c>
      <c r="F19" s="283">
        <v>21315.599999999999</v>
      </c>
      <c r="G19" s="283">
        <f t="shared" si="5"/>
        <v>-4376.3999999999978</v>
      </c>
      <c r="H19" s="283">
        <v>326.3</v>
      </c>
      <c r="I19" s="283">
        <v>7389.7</v>
      </c>
      <c r="J19" s="283">
        <f t="shared" si="6"/>
        <v>-7063.4</v>
      </c>
      <c r="K19" s="283">
        <v>80.7</v>
      </c>
      <c r="L19" s="283">
        <v>54379.8</v>
      </c>
      <c r="M19" s="283">
        <f t="shared" si="7"/>
        <v>54460.5</v>
      </c>
      <c r="N19" s="283">
        <f t="shared" si="8"/>
        <v>3723.0000000000073</v>
      </c>
      <c r="O19" s="317" t="s">
        <v>1300</v>
      </c>
      <c r="P19" s="283">
        <v>306.5</v>
      </c>
      <c r="Q19" s="283">
        <v>-5128.8999999999996</v>
      </c>
      <c r="R19" s="283">
        <v>193.8</v>
      </c>
      <c r="S19" s="283">
        <v>-24670.7</v>
      </c>
      <c r="T19" s="283">
        <v>30175.1</v>
      </c>
      <c r="U19" s="283">
        <f t="shared" si="9"/>
        <v>569.29999999999927</v>
      </c>
      <c r="V19" s="283">
        <f t="shared" si="10"/>
        <v>-3460.200000000008</v>
      </c>
    </row>
    <row r="20" spans="1:22" s="160" customFormat="1" ht="12" customHeight="1">
      <c r="A20" s="1460" t="s">
        <v>1301</v>
      </c>
      <c r="B20" s="225">
        <v>77985.600000000006</v>
      </c>
      <c r="C20" s="225">
        <v>148745.5</v>
      </c>
      <c r="D20" s="225">
        <f t="shared" si="4"/>
        <v>-70759.899999999994</v>
      </c>
      <c r="E20" s="225">
        <v>15844</v>
      </c>
      <c r="F20" s="225">
        <v>23201</v>
      </c>
      <c r="G20" s="225">
        <f t="shared" si="5"/>
        <v>-7357</v>
      </c>
      <c r="H20" s="225">
        <v>653.70000000000005</v>
      </c>
      <c r="I20" s="225">
        <v>5000.6000000000004</v>
      </c>
      <c r="J20" s="225">
        <f t="shared" si="6"/>
        <v>-4346.9000000000005</v>
      </c>
      <c r="K20" s="225">
        <v>24.6</v>
      </c>
      <c r="L20" s="225">
        <v>48993.599999999999</v>
      </c>
      <c r="M20" s="225">
        <f t="shared" si="7"/>
        <v>49018.2</v>
      </c>
      <c r="N20" s="225">
        <f t="shared" si="8"/>
        <v>-33445.599999999991</v>
      </c>
      <c r="O20" s="1460" t="s">
        <v>1301</v>
      </c>
      <c r="P20" s="225">
        <v>327.3</v>
      </c>
      <c r="Q20" s="225">
        <v>-2625.9</v>
      </c>
      <c r="R20" s="225">
        <v>676.4</v>
      </c>
      <c r="S20" s="225">
        <v>-33571</v>
      </c>
      <c r="T20" s="225">
        <v>4726.8999999999996</v>
      </c>
      <c r="U20" s="225">
        <f t="shared" si="9"/>
        <v>-30793.599999999999</v>
      </c>
      <c r="V20" s="225">
        <f t="shared" si="10"/>
        <v>2324.6999999999898</v>
      </c>
    </row>
    <row r="21" spans="1:22" s="160" customFormat="1" ht="12" customHeight="1">
      <c r="A21" s="317" t="s">
        <v>1302</v>
      </c>
      <c r="B21" s="283">
        <v>79320.899999999994</v>
      </c>
      <c r="C21" s="283">
        <v>151926.29999999999</v>
      </c>
      <c r="D21" s="283">
        <f t="shared" si="4"/>
        <v>-72605.399999999994</v>
      </c>
      <c r="E21" s="283">
        <v>16954.2</v>
      </c>
      <c r="F21" s="283">
        <v>25176</v>
      </c>
      <c r="G21" s="283">
        <f t="shared" si="5"/>
        <v>-8221.7999999999993</v>
      </c>
      <c r="H21" s="283">
        <v>748.4</v>
      </c>
      <c r="I21" s="283">
        <v>6203.6</v>
      </c>
      <c r="J21" s="283">
        <f t="shared" si="6"/>
        <v>-5455.2000000000007</v>
      </c>
      <c r="K21" s="283">
        <v>88.6</v>
      </c>
      <c r="L21" s="283">
        <v>53557.3</v>
      </c>
      <c r="M21" s="283">
        <f t="shared" si="7"/>
        <v>53645.9</v>
      </c>
      <c r="N21" s="283">
        <f t="shared" si="8"/>
        <v>-32636.499999999993</v>
      </c>
      <c r="O21" s="317" t="s">
        <v>1302</v>
      </c>
      <c r="P21" s="283">
        <v>811.9</v>
      </c>
      <c r="Q21" s="283">
        <v>-1805.9</v>
      </c>
      <c r="R21" s="283">
        <v>602.29999999999995</v>
      </c>
      <c r="S21" s="283">
        <v>-51217.4</v>
      </c>
      <c r="T21" s="283">
        <v>24346.9</v>
      </c>
      <c r="U21" s="283">
        <f t="shared" si="9"/>
        <v>-28074.1</v>
      </c>
      <c r="V21" s="283">
        <f t="shared" si="10"/>
        <v>3750.4999999999927</v>
      </c>
    </row>
    <row r="22" spans="1:22" s="160" customFormat="1" ht="12" customHeight="1">
      <c r="A22" s="1426" t="s">
        <v>1836</v>
      </c>
      <c r="B22" s="958">
        <f>SUM(B23:B26)</f>
        <v>425479.5</v>
      </c>
      <c r="C22" s="880">
        <f t="shared" ref="C22:N22" si="11">SUM(C23:C26)</f>
        <v>712444.7</v>
      </c>
      <c r="D22" s="958">
        <f t="shared" si="11"/>
        <v>-286965.19999999995</v>
      </c>
      <c r="E22" s="958">
        <f t="shared" si="11"/>
        <v>86166</v>
      </c>
      <c r="F22" s="958">
        <f t="shared" si="11"/>
        <v>117554.3</v>
      </c>
      <c r="G22" s="958">
        <f t="shared" si="11"/>
        <v>-31388.300000000007</v>
      </c>
      <c r="H22" s="958">
        <f t="shared" si="11"/>
        <v>3226.7999999999997</v>
      </c>
      <c r="I22" s="958">
        <f t="shared" si="11"/>
        <v>26478.7</v>
      </c>
      <c r="J22" s="958">
        <f t="shared" si="11"/>
        <v>-23251.9</v>
      </c>
      <c r="K22" s="958">
        <f t="shared" si="11"/>
        <v>148.9</v>
      </c>
      <c r="L22" s="958">
        <f t="shared" si="11"/>
        <v>186953.8</v>
      </c>
      <c r="M22" s="958">
        <f t="shared" si="11"/>
        <v>187102.7</v>
      </c>
      <c r="N22" s="958">
        <f t="shared" si="11"/>
        <v>-154502.70000000001</v>
      </c>
      <c r="O22" s="1426" t="s">
        <v>1836</v>
      </c>
      <c r="P22" s="880">
        <f t="shared" ref="P22:V22" si="12">SUM(P23:P26)</f>
        <v>1669.8</v>
      </c>
      <c r="Q22" s="880">
        <f t="shared" si="12"/>
        <v>-15705.4</v>
      </c>
      <c r="R22" s="880">
        <f t="shared" si="12"/>
        <v>3088.3</v>
      </c>
      <c r="S22" s="880">
        <f t="shared" si="12"/>
        <v>-128038.5</v>
      </c>
      <c r="T22" s="880">
        <f t="shared" si="12"/>
        <v>-31690.5</v>
      </c>
      <c r="U22" s="880">
        <f t="shared" si="12"/>
        <v>-172346.1</v>
      </c>
      <c r="V22" s="880">
        <f t="shared" si="12"/>
        <v>-19513.200000000008</v>
      </c>
    </row>
    <row r="23" spans="1:22" s="160" customFormat="1" ht="12" customHeight="1">
      <c r="A23" s="317" t="s">
        <v>1303</v>
      </c>
      <c r="B23" s="283">
        <v>89664.6</v>
      </c>
      <c r="C23" s="283">
        <v>147272.4</v>
      </c>
      <c r="D23" s="283">
        <f t="shared" ref="D23:D41" si="13">B23-C23</f>
        <v>-57607.799999999988</v>
      </c>
      <c r="E23" s="283">
        <v>18439.400000000001</v>
      </c>
      <c r="F23" s="283">
        <v>23105.200000000001</v>
      </c>
      <c r="G23" s="283">
        <f t="shared" ref="G23:G26" si="14">E23-F23</f>
        <v>-4665.7999999999993</v>
      </c>
      <c r="H23" s="283">
        <v>846.7</v>
      </c>
      <c r="I23" s="283">
        <v>6387.1</v>
      </c>
      <c r="J23" s="283">
        <f t="shared" ref="J23:J26" si="15">H23-I23</f>
        <v>-5540.4000000000005</v>
      </c>
      <c r="K23" s="283">
        <v>59.4</v>
      </c>
      <c r="L23" s="283">
        <v>47187.6</v>
      </c>
      <c r="M23" s="283">
        <f t="shared" ref="M23:M26" si="16">K23+L23</f>
        <v>47247</v>
      </c>
      <c r="N23" s="283">
        <f t="shared" ref="N23:N26" si="17">D23+G23+J23+M23</f>
        <v>-20566.999999999985</v>
      </c>
      <c r="O23" s="317" t="s">
        <v>1303</v>
      </c>
      <c r="P23" s="283">
        <v>581.1</v>
      </c>
      <c r="Q23" s="283">
        <v>-3184.2</v>
      </c>
      <c r="R23" s="283">
        <v>817</v>
      </c>
      <c r="S23" s="283">
        <v>-24155</v>
      </c>
      <c r="T23" s="283">
        <v>-267.39999999999998</v>
      </c>
      <c r="U23" s="283">
        <f t="shared" ref="U23:U26" si="18">Q23+R23+S23+T23</f>
        <v>-26789.600000000002</v>
      </c>
      <c r="V23" s="283">
        <f t="shared" si="10"/>
        <v>-6803.7000000000153</v>
      </c>
    </row>
    <row r="24" spans="1:22" s="160" customFormat="1" ht="12" customHeight="1">
      <c r="A24" s="1460" t="s">
        <v>1300</v>
      </c>
      <c r="B24" s="225">
        <v>109026.4</v>
      </c>
      <c r="C24" s="225">
        <v>185613.8</v>
      </c>
      <c r="D24" s="225">
        <f t="shared" si="13"/>
        <v>-76587.399999999994</v>
      </c>
      <c r="E24" s="225">
        <v>22341.8</v>
      </c>
      <c r="F24" s="225">
        <v>30961.9</v>
      </c>
      <c r="G24" s="225">
        <f t="shared" si="14"/>
        <v>-8620.1000000000022</v>
      </c>
      <c r="H24" s="225">
        <v>603.79999999999995</v>
      </c>
      <c r="I24" s="225">
        <v>5996.4</v>
      </c>
      <c r="J24" s="225">
        <f t="shared" si="15"/>
        <v>-5392.5999999999995</v>
      </c>
      <c r="K24" s="225">
        <v>45.7</v>
      </c>
      <c r="L24" s="225">
        <v>42860.4</v>
      </c>
      <c r="M24" s="225">
        <f t="shared" si="16"/>
        <v>42906.1</v>
      </c>
      <c r="N24" s="225">
        <f t="shared" si="17"/>
        <v>-47694.000000000007</v>
      </c>
      <c r="O24" s="1460" t="s">
        <v>1300</v>
      </c>
      <c r="P24" s="225">
        <v>606.4</v>
      </c>
      <c r="Q24" s="225">
        <v>-6373.6</v>
      </c>
      <c r="R24" s="225">
        <v>570.1</v>
      </c>
      <c r="S24" s="225">
        <v>-40831.5</v>
      </c>
      <c r="T24" s="225">
        <v>-148</v>
      </c>
      <c r="U24" s="225">
        <f t="shared" si="18"/>
        <v>-46783</v>
      </c>
      <c r="V24" s="225">
        <f t="shared" si="10"/>
        <v>304.60000000000582</v>
      </c>
    </row>
    <row r="25" spans="1:22" s="160" customFormat="1" ht="12" customHeight="1">
      <c r="A25" s="317" t="s">
        <v>1301</v>
      </c>
      <c r="B25" s="283">
        <v>113777</v>
      </c>
      <c r="C25" s="283">
        <v>193965.9</v>
      </c>
      <c r="D25" s="283">
        <f t="shared" si="13"/>
        <v>-80188.899999999994</v>
      </c>
      <c r="E25" s="283">
        <v>21237.8</v>
      </c>
      <c r="F25" s="283">
        <v>29981.4</v>
      </c>
      <c r="G25" s="283">
        <f t="shared" si="14"/>
        <v>-8743.6000000000022</v>
      </c>
      <c r="H25" s="283">
        <v>909.2</v>
      </c>
      <c r="I25" s="283">
        <v>7264.9</v>
      </c>
      <c r="J25" s="283">
        <f t="shared" si="15"/>
        <v>-6355.7</v>
      </c>
      <c r="K25" s="283">
        <v>24</v>
      </c>
      <c r="L25" s="283">
        <v>44590.5</v>
      </c>
      <c r="M25" s="283">
        <f t="shared" si="16"/>
        <v>44614.5</v>
      </c>
      <c r="N25" s="283">
        <f t="shared" si="17"/>
        <v>-50673.7</v>
      </c>
      <c r="O25" s="317" t="s">
        <v>1301</v>
      </c>
      <c r="P25" s="283">
        <v>239.3</v>
      </c>
      <c r="Q25" s="283">
        <v>-4441.8999999999996</v>
      </c>
      <c r="R25" s="283">
        <v>590.70000000000005</v>
      </c>
      <c r="S25" s="283">
        <v>-33771.199999999997</v>
      </c>
      <c r="T25" s="283">
        <v>-16767.2</v>
      </c>
      <c r="U25" s="283">
        <f t="shared" si="18"/>
        <v>-54389.599999999991</v>
      </c>
      <c r="V25" s="283">
        <f t="shared" si="10"/>
        <v>-3955.1999999999971</v>
      </c>
    </row>
    <row r="26" spans="1:22" s="160" customFormat="1" ht="12" customHeight="1">
      <c r="A26" s="1460" t="s">
        <v>1302</v>
      </c>
      <c r="B26" s="225">
        <v>113011.5</v>
      </c>
      <c r="C26" s="225">
        <v>185592.6</v>
      </c>
      <c r="D26" s="225">
        <f t="shared" si="13"/>
        <v>-72581.100000000006</v>
      </c>
      <c r="E26" s="225">
        <v>24147</v>
      </c>
      <c r="F26" s="225">
        <v>33505.800000000003</v>
      </c>
      <c r="G26" s="225">
        <f t="shared" si="14"/>
        <v>-9358.8000000000029</v>
      </c>
      <c r="H26" s="225">
        <v>867.1</v>
      </c>
      <c r="I26" s="225">
        <v>6830.3</v>
      </c>
      <c r="J26" s="225">
        <f t="shared" si="15"/>
        <v>-5963.2</v>
      </c>
      <c r="K26" s="225">
        <v>19.8</v>
      </c>
      <c r="L26" s="225">
        <v>52315.3</v>
      </c>
      <c r="M26" s="225">
        <f t="shared" si="16"/>
        <v>52335.100000000006</v>
      </c>
      <c r="N26" s="225">
        <f t="shared" si="17"/>
        <v>-35568</v>
      </c>
      <c r="O26" s="1460" t="s">
        <v>1302</v>
      </c>
      <c r="P26" s="225">
        <v>243</v>
      </c>
      <c r="Q26" s="225">
        <v>-1705.7</v>
      </c>
      <c r="R26" s="225">
        <v>1110.5</v>
      </c>
      <c r="S26" s="225">
        <v>-29280.799999999999</v>
      </c>
      <c r="T26" s="225">
        <v>-14507.9</v>
      </c>
      <c r="U26" s="225">
        <f t="shared" si="18"/>
        <v>-44383.9</v>
      </c>
      <c r="V26" s="225">
        <f t="shared" si="10"/>
        <v>-9058.9000000000015</v>
      </c>
    </row>
    <row r="27" spans="1:22" s="160" customFormat="1" ht="12" customHeight="1">
      <c r="A27" s="1872" t="s">
        <v>2088</v>
      </c>
      <c r="B27" s="865">
        <f>SUM(B28:B31)</f>
        <v>430804.8</v>
      </c>
      <c r="C27" s="864">
        <f t="shared" ref="C27:N27" si="19">SUM(C28:C31)</f>
        <v>701529.2</v>
      </c>
      <c r="D27" s="865">
        <f t="shared" si="19"/>
        <v>-270724.39999999997</v>
      </c>
      <c r="E27" s="865">
        <f t="shared" si="19"/>
        <v>69705</v>
      </c>
      <c r="F27" s="865">
        <f t="shared" si="19"/>
        <v>95520.7</v>
      </c>
      <c r="G27" s="865">
        <f t="shared" si="19"/>
        <v>-25815.699999999997</v>
      </c>
      <c r="H27" s="865">
        <f t="shared" si="19"/>
        <v>4556.5</v>
      </c>
      <c r="I27" s="865">
        <f t="shared" si="19"/>
        <v>37921</v>
      </c>
      <c r="J27" s="865">
        <f t="shared" si="19"/>
        <v>-33364.5</v>
      </c>
      <c r="K27" s="865">
        <f t="shared" si="19"/>
        <v>934.4</v>
      </c>
      <c r="L27" s="865">
        <f t="shared" si="19"/>
        <v>220411.5</v>
      </c>
      <c r="M27" s="865">
        <f t="shared" si="19"/>
        <v>221345.9</v>
      </c>
      <c r="N27" s="865">
        <f t="shared" si="19"/>
        <v>-108558.69999999998</v>
      </c>
      <c r="O27" s="1872" t="s">
        <v>2088</v>
      </c>
      <c r="P27" s="864">
        <f t="shared" ref="P27:V27" si="20">SUM(P28:P31)</f>
        <v>5028.2</v>
      </c>
      <c r="Q27" s="864">
        <f t="shared" si="20"/>
        <v>-15783.8</v>
      </c>
      <c r="R27" s="864">
        <f t="shared" si="20"/>
        <v>2588.1999999999998</v>
      </c>
      <c r="S27" s="864">
        <f t="shared" si="20"/>
        <v>-53242.5</v>
      </c>
      <c r="T27" s="864">
        <f t="shared" si="20"/>
        <v>-81950.299999999988</v>
      </c>
      <c r="U27" s="864">
        <f t="shared" si="20"/>
        <v>-148388.40000000002</v>
      </c>
      <c r="V27" s="864">
        <f t="shared" si="20"/>
        <v>-44857.900000000038</v>
      </c>
    </row>
    <row r="28" spans="1:22" s="1311" customFormat="1" ht="12" customHeight="1">
      <c r="A28" s="1460" t="s">
        <v>1303</v>
      </c>
      <c r="B28" s="225">
        <v>106024.1</v>
      </c>
      <c r="C28" s="225">
        <v>184235.1</v>
      </c>
      <c r="D28" s="225">
        <f t="shared" si="13"/>
        <v>-78211</v>
      </c>
      <c r="E28" s="225">
        <v>18099.3</v>
      </c>
      <c r="F28" s="225">
        <v>24790.6</v>
      </c>
      <c r="G28" s="225">
        <f t="shared" ref="G28:G31" si="21">E28-F28</f>
        <v>-6691.2999999999993</v>
      </c>
      <c r="H28" s="225">
        <v>1004.8</v>
      </c>
      <c r="I28" s="225">
        <v>7625.3</v>
      </c>
      <c r="J28" s="225">
        <f t="shared" ref="J28:J31" si="22">H28-I28</f>
        <v>-6620.5</v>
      </c>
      <c r="K28" s="225">
        <v>145.4</v>
      </c>
      <c r="L28" s="225">
        <v>54880.800000000003</v>
      </c>
      <c r="M28" s="225">
        <f t="shared" ref="M28:M31" si="23">K28+L28</f>
        <v>55026.200000000004</v>
      </c>
      <c r="N28" s="225">
        <f t="shared" ref="N28:N31" si="24">D28+G28+J28+M28</f>
        <v>-36496.6</v>
      </c>
      <c r="O28" s="1460" t="s">
        <v>1303</v>
      </c>
      <c r="P28" s="225">
        <v>344.4</v>
      </c>
      <c r="Q28" s="225">
        <v>-4664.8</v>
      </c>
      <c r="R28" s="225">
        <v>556.9</v>
      </c>
      <c r="S28" s="225">
        <v>3612.5</v>
      </c>
      <c r="T28" s="225">
        <v>-43937.3</v>
      </c>
      <c r="U28" s="225">
        <f t="shared" ref="U28:U31" si="25">Q28+R28+S28+T28</f>
        <v>-44432.700000000004</v>
      </c>
      <c r="V28" s="225">
        <f t="shared" ref="V28:V31" si="26">-(N28+P28-U28)</f>
        <v>-8280.5000000000073</v>
      </c>
    </row>
    <row r="29" spans="1:22" s="160" customFormat="1" ht="12" customHeight="1">
      <c r="A29" s="317" t="s">
        <v>1300</v>
      </c>
      <c r="B29" s="283">
        <v>111127.8</v>
      </c>
      <c r="C29" s="283">
        <v>185540.5</v>
      </c>
      <c r="D29" s="283">
        <f t="shared" si="13"/>
        <v>-74412.7</v>
      </c>
      <c r="E29" s="283">
        <v>18472.3</v>
      </c>
      <c r="F29" s="283">
        <v>23245.3</v>
      </c>
      <c r="G29" s="283">
        <f t="shared" si="21"/>
        <v>-4773</v>
      </c>
      <c r="H29" s="283">
        <v>1155.9000000000001</v>
      </c>
      <c r="I29" s="283">
        <v>7758.2</v>
      </c>
      <c r="J29" s="283">
        <f t="shared" si="22"/>
        <v>-6602.2999999999993</v>
      </c>
      <c r="K29" s="283">
        <v>229.1</v>
      </c>
      <c r="L29" s="283">
        <v>48728.9</v>
      </c>
      <c r="M29" s="283">
        <f t="shared" si="23"/>
        <v>48958</v>
      </c>
      <c r="N29" s="283">
        <f t="shared" si="24"/>
        <v>-36830</v>
      </c>
      <c r="O29" s="317" t="s">
        <v>1300</v>
      </c>
      <c r="P29" s="283">
        <v>1347.6</v>
      </c>
      <c r="Q29" s="283">
        <v>-3596.8</v>
      </c>
      <c r="R29" s="283">
        <v>686.7</v>
      </c>
      <c r="S29" s="283">
        <v>-17646</v>
      </c>
      <c r="T29" s="283">
        <v>-26620.2</v>
      </c>
      <c r="U29" s="283">
        <f t="shared" si="25"/>
        <v>-47176.3</v>
      </c>
      <c r="V29" s="283">
        <f t="shared" si="26"/>
        <v>-11693.900000000001</v>
      </c>
    </row>
    <row r="30" spans="1:22" s="160" customFormat="1" ht="12" customHeight="1">
      <c r="A30" s="1460" t="s">
        <v>1301</v>
      </c>
      <c r="B30" s="225">
        <v>107051.6</v>
      </c>
      <c r="C30" s="225">
        <v>165165.29999999999</v>
      </c>
      <c r="D30" s="225">
        <f t="shared" si="13"/>
        <v>-58113.699999999983</v>
      </c>
      <c r="E30" s="225">
        <v>16162.1</v>
      </c>
      <c r="F30" s="225">
        <v>21245.599999999999</v>
      </c>
      <c r="G30" s="225">
        <f t="shared" si="21"/>
        <v>-5083.4999999999982</v>
      </c>
      <c r="H30" s="225">
        <v>1128.0999999999999</v>
      </c>
      <c r="I30" s="225">
        <v>9032.7000000000007</v>
      </c>
      <c r="J30" s="225">
        <f t="shared" si="22"/>
        <v>-7904.6</v>
      </c>
      <c r="K30" s="225">
        <v>232.9</v>
      </c>
      <c r="L30" s="225">
        <v>56976.4</v>
      </c>
      <c r="M30" s="225">
        <f t="shared" si="23"/>
        <v>57209.3</v>
      </c>
      <c r="N30" s="225">
        <f t="shared" si="24"/>
        <v>-13892.499999999985</v>
      </c>
      <c r="O30" s="1460" t="s">
        <v>1301</v>
      </c>
      <c r="P30" s="225">
        <v>1229.2</v>
      </c>
      <c r="Q30" s="225">
        <v>-3165.5</v>
      </c>
      <c r="R30" s="225">
        <v>796.7</v>
      </c>
      <c r="S30" s="225">
        <v>98.4</v>
      </c>
      <c r="T30" s="225">
        <v>-20936.400000000001</v>
      </c>
      <c r="U30" s="225">
        <f t="shared" si="25"/>
        <v>-23206.800000000003</v>
      </c>
      <c r="V30" s="225">
        <f t="shared" si="26"/>
        <v>-10543.500000000018</v>
      </c>
    </row>
    <row r="31" spans="1:22" s="160" customFormat="1" ht="12" customHeight="1">
      <c r="A31" s="317" t="s">
        <v>1302</v>
      </c>
      <c r="B31" s="283">
        <v>106601.3</v>
      </c>
      <c r="C31" s="283">
        <v>166588.29999999999</v>
      </c>
      <c r="D31" s="283">
        <f t="shared" si="13"/>
        <v>-59986.999999999985</v>
      </c>
      <c r="E31" s="283">
        <v>16971.3</v>
      </c>
      <c r="F31" s="283">
        <v>26239.200000000001</v>
      </c>
      <c r="G31" s="283">
        <f t="shared" si="21"/>
        <v>-9267.9000000000015</v>
      </c>
      <c r="H31" s="283">
        <v>1267.7</v>
      </c>
      <c r="I31" s="283">
        <v>13504.8</v>
      </c>
      <c r="J31" s="283">
        <f t="shared" si="22"/>
        <v>-12237.099999999999</v>
      </c>
      <c r="K31" s="283">
        <v>327</v>
      </c>
      <c r="L31" s="283">
        <v>59825.4</v>
      </c>
      <c r="M31" s="283">
        <f t="shared" si="23"/>
        <v>60152.4</v>
      </c>
      <c r="N31" s="283">
        <f t="shared" si="24"/>
        <v>-21339.599999999999</v>
      </c>
      <c r="O31" s="317" t="s">
        <v>1302</v>
      </c>
      <c r="P31" s="283">
        <v>2107</v>
      </c>
      <c r="Q31" s="283">
        <v>-4356.7</v>
      </c>
      <c r="R31" s="283">
        <v>547.9</v>
      </c>
      <c r="S31" s="283">
        <v>-39307.4</v>
      </c>
      <c r="T31" s="283">
        <v>9543.6</v>
      </c>
      <c r="U31" s="283">
        <f t="shared" si="25"/>
        <v>-33572.600000000006</v>
      </c>
      <c r="V31" s="283">
        <f t="shared" si="26"/>
        <v>-14340.000000000007</v>
      </c>
    </row>
    <row r="32" spans="1:22" s="160" customFormat="1" ht="12" customHeight="1">
      <c r="A32" s="1426" t="s">
        <v>2897</v>
      </c>
      <c r="B32" s="958">
        <f>SUM(B33:B36)</f>
        <v>453354.80000000005</v>
      </c>
      <c r="C32" s="880">
        <f t="shared" ref="C32:N32" si="27">SUM(C33:C36)</f>
        <v>702677.4</v>
      </c>
      <c r="D32" s="958">
        <f t="shared" si="27"/>
        <v>-249322.60000000003</v>
      </c>
      <c r="E32" s="958">
        <f t="shared" si="27"/>
        <v>69982.200000000012</v>
      </c>
      <c r="F32" s="958">
        <f t="shared" si="27"/>
        <v>113747.00000000001</v>
      </c>
      <c r="G32" s="958">
        <f t="shared" si="27"/>
        <v>-43764.800000000003</v>
      </c>
      <c r="H32" s="958">
        <f t="shared" si="27"/>
        <v>24237.100000000002</v>
      </c>
      <c r="I32" s="958">
        <f t="shared" si="27"/>
        <v>72238.5</v>
      </c>
      <c r="J32" s="958">
        <f t="shared" si="27"/>
        <v>-48001.399999999994</v>
      </c>
      <c r="K32" s="958">
        <f t="shared" si="27"/>
        <v>958.2</v>
      </c>
      <c r="L32" s="958">
        <f t="shared" si="27"/>
        <v>270249.2</v>
      </c>
      <c r="M32" s="958">
        <f t="shared" si="27"/>
        <v>271207.40000000002</v>
      </c>
      <c r="N32" s="958">
        <f t="shared" si="27"/>
        <v>-69881.400000000052</v>
      </c>
      <c r="O32" s="1426" t="s">
        <v>2228</v>
      </c>
      <c r="P32" s="880">
        <f t="shared" ref="P32:V32" si="28">SUM(P33:P36)</f>
        <v>8229.7999999999993</v>
      </c>
      <c r="Q32" s="880">
        <f t="shared" si="28"/>
        <v>-15714.5</v>
      </c>
      <c r="R32" s="880">
        <f t="shared" si="28"/>
        <v>4085.2000000000003</v>
      </c>
      <c r="S32" s="880">
        <f t="shared" si="28"/>
        <v>-58671.199999999997</v>
      </c>
      <c r="T32" s="880">
        <f t="shared" si="28"/>
        <v>-29937.9</v>
      </c>
      <c r="U32" s="880">
        <f t="shared" si="28"/>
        <v>-100238.39999999999</v>
      </c>
      <c r="V32" s="880">
        <f t="shared" si="28"/>
        <v>-38586.799999999945</v>
      </c>
    </row>
    <row r="33" spans="1:24" s="160" customFormat="1" ht="12" customHeight="1">
      <c r="A33" s="1461" t="s">
        <v>1303</v>
      </c>
      <c r="B33" s="283">
        <v>109930.5</v>
      </c>
      <c r="C33" s="283">
        <v>164757.1</v>
      </c>
      <c r="D33" s="283">
        <f t="shared" si="13"/>
        <v>-54826.600000000006</v>
      </c>
      <c r="E33" s="283">
        <v>15940.8</v>
      </c>
      <c r="F33" s="283">
        <v>25681.5</v>
      </c>
      <c r="G33" s="283">
        <f t="shared" ref="G33:G36" si="29">E33-F33</f>
        <v>-9740.7000000000007</v>
      </c>
      <c r="H33" s="283">
        <v>4439.3</v>
      </c>
      <c r="I33" s="283">
        <v>14392.1</v>
      </c>
      <c r="J33" s="283">
        <f t="shared" ref="J33:J36" si="30">H33-I33</f>
        <v>-9952.7999999999993</v>
      </c>
      <c r="K33" s="283">
        <v>95.1</v>
      </c>
      <c r="L33" s="283">
        <v>54737.3</v>
      </c>
      <c r="M33" s="283">
        <f>K33+L33</f>
        <v>54832.4</v>
      </c>
      <c r="N33" s="283">
        <f t="shared" ref="N33:N36" si="31">D33+G33+J33+M33</f>
        <v>-19687.700000000004</v>
      </c>
      <c r="O33" s="317" t="s">
        <v>1303</v>
      </c>
      <c r="P33" s="283">
        <v>459.8</v>
      </c>
      <c r="Q33" s="283">
        <v>-3765.8</v>
      </c>
      <c r="R33" s="283">
        <v>897.2</v>
      </c>
      <c r="S33" s="283">
        <v>23350.400000000001</v>
      </c>
      <c r="T33" s="283">
        <v>-38430.5</v>
      </c>
      <c r="U33" s="283">
        <f t="shared" ref="U33:U36" si="32">Q33+R33+S33+T33</f>
        <v>-17948.699999999997</v>
      </c>
      <c r="V33" s="283">
        <f t="shared" ref="V33:V36" si="33">-(N33+P33-U33)</f>
        <v>1279.200000000008</v>
      </c>
    </row>
    <row r="34" spans="1:24" s="160" customFormat="1" ht="12" customHeight="1">
      <c r="A34" s="1861" t="s">
        <v>1300</v>
      </c>
      <c r="B34" s="225">
        <v>111230.39999999999</v>
      </c>
      <c r="C34" s="225">
        <v>179490</v>
      </c>
      <c r="D34" s="225">
        <f t="shared" si="13"/>
        <v>-68259.600000000006</v>
      </c>
      <c r="E34" s="225">
        <v>18470</v>
      </c>
      <c r="F34" s="225">
        <v>26594.799999999999</v>
      </c>
      <c r="G34" s="225">
        <f t="shared" si="29"/>
        <v>-8124.7999999999993</v>
      </c>
      <c r="H34" s="225">
        <v>6636.6</v>
      </c>
      <c r="I34" s="225">
        <v>18433.3</v>
      </c>
      <c r="J34" s="225">
        <f t="shared" si="30"/>
        <v>-11796.699999999999</v>
      </c>
      <c r="K34" s="225">
        <v>152.80000000000001</v>
      </c>
      <c r="L34" s="225">
        <v>66149.100000000006</v>
      </c>
      <c r="M34" s="225">
        <f t="shared" ref="M34:M36" si="34">K34+L34</f>
        <v>66301.900000000009</v>
      </c>
      <c r="N34" s="225">
        <f t="shared" si="31"/>
        <v>-21879.199999999997</v>
      </c>
      <c r="O34" s="1460" t="s">
        <v>1300</v>
      </c>
      <c r="P34" s="225">
        <v>1298.5</v>
      </c>
      <c r="Q34" s="225">
        <v>-4258.3</v>
      </c>
      <c r="R34" s="225">
        <v>1219.2</v>
      </c>
      <c r="S34" s="225">
        <v>-33193.699999999997</v>
      </c>
      <c r="T34" s="225">
        <v>6949.5</v>
      </c>
      <c r="U34" s="225">
        <f t="shared" si="32"/>
        <v>-29283.299999999996</v>
      </c>
      <c r="V34" s="225">
        <f t="shared" si="33"/>
        <v>-8702.5999999999985</v>
      </c>
    </row>
    <row r="35" spans="1:24" s="160" customFormat="1" ht="12" customHeight="1">
      <c r="A35" s="1461" t="s">
        <v>1301</v>
      </c>
      <c r="B35" s="283">
        <v>119122.3</v>
      </c>
      <c r="C35" s="283">
        <v>169390.2</v>
      </c>
      <c r="D35" s="283">
        <f t="shared" si="13"/>
        <v>-50267.900000000009</v>
      </c>
      <c r="E35" s="283">
        <v>16770.3</v>
      </c>
      <c r="F35" s="283">
        <v>28179.4</v>
      </c>
      <c r="G35" s="283">
        <f t="shared" si="29"/>
        <v>-11409.100000000002</v>
      </c>
      <c r="H35" s="283">
        <v>5771.9</v>
      </c>
      <c r="I35" s="283">
        <v>18575.5</v>
      </c>
      <c r="J35" s="283">
        <f t="shared" si="30"/>
        <v>-12803.6</v>
      </c>
      <c r="K35" s="283">
        <v>198.9</v>
      </c>
      <c r="L35" s="283">
        <v>69915</v>
      </c>
      <c r="M35" s="283">
        <f t="shared" si="34"/>
        <v>70113.899999999994</v>
      </c>
      <c r="N35" s="283">
        <f t="shared" si="31"/>
        <v>-4366.7000000000262</v>
      </c>
      <c r="O35" s="281" t="s">
        <v>1301</v>
      </c>
      <c r="P35" s="283">
        <v>1400.2</v>
      </c>
      <c r="Q35" s="283">
        <v>-4613.1000000000004</v>
      </c>
      <c r="R35" s="283">
        <v>757.4</v>
      </c>
      <c r="S35" s="283">
        <v>14170.2</v>
      </c>
      <c r="T35" s="283">
        <v>-19439.5</v>
      </c>
      <c r="U35" s="283">
        <f t="shared" si="32"/>
        <v>-9125</v>
      </c>
      <c r="V35" s="283">
        <f t="shared" si="33"/>
        <v>-6158.4999999999736</v>
      </c>
    </row>
    <row r="36" spans="1:24" s="160" customFormat="1" ht="12" customHeight="1">
      <c r="A36" s="1861" t="s">
        <v>1302</v>
      </c>
      <c r="B36" s="225">
        <v>113071.6</v>
      </c>
      <c r="C36" s="225">
        <v>189040.1</v>
      </c>
      <c r="D36" s="225">
        <f t="shared" si="13"/>
        <v>-75968.5</v>
      </c>
      <c r="E36" s="225">
        <v>18801.099999999999</v>
      </c>
      <c r="F36" s="225">
        <v>33291.300000000003</v>
      </c>
      <c r="G36" s="225">
        <f t="shared" si="29"/>
        <v>-14490.200000000004</v>
      </c>
      <c r="H36" s="225">
        <v>7389.3</v>
      </c>
      <c r="I36" s="225">
        <v>20837.599999999999</v>
      </c>
      <c r="J36" s="225">
        <f t="shared" si="30"/>
        <v>-13448.3</v>
      </c>
      <c r="K36" s="225">
        <v>511.4</v>
      </c>
      <c r="L36" s="225">
        <v>79447.8</v>
      </c>
      <c r="M36" s="225">
        <f t="shared" si="34"/>
        <v>79959.199999999997</v>
      </c>
      <c r="N36" s="225">
        <f t="shared" si="31"/>
        <v>-23947.800000000017</v>
      </c>
      <c r="O36" s="223" t="s">
        <v>1302</v>
      </c>
      <c r="P36" s="225">
        <v>5071.3</v>
      </c>
      <c r="Q36" s="225">
        <v>-3077.3</v>
      </c>
      <c r="R36" s="225">
        <v>1211.4000000000001</v>
      </c>
      <c r="S36" s="225">
        <v>-62998.1</v>
      </c>
      <c r="T36" s="225">
        <v>20982.6</v>
      </c>
      <c r="U36" s="225">
        <f t="shared" si="32"/>
        <v>-43881.4</v>
      </c>
      <c r="V36" s="225">
        <f t="shared" si="33"/>
        <v>-25004.899999999983</v>
      </c>
    </row>
    <row r="37" spans="1:24" s="159" customFormat="1" ht="12" customHeight="1">
      <c r="A37" s="1462" t="s">
        <v>2899</v>
      </c>
      <c r="B37" s="865">
        <f>SUM(B38:B41)</f>
        <v>531018.28666503984</v>
      </c>
      <c r="C37" s="865">
        <f t="shared" ref="C37:N37" si="35">SUM(C38:C41)</f>
        <v>777573.24072397314</v>
      </c>
      <c r="D37" s="865">
        <f t="shared" si="35"/>
        <v>-246554.95405893319</v>
      </c>
      <c r="E37" s="865">
        <f t="shared" si="35"/>
        <v>82038.008489550586</v>
      </c>
      <c r="F37" s="865">
        <f t="shared" si="35"/>
        <v>150852.49312879884</v>
      </c>
      <c r="G37" s="865">
        <f t="shared" si="35"/>
        <v>-68814.484639248258</v>
      </c>
      <c r="H37" s="865">
        <f t="shared" si="35"/>
        <v>30114.14741512918</v>
      </c>
      <c r="I37" s="865">
        <f t="shared" si="35"/>
        <v>91092.282164619683</v>
      </c>
      <c r="J37" s="865">
        <f t="shared" si="35"/>
        <v>-60978.134749490491</v>
      </c>
      <c r="K37" s="865">
        <f t="shared" si="35"/>
        <v>925.68276280804105</v>
      </c>
      <c r="L37" s="865">
        <f t="shared" si="35"/>
        <v>373910.62973566056</v>
      </c>
      <c r="M37" s="865">
        <f t="shared" si="35"/>
        <v>374836.31249846867</v>
      </c>
      <c r="N37" s="865">
        <f t="shared" si="35"/>
        <v>-1511.260949203308</v>
      </c>
      <c r="O37" s="1462" t="s">
        <v>2899</v>
      </c>
      <c r="P37" s="865">
        <f>SUM(P38:P41)</f>
        <v>4538.5635608938246</v>
      </c>
      <c r="Q37" s="865">
        <f t="shared" ref="Q37:V37" si="36">SUM(Q38:Q41)</f>
        <v>-20237.822216709996</v>
      </c>
      <c r="R37" s="865">
        <f t="shared" si="36"/>
        <v>1676.500297796297</v>
      </c>
      <c r="S37" s="865">
        <f t="shared" si="36"/>
        <v>-34343.327101948336</v>
      </c>
      <c r="T37" s="865">
        <f t="shared" si="36"/>
        <v>51524.445254032384</v>
      </c>
      <c r="U37" s="865">
        <f t="shared" si="36"/>
        <v>-1380.2037668296471</v>
      </c>
      <c r="V37" s="865">
        <f t="shared" si="36"/>
        <v>-4407.5063785201637</v>
      </c>
    </row>
    <row r="38" spans="1:24" s="159" customFormat="1" ht="12" customHeight="1">
      <c r="A38" s="223" t="s">
        <v>1303</v>
      </c>
      <c r="B38" s="225">
        <v>125428.46016364478</v>
      </c>
      <c r="C38" s="225">
        <v>180626.71573629213</v>
      </c>
      <c r="D38" s="225">
        <f t="shared" si="13"/>
        <v>-55198.255572647351</v>
      </c>
      <c r="E38" s="225">
        <v>19239.788496126752</v>
      </c>
      <c r="F38" s="225">
        <v>30707.316800353183</v>
      </c>
      <c r="G38" s="225">
        <f t="shared" ref="G38:G41" si="37">E38-F38</f>
        <v>-11467.528304226431</v>
      </c>
      <c r="H38" s="225">
        <v>8591.7693649844641</v>
      </c>
      <c r="I38" s="225">
        <v>21726.475923253907</v>
      </c>
      <c r="J38" s="225">
        <f t="shared" ref="J38:J41" si="38">H38-I38</f>
        <v>-13134.706558269443</v>
      </c>
      <c r="K38" s="225">
        <v>319.65691872222231</v>
      </c>
      <c r="L38" s="225">
        <v>79542.190111111151</v>
      </c>
      <c r="M38" s="225">
        <f t="shared" ref="M38:M47" si="39">K38+L38</f>
        <v>79861.84702983337</v>
      </c>
      <c r="N38" s="225">
        <f t="shared" ref="N38:N41" si="40">D38+G38+J38+M38</f>
        <v>61.356594690136262</v>
      </c>
      <c r="O38" s="223" t="s">
        <v>1303</v>
      </c>
      <c r="P38" s="225">
        <v>1855.4419201666685</v>
      </c>
      <c r="Q38" s="225">
        <v>-1351.3092935232999</v>
      </c>
      <c r="R38" s="225">
        <v>-60.721216360283144</v>
      </c>
      <c r="S38" s="225">
        <v>19728.93263502638</v>
      </c>
      <c r="T38" s="225">
        <v>-26970.1</v>
      </c>
      <c r="U38" s="225">
        <f t="shared" ref="U38:U41" si="41">Q38+R38+S38+T38</f>
        <v>-8653.1978748572001</v>
      </c>
      <c r="V38" s="225">
        <f t="shared" ref="V38:V40" si="42">-(N38+P38-U38)</f>
        <v>-10569.996389714004</v>
      </c>
      <c r="X38" s="712"/>
    </row>
    <row r="39" spans="1:24" s="159" customFormat="1" ht="12" customHeight="1">
      <c r="A39" s="281" t="s">
        <v>1300</v>
      </c>
      <c r="B39" s="283">
        <v>141255.98050922915</v>
      </c>
      <c r="C39" s="283">
        <v>202739.62837972998</v>
      </c>
      <c r="D39" s="283">
        <f t="shared" si="13"/>
        <v>-61483.647870500834</v>
      </c>
      <c r="E39" s="283">
        <v>22802.394217903449</v>
      </c>
      <c r="F39" s="283">
        <v>40249.104449589577</v>
      </c>
      <c r="G39" s="283">
        <f t="shared" si="37"/>
        <v>-17446.710231686127</v>
      </c>
      <c r="H39" s="283">
        <v>6548.5900221395332</v>
      </c>
      <c r="I39" s="283">
        <v>22790.344813892094</v>
      </c>
      <c r="J39" s="283">
        <f t="shared" si="38"/>
        <v>-16241.754791752561</v>
      </c>
      <c r="K39" s="283">
        <v>174.91909447303999</v>
      </c>
      <c r="L39" s="283">
        <v>88697.080727480003</v>
      </c>
      <c r="M39" s="283">
        <f t="shared" si="39"/>
        <v>88871.999821953039</v>
      </c>
      <c r="N39" s="283">
        <f t="shared" si="40"/>
        <v>-6300.1130719864886</v>
      </c>
      <c r="O39" s="281" t="s">
        <v>1300</v>
      </c>
      <c r="P39" s="283">
        <v>729.63939799896002</v>
      </c>
      <c r="Q39" s="283">
        <v>-5274.5657531866937</v>
      </c>
      <c r="R39" s="283">
        <v>688.89718733858012</v>
      </c>
      <c r="S39" s="283">
        <v>-21576.445229515095</v>
      </c>
      <c r="T39" s="283">
        <v>23002.2</v>
      </c>
      <c r="U39" s="283">
        <f t="shared" si="41"/>
        <v>-3159.9137953632089</v>
      </c>
      <c r="V39" s="283">
        <f t="shared" si="42"/>
        <v>2410.5598786243199</v>
      </c>
      <c r="X39" s="712"/>
    </row>
    <row r="40" spans="1:24" s="159" customFormat="1" ht="12" customHeight="1">
      <c r="A40" s="223" t="s">
        <v>1301</v>
      </c>
      <c r="B40" s="225">
        <v>140728.43881256157</v>
      </c>
      <c r="C40" s="225">
        <v>210041.00515928734</v>
      </c>
      <c r="D40" s="225">
        <f t="shared" si="13"/>
        <v>-69312.566346725769</v>
      </c>
      <c r="E40" s="225">
        <v>20021.898982570368</v>
      </c>
      <c r="F40" s="225">
        <v>38311.793705745527</v>
      </c>
      <c r="G40" s="225">
        <f t="shared" si="37"/>
        <v>-18289.894723175159</v>
      </c>
      <c r="H40" s="225">
        <v>7858.7627708444443</v>
      </c>
      <c r="I40" s="225">
        <v>24002.140330608381</v>
      </c>
      <c r="J40" s="225">
        <f t="shared" si="38"/>
        <v>-16143.377559763936</v>
      </c>
      <c r="K40" s="225">
        <v>167.47519925925926</v>
      </c>
      <c r="L40" s="225">
        <v>99199.379450242413</v>
      </c>
      <c r="M40" s="225">
        <f t="shared" si="39"/>
        <v>99366.854649501678</v>
      </c>
      <c r="N40" s="225">
        <f t="shared" si="40"/>
        <v>-4378.9839801631751</v>
      </c>
      <c r="O40" s="223" t="s">
        <v>1301</v>
      </c>
      <c r="P40" s="225">
        <v>604.17050444444453</v>
      </c>
      <c r="Q40" s="225">
        <v>-9303.3989679999995</v>
      </c>
      <c r="R40" s="225">
        <v>648.6794125614</v>
      </c>
      <c r="S40" s="225">
        <v>17113.102011604991</v>
      </c>
      <c r="T40" s="225">
        <v>-16726.389556607581</v>
      </c>
      <c r="U40" s="225">
        <f t="shared" si="41"/>
        <v>-8268.0071004411893</v>
      </c>
      <c r="V40" s="225">
        <f t="shared" si="42"/>
        <v>-4493.1936247224585</v>
      </c>
      <c r="X40" s="712"/>
    </row>
    <row r="41" spans="1:24" s="159" customFormat="1" ht="12" customHeight="1">
      <c r="A41" s="281" t="s">
        <v>1302</v>
      </c>
      <c r="B41" s="283">
        <v>123605.40717960437</v>
      </c>
      <c r="C41" s="283">
        <v>184165.89144866361</v>
      </c>
      <c r="D41" s="283">
        <f t="shared" si="13"/>
        <v>-60560.484269059234</v>
      </c>
      <c r="E41" s="283">
        <v>19973.926792950013</v>
      </c>
      <c r="F41" s="283">
        <v>41584.278173110557</v>
      </c>
      <c r="G41" s="283">
        <f t="shared" si="37"/>
        <v>-21610.351380160544</v>
      </c>
      <c r="H41" s="283">
        <v>7115.0252571607389</v>
      </c>
      <c r="I41" s="283">
        <v>22573.321096865293</v>
      </c>
      <c r="J41" s="283">
        <f t="shared" si="38"/>
        <v>-15458.295839704555</v>
      </c>
      <c r="K41" s="283">
        <v>263.63155035351951</v>
      </c>
      <c r="L41" s="283">
        <v>106471.97944682704</v>
      </c>
      <c r="M41" s="283">
        <f t="shared" si="39"/>
        <v>106735.61099718056</v>
      </c>
      <c r="N41" s="283">
        <f t="shared" si="40"/>
        <v>9106.4795082562196</v>
      </c>
      <c r="O41" s="281" t="s">
        <v>1302</v>
      </c>
      <c r="P41" s="283">
        <v>1349.3117382837522</v>
      </c>
      <c r="Q41" s="283">
        <v>-4308.5482019999999</v>
      </c>
      <c r="R41" s="283">
        <v>399.64491425659998</v>
      </c>
      <c r="S41" s="283">
        <v>-49608.916519064609</v>
      </c>
      <c r="T41" s="283">
        <v>72218.734810639959</v>
      </c>
      <c r="U41" s="283">
        <f t="shared" si="41"/>
        <v>18700.915003831949</v>
      </c>
      <c r="V41" s="283">
        <f>-(N41+P41-U41)</f>
        <v>8245.1237572919781</v>
      </c>
      <c r="X41" s="712"/>
    </row>
    <row r="42" spans="1:24" s="159" customFormat="1" ht="12" customHeight="1">
      <c r="A42" s="1651" t="s">
        <v>2974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1651" t="s">
        <v>2974</v>
      </c>
      <c r="P42" s="225"/>
      <c r="Q42" s="225"/>
      <c r="R42" s="225"/>
      <c r="S42" s="225"/>
      <c r="T42" s="225"/>
      <c r="U42" s="225"/>
      <c r="V42" s="225"/>
      <c r="X42" s="712"/>
    </row>
    <row r="43" spans="1:24" s="159" customFormat="1" ht="12" customHeight="1">
      <c r="A43" s="281" t="s">
        <v>559</v>
      </c>
      <c r="B43" s="283">
        <v>53937.199263651841</v>
      </c>
      <c r="C43" s="283">
        <v>72340.923455324271</v>
      </c>
      <c r="D43" s="283">
        <v>-18403.724191672423</v>
      </c>
      <c r="E43" s="283">
        <v>6601.5269968355551</v>
      </c>
      <c r="F43" s="283">
        <v>13018.299268926265</v>
      </c>
      <c r="G43" s="283">
        <v>-6416.7722720907059</v>
      </c>
      <c r="H43" s="283">
        <v>2794.6507424446795</v>
      </c>
      <c r="I43" s="283">
        <v>7188.5581294434905</v>
      </c>
      <c r="J43" s="283">
        <v>-4393.9073869988106</v>
      </c>
      <c r="K43" s="283">
        <v>-66.555211007279837</v>
      </c>
      <c r="L43" s="283">
        <v>30805.536566674571</v>
      </c>
      <c r="M43" s="283">
        <f t="shared" si="39"/>
        <v>30738.981355667293</v>
      </c>
      <c r="N43" s="283">
        <f>D43+G43+J43+M43</f>
        <v>1524.5775049053555</v>
      </c>
      <c r="O43" s="281" t="s">
        <v>559</v>
      </c>
      <c r="P43" s="283">
        <v>3.5162135777777861</v>
      </c>
      <c r="Q43" s="283">
        <v>-1492.5116045999996</v>
      </c>
      <c r="R43" s="283">
        <v>-143.8206740740747</v>
      </c>
      <c r="S43" s="283">
        <v>26174.012955668069</v>
      </c>
      <c r="T43" s="283">
        <v>-21906.261282787844</v>
      </c>
      <c r="U43" s="283">
        <f t="shared" ref="U43:U47" si="43">Q43+R43+S43+T43</f>
        <v>2631.4193942061502</v>
      </c>
      <c r="V43" s="283">
        <f>-(N43+P43-U43)</f>
        <v>1103.325675723017</v>
      </c>
      <c r="X43" s="712"/>
    </row>
    <row r="44" spans="1:24" s="159" customFormat="1" ht="12" customHeight="1">
      <c r="A44" s="223" t="s">
        <v>560</v>
      </c>
      <c r="B44" s="225">
        <v>42612.535695484592</v>
      </c>
      <c r="C44" s="225">
        <v>60288.795784886366</v>
      </c>
      <c r="D44" s="225">
        <v>-17676.260089401774</v>
      </c>
      <c r="E44" s="225">
        <v>6399.0126235965727</v>
      </c>
      <c r="F44" s="225">
        <v>12457.458507685626</v>
      </c>
      <c r="G44" s="225">
        <v>-6058.4458840890566</v>
      </c>
      <c r="H44" s="225">
        <v>2581.0788333333339</v>
      </c>
      <c r="I44" s="225">
        <v>8011.7815012426017</v>
      </c>
      <c r="J44" s="225">
        <v>-5430.7026679092687</v>
      </c>
      <c r="K44" s="225">
        <v>7.4665112173077022</v>
      </c>
      <c r="L44" s="225">
        <v>30039.932956346187</v>
      </c>
      <c r="M44" s="225">
        <f t="shared" si="39"/>
        <v>30047.399467563493</v>
      </c>
      <c r="N44" s="225">
        <f>D44+G44+J44+M44</f>
        <v>881.99082616339365</v>
      </c>
      <c r="O44" s="223" t="s">
        <v>560</v>
      </c>
      <c r="P44" s="225">
        <v>100.40693474423088</v>
      </c>
      <c r="Q44" s="225">
        <v>-1492.5116045999996</v>
      </c>
      <c r="R44" s="225">
        <v>205.1335584544162</v>
      </c>
      <c r="S44" s="225">
        <v>-13953.278384081821</v>
      </c>
      <c r="T44" s="225">
        <v>15022.754707249303</v>
      </c>
      <c r="U44" s="225">
        <f t="shared" si="43"/>
        <v>-217.90172297810022</v>
      </c>
      <c r="V44" s="225">
        <f>-(N44+P44-U44)</f>
        <v>-1200.2994838857248</v>
      </c>
      <c r="X44" s="712"/>
    </row>
    <row r="45" spans="1:24" s="159" customFormat="1" ht="12" customHeight="1">
      <c r="A45" s="281" t="s">
        <v>554</v>
      </c>
      <c r="B45" s="283">
        <v>38481.925595329572</v>
      </c>
      <c r="C45" s="283">
        <v>72000.323021164368</v>
      </c>
      <c r="D45" s="283">
        <v>-33518.397425834803</v>
      </c>
      <c r="E45" s="283">
        <v>7796.3081239053154</v>
      </c>
      <c r="F45" s="283">
        <v>12025.357641758426</v>
      </c>
      <c r="G45" s="283">
        <v>-4229.049517853111</v>
      </c>
      <c r="H45" s="283">
        <v>2665.7889228076619</v>
      </c>
      <c r="I45" s="283">
        <v>10955.503697378221</v>
      </c>
      <c r="J45" s="283">
        <v>-8289.7147745705606</v>
      </c>
      <c r="K45" s="283">
        <v>199.99191303928106</v>
      </c>
      <c r="L45" s="283">
        <v>33462.835591730669</v>
      </c>
      <c r="M45" s="283">
        <f t="shared" si="39"/>
        <v>33662.82750476995</v>
      </c>
      <c r="N45" s="283">
        <f t="shared" ref="N45:N48" si="44">D45+G45+J45+M45</f>
        <v>-12374.334213488524</v>
      </c>
      <c r="O45" s="281" t="s">
        <v>554</v>
      </c>
      <c r="P45" s="283">
        <v>1033.5816011206698</v>
      </c>
      <c r="Q45" s="283">
        <v>-1492.5116045999996</v>
      </c>
      <c r="R45" s="283">
        <v>490.32878062499969</v>
      </c>
      <c r="S45" s="283">
        <v>-15579.147059399231</v>
      </c>
      <c r="T45" s="283">
        <v>3105.9967736296358</v>
      </c>
      <c r="U45" s="283">
        <f t="shared" si="43"/>
        <v>-13475.333109744595</v>
      </c>
      <c r="V45" s="283">
        <f>-(N45+P45-U45)</f>
        <v>-2134.5804973767408</v>
      </c>
      <c r="X45" s="712"/>
    </row>
    <row r="46" spans="1:24" s="159" customFormat="1" ht="12" customHeight="1">
      <c r="A46" s="223" t="s">
        <v>561</v>
      </c>
      <c r="B46" s="225">
        <v>42138.959953703692</v>
      </c>
      <c r="C46" s="225">
        <v>64808.96849740739</v>
      </c>
      <c r="D46" s="225">
        <v>-22670.008543703698</v>
      </c>
      <c r="E46" s="225">
        <v>6012.7004516194847</v>
      </c>
      <c r="F46" s="225">
        <v>13188.791218474256</v>
      </c>
      <c r="G46" s="225">
        <v>-7176.0907668547716</v>
      </c>
      <c r="H46" s="225">
        <v>2613.0160674043327</v>
      </c>
      <c r="I46" s="225">
        <v>7681.1515906015102</v>
      </c>
      <c r="J46" s="225">
        <v>-5068.1355231971784</v>
      </c>
      <c r="K46" s="225">
        <v>-2.0606746487510685</v>
      </c>
      <c r="L46" s="225">
        <v>31823.104788518503</v>
      </c>
      <c r="M46" s="225">
        <f t="shared" si="39"/>
        <v>31821.044113869753</v>
      </c>
      <c r="N46" s="225">
        <f t="shared" si="44"/>
        <v>-3093.1907198858935</v>
      </c>
      <c r="O46" s="223" t="s">
        <v>561</v>
      </c>
      <c r="P46" s="225">
        <v>14.058216789166664</v>
      </c>
      <c r="Q46" s="225">
        <v>-1422.2154476666667</v>
      </c>
      <c r="R46" s="225">
        <v>311.3962384259259</v>
      </c>
      <c r="S46" s="225">
        <v>-14240.400625284805</v>
      </c>
      <c r="T46" s="225">
        <v>11737.484706284478</v>
      </c>
      <c r="U46" s="225">
        <f t="shared" si="43"/>
        <v>-3613.7351282410673</v>
      </c>
      <c r="V46" s="225">
        <f t="shared" ref="V46:V48" si="45">-(N46+P46-U46)</f>
        <v>-534.60262514434044</v>
      </c>
      <c r="X46" s="712"/>
    </row>
    <row r="47" spans="1:24" s="159" customFormat="1" ht="12" customHeight="1">
      <c r="A47" s="281" t="s">
        <v>562</v>
      </c>
      <c r="B47" s="283">
        <v>44592.796458567122</v>
      </c>
      <c r="C47" s="283">
        <v>67047.992823407039</v>
      </c>
      <c r="D47" s="283">
        <v>-22455.196364839925</v>
      </c>
      <c r="E47" s="283">
        <v>7109.8775155095063</v>
      </c>
      <c r="F47" s="283">
        <v>12551.683134471767</v>
      </c>
      <c r="G47" s="283">
        <v>-5441.8056189622612</v>
      </c>
      <c r="H47" s="283">
        <v>2904.8550206906643</v>
      </c>
      <c r="I47" s="283">
        <v>7928.1468299227363</v>
      </c>
      <c r="J47" s="283">
        <v>-5023.2918092320715</v>
      </c>
      <c r="K47" s="283">
        <v>2.4364489760842756</v>
      </c>
      <c r="L47" s="283">
        <v>35898.745937</v>
      </c>
      <c r="M47" s="283">
        <f t="shared" si="39"/>
        <v>35901.182385976084</v>
      </c>
      <c r="N47" s="283">
        <f t="shared" si="44"/>
        <v>2980.8885929418248</v>
      </c>
      <c r="O47" s="281" t="s">
        <v>562</v>
      </c>
      <c r="P47" s="283">
        <v>60.726345360198934</v>
      </c>
      <c r="Q47" s="283">
        <v>-1422.2154476666667</v>
      </c>
      <c r="R47" s="283">
        <v>232.20062900000002</v>
      </c>
      <c r="S47" s="283">
        <v>20016.425512349142</v>
      </c>
      <c r="T47" s="283">
        <v>-15153.925444930986</v>
      </c>
      <c r="U47" s="283">
        <f t="shared" si="43"/>
        <v>3672.4852487514891</v>
      </c>
      <c r="V47" s="283">
        <f t="shared" si="45"/>
        <v>630.87031044946525</v>
      </c>
      <c r="X47" s="712"/>
    </row>
    <row r="48" spans="1:24" s="159" customFormat="1" ht="12" customHeight="1">
      <c r="A48" s="223" t="s">
        <v>555</v>
      </c>
      <c r="B48" s="225">
        <v>48140.976276011716</v>
      </c>
      <c r="C48" s="225">
        <v>74403.232773441487</v>
      </c>
      <c r="D48" s="225">
        <v>-26262.256497429764</v>
      </c>
      <c r="E48" s="225">
        <v>7724.7524124093561</v>
      </c>
      <c r="F48" s="225">
        <v>14884.798635729492</v>
      </c>
      <c r="G48" s="225">
        <v>-7160.0462233201379</v>
      </c>
      <c r="H48" s="225">
        <v>2908.2684551676566</v>
      </c>
      <c r="I48" s="225">
        <v>7367.2740852416364</v>
      </c>
      <c r="J48" s="225">
        <v>-4459.0056300739789</v>
      </c>
      <c r="K48" s="225">
        <v>263.45544288246629</v>
      </c>
      <c r="L48" s="225">
        <v>40125.454698703579</v>
      </c>
      <c r="M48" s="225">
        <f>K48+L48</f>
        <v>40388.910141586042</v>
      </c>
      <c r="N48" s="225">
        <f t="shared" si="44"/>
        <v>2507.6017907621572</v>
      </c>
      <c r="O48" s="223" t="s">
        <v>555</v>
      </c>
      <c r="P48" s="225">
        <v>1273.5545533378611</v>
      </c>
      <c r="Q48" s="225">
        <v>-1422.2154476666667</v>
      </c>
      <c r="R48" s="225">
        <v>171.22006481481452</v>
      </c>
      <c r="S48" s="225">
        <v>-14149.499163055723</v>
      </c>
      <c r="T48" s="225">
        <v>24853.766701172852</v>
      </c>
      <c r="U48" s="225">
        <f>Q48+R48+S48+T48</f>
        <v>9453.2721552652765</v>
      </c>
      <c r="V48" s="225">
        <f t="shared" si="45"/>
        <v>5672.1158111652585</v>
      </c>
      <c r="X48" s="712"/>
    </row>
    <row r="49" spans="1:24" s="159" customFormat="1" ht="12" customHeight="1" thickBot="1">
      <c r="A49" s="1889" t="s">
        <v>563</v>
      </c>
      <c r="B49" s="1693">
        <v>48506.515056087868</v>
      </c>
      <c r="C49" s="1693">
        <v>75705.082177616438</v>
      </c>
      <c r="D49" s="1693">
        <v>-27198.567121528566</v>
      </c>
      <c r="E49" s="1693">
        <v>7606.2510429758622</v>
      </c>
      <c r="F49" s="1693">
        <v>13094.554477582975</v>
      </c>
      <c r="G49" s="1693">
        <v>-5488.3034346071117</v>
      </c>
      <c r="H49" s="1693">
        <v>2802.4177372094723</v>
      </c>
      <c r="I49" s="1693">
        <v>6107.4209174549114</v>
      </c>
      <c r="J49" s="1693">
        <v>-3305.0031802454387</v>
      </c>
      <c r="K49" s="1693">
        <v>0.4500926805576233</v>
      </c>
      <c r="L49" s="1693">
        <v>39218.215110576777</v>
      </c>
      <c r="M49" s="1693">
        <f>(K49+L49)/10</f>
        <v>3921.8665203257333</v>
      </c>
      <c r="N49" s="1693">
        <f>(D49+G49+J49+M49)/10</f>
        <v>-3207.0007216055383</v>
      </c>
      <c r="O49" s="1889" t="s">
        <v>563</v>
      </c>
      <c r="P49" s="1693">
        <v>12.600713661749058</v>
      </c>
      <c r="Q49" s="1693">
        <v>-1599.2963605666662</v>
      </c>
      <c r="R49" s="1693">
        <v>221.98232403846151</v>
      </c>
      <c r="S49" s="1693">
        <v>12529.427702515331</v>
      </c>
      <c r="T49" s="1693">
        <v>-5673.7291335456321</v>
      </c>
      <c r="U49" s="1693">
        <f>(Q49+R49+S49+T49)/10</f>
        <v>547.83845324414938</v>
      </c>
      <c r="V49" s="1693">
        <f>(-(N49+P49-U49))/10</f>
        <v>374.22384611879386</v>
      </c>
      <c r="X49" s="712"/>
    </row>
    <row r="50" spans="1:24" s="160" customFormat="1" ht="11.25" customHeight="1">
      <c r="A50" s="169" t="s">
        <v>1353</v>
      </c>
      <c r="B50" s="2133" t="s">
        <v>1283</v>
      </c>
      <c r="C50" s="2133"/>
      <c r="D50" s="2133"/>
      <c r="E50" s="2133"/>
      <c r="F50" s="2133"/>
      <c r="G50" s="2133"/>
      <c r="H50" s="169" t="s">
        <v>30</v>
      </c>
      <c r="I50" s="2240" t="s">
        <v>2558</v>
      </c>
      <c r="J50" s="2240"/>
      <c r="K50" s="2240"/>
      <c r="L50" s="2240"/>
      <c r="M50" s="2240"/>
      <c r="N50" s="2240"/>
      <c r="O50" s="101" t="s">
        <v>703</v>
      </c>
      <c r="P50" s="170" t="s">
        <v>1354</v>
      </c>
      <c r="Q50" s="170"/>
      <c r="R50" s="170"/>
      <c r="S50" s="170"/>
      <c r="T50" s="170"/>
      <c r="U50" s="170"/>
      <c r="V50" s="170"/>
    </row>
    <row r="51" spans="1:24" s="160" customFormat="1" ht="14.25" customHeight="1">
      <c r="A51" s="1433" t="s">
        <v>16</v>
      </c>
      <c r="B51" s="2241" t="s">
        <v>2496</v>
      </c>
      <c r="C51" s="2241"/>
      <c r="D51" s="2241"/>
      <c r="E51" s="159"/>
      <c r="F51" s="170" t="s">
        <v>257</v>
      </c>
      <c r="G51" s="159"/>
      <c r="H51" s="159"/>
      <c r="I51" s="2240"/>
      <c r="J51" s="2240"/>
      <c r="K51" s="2240"/>
      <c r="L51" s="2240"/>
      <c r="M51" s="2240"/>
      <c r="N51" s="2240"/>
      <c r="O51" s="159"/>
      <c r="P51" s="170" t="s">
        <v>1355</v>
      </c>
      <c r="Q51" s="170"/>
      <c r="R51" s="170"/>
      <c r="S51" s="170"/>
      <c r="T51" s="170"/>
      <c r="U51" s="170"/>
      <c r="V51" s="170"/>
    </row>
    <row r="52" spans="1:24" s="160" customFormat="1">
      <c r="F52" s="160" t="s">
        <v>2898</v>
      </c>
      <c r="I52" s="2258" t="s">
        <v>2498</v>
      </c>
      <c r="J52" s="2258"/>
      <c r="K52" s="2258"/>
      <c r="L52" s="2258"/>
      <c r="M52" s="2258"/>
      <c r="N52" s="2258"/>
      <c r="P52" s="170" t="s">
        <v>257</v>
      </c>
    </row>
    <row r="53" spans="1:24" s="160" customFormat="1">
      <c r="I53" s="2244" t="s">
        <v>2497</v>
      </c>
      <c r="J53" s="2244"/>
      <c r="K53" s="2244"/>
      <c r="L53" s="2244"/>
      <c r="M53" s="2244"/>
      <c r="N53" s="222"/>
      <c r="Q53" s="458"/>
    </row>
    <row r="54" spans="1:24" s="160" customFormat="1">
      <c r="G54" s="171"/>
    </row>
    <row r="55" spans="1:24" s="160" customFormat="1">
      <c r="T55" s="171"/>
      <c r="U55" s="171"/>
      <c r="V55" s="171"/>
      <c r="W55" s="171"/>
    </row>
    <row r="56" spans="1:24" s="160" customFormat="1"/>
    <row r="57" spans="1:24" s="160" customFormat="1"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</row>
    <row r="58" spans="1:24" s="160" customFormat="1">
      <c r="V58" s="171"/>
    </row>
    <row r="59" spans="1:24" s="160" customFormat="1">
      <c r="G59" s="171"/>
    </row>
    <row r="60" spans="1:24" s="160" customFormat="1"/>
    <row r="61" spans="1:24" s="160" customFormat="1"/>
    <row r="62" spans="1:24" s="160" customFormat="1"/>
    <row r="63" spans="1:24" s="160" customFormat="1"/>
    <row r="64" spans="1:24" s="160" customFormat="1"/>
    <row r="65" spans="7:7" s="160" customFormat="1"/>
    <row r="66" spans="7:7" s="160" customFormat="1"/>
    <row r="67" spans="7:7" s="160" customFormat="1"/>
    <row r="68" spans="7:7" s="160" customFormat="1"/>
    <row r="69" spans="7:7" s="160" customFormat="1">
      <c r="G69" s="171"/>
    </row>
    <row r="70" spans="7:7" s="160" customFormat="1"/>
    <row r="71" spans="7:7" s="160" customFormat="1"/>
    <row r="72" spans="7:7" s="160" customFormat="1"/>
    <row r="73" spans="7:7" s="160" customFormat="1"/>
    <row r="74" spans="7:7" s="160" customFormat="1"/>
    <row r="75" spans="7:7" s="160" customFormat="1"/>
    <row r="76" spans="7:7" s="160" customFormat="1"/>
    <row r="77" spans="7:7" s="160" customFormat="1"/>
    <row r="78" spans="7:7" s="160" customFormat="1"/>
    <row r="79" spans="7:7" s="160" customFormat="1"/>
    <row r="80" spans="7:7" s="160" customFormat="1"/>
    <row r="81" s="160" customFormat="1"/>
    <row r="82" s="160" customFormat="1"/>
    <row r="83" s="160" customFormat="1"/>
    <row r="84" s="160" customFormat="1"/>
    <row r="85" s="160" customFormat="1"/>
    <row r="86" s="160" customFormat="1"/>
    <row r="87" s="160" customFormat="1"/>
    <row r="88" s="160" customFormat="1"/>
    <row r="89" s="160" customFormat="1"/>
    <row r="90" s="160" customFormat="1"/>
    <row r="91" s="160" customFormat="1"/>
    <row r="92" s="160" customFormat="1"/>
    <row r="93" s="160" customFormat="1"/>
    <row r="94" s="160" customFormat="1"/>
    <row r="95" s="160" customFormat="1"/>
    <row r="96" s="160" customFormat="1"/>
    <row r="97" s="160" customFormat="1"/>
    <row r="98" s="160" customFormat="1"/>
    <row r="99" s="160" customFormat="1"/>
    <row r="100" s="160" customFormat="1"/>
    <row r="101" s="160" customFormat="1"/>
    <row r="102" s="160" customFormat="1"/>
    <row r="103" s="160" customFormat="1"/>
    <row r="104" s="160" customFormat="1"/>
    <row r="105" s="160" customFormat="1"/>
    <row r="106" s="160" customFormat="1"/>
    <row r="107" s="160" customFormat="1"/>
    <row r="108" s="160" customFormat="1"/>
    <row r="109" s="160" customFormat="1"/>
    <row r="110" s="160" customFormat="1"/>
    <row r="111" s="160" customFormat="1"/>
    <row r="112" s="160" customFormat="1"/>
    <row r="113" s="160" customFormat="1"/>
    <row r="114" s="160" customFormat="1"/>
    <row r="115" s="160" customFormat="1"/>
    <row r="116" s="160" customFormat="1"/>
    <row r="117" s="160" customFormat="1"/>
    <row r="118" s="160" customFormat="1"/>
    <row r="119" s="160" customFormat="1"/>
    <row r="120" s="160" customFormat="1"/>
    <row r="121" s="160" customFormat="1"/>
    <row r="122" s="160" customFormat="1"/>
    <row r="123" s="160" customFormat="1"/>
    <row r="124" s="160" customFormat="1"/>
    <row r="125" s="160" customFormat="1"/>
    <row r="126" s="160" customFormat="1"/>
    <row r="127" s="160" customFormat="1"/>
    <row r="128" s="160" customFormat="1"/>
    <row r="129" s="160" customFormat="1"/>
    <row r="130" s="160" customFormat="1"/>
    <row r="131" s="160" customFormat="1"/>
    <row r="132" s="160" customFormat="1"/>
    <row r="133" s="160" customFormat="1"/>
    <row r="134" s="160" customFormat="1"/>
    <row r="135" s="160" customFormat="1"/>
    <row r="136" s="160" customFormat="1"/>
    <row r="137" s="160" customFormat="1"/>
    <row r="138" s="160" customFormat="1"/>
    <row r="139" s="160" customFormat="1"/>
    <row r="140" s="160" customFormat="1"/>
    <row r="141" s="160" customFormat="1"/>
    <row r="142" s="160" customFormat="1"/>
    <row r="143" s="160" customFormat="1"/>
    <row r="144" s="160" customFormat="1"/>
    <row r="145" s="160" customFormat="1"/>
    <row r="146" s="160" customFormat="1"/>
    <row r="147" s="160" customFormat="1"/>
    <row r="148" s="160" customFormat="1"/>
    <row r="149" s="160" customFormat="1"/>
    <row r="150" s="160" customFormat="1"/>
    <row r="151" s="160" customFormat="1"/>
    <row r="152" s="160" customFormat="1"/>
    <row r="153" s="160" customFormat="1"/>
    <row r="154" s="160" customFormat="1"/>
    <row r="155" s="160" customFormat="1"/>
    <row r="156" s="160" customFormat="1"/>
    <row r="157" s="160" customFormat="1"/>
    <row r="158" s="160" customFormat="1"/>
    <row r="159" s="160" customFormat="1"/>
    <row r="160" s="160" customFormat="1"/>
    <row r="161" spans="1:22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</row>
    <row r="162" spans="1:22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</row>
    <row r="163" spans="1:22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1:22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1:22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1:22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</row>
    <row r="167" spans="1:22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</row>
    <row r="168" spans="1:22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</row>
    <row r="169" spans="1:22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</row>
    <row r="170" spans="1:22">
      <c r="A170" s="16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</row>
    <row r="171" spans="1:22">
      <c r="A171" s="16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</row>
    <row r="172" spans="1:22">
      <c r="A172" s="16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I53:M53"/>
    <mergeCell ref="O1:S1"/>
    <mergeCell ref="E3:G3"/>
    <mergeCell ref="Q3:U3"/>
    <mergeCell ref="B3:D3"/>
    <mergeCell ref="U2:V2"/>
    <mergeCell ref="T1:V1"/>
    <mergeCell ref="H3:J3"/>
    <mergeCell ref="H1:I1"/>
    <mergeCell ref="L1:N1"/>
    <mergeCell ref="L2:N2"/>
    <mergeCell ref="F1:G1"/>
    <mergeCell ref="K3:M3"/>
    <mergeCell ref="P3:P4"/>
    <mergeCell ref="V3:V5"/>
    <mergeCell ref="I52:N52"/>
    <mergeCell ref="A3:A5"/>
    <mergeCell ref="O3:O5"/>
    <mergeCell ref="B50:G50"/>
    <mergeCell ref="I50:N51"/>
    <mergeCell ref="B51:D51"/>
    <mergeCell ref="N3:N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L61"/>
  <sheetViews>
    <sheetView zoomScale="150" zoomScaleNormal="150" workbookViewId="0">
      <pane xSplit="1" ySplit="5" topLeftCell="B1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K58" sqref="K58"/>
    </sheetView>
  </sheetViews>
  <sheetFormatPr defaultRowHeight="12.75"/>
  <cols>
    <col min="1" max="1" width="7.85546875" style="1796" customWidth="1"/>
    <col min="2" max="2" width="8.28515625" style="1796" customWidth="1"/>
    <col min="3" max="3" width="9.42578125" style="1796" customWidth="1"/>
    <col min="4" max="4" width="9.140625" style="1796"/>
    <col min="5" max="6" width="8.28515625" style="1796" customWidth="1"/>
    <col min="7" max="7" width="9.140625" style="1796"/>
    <col min="8" max="8" width="8.5703125" style="1796" customWidth="1"/>
    <col min="9" max="9" width="9.85546875" style="1796" customWidth="1"/>
    <col min="10" max="16384" width="9.140625" style="1796"/>
  </cols>
  <sheetData>
    <row r="1" spans="1:12" ht="15.75" customHeight="1">
      <c r="A1" s="2260" t="s">
        <v>1248</v>
      </c>
      <c r="B1" s="2260"/>
      <c r="C1" s="2260"/>
      <c r="D1" s="2260"/>
      <c r="E1" s="2260"/>
      <c r="F1" s="2260"/>
      <c r="G1" s="2260"/>
      <c r="H1" s="146"/>
      <c r="I1" s="1797" t="s">
        <v>313</v>
      </c>
    </row>
    <row r="2" spans="1:12" ht="15" customHeight="1">
      <c r="A2" s="2260"/>
      <c r="B2" s="2260"/>
      <c r="C2" s="2260"/>
      <c r="D2" s="2260"/>
      <c r="E2" s="2260"/>
      <c r="F2" s="2260"/>
      <c r="G2" s="2260"/>
      <c r="H2" s="146"/>
    </row>
    <row r="3" spans="1:12" ht="10.5" customHeight="1">
      <c r="A3" s="982"/>
      <c r="B3" s="983"/>
      <c r="C3" s="983"/>
      <c r="D3" s="983"/>
      <c r="F3" s="914"/>
      <c r="H3" s="2261" t="s">
        <v>0</v>
      </c>
      <c r="I3" s="2261"/>
    </row>
    <row r="4" spans="1:12" s="147" customFormat="1" ht="12.95" customHeight="1">
      <c r="A4" s="2262" t="s">
        <v>481</v>
      </c>
      <c r="B4" s="2264" t="s">
        <v>332</v>
      </c>
      <c r="C4" s="2265"/>
      <c r="D4" s="2265"/>
      <c r="E4" s="2266"/>
      <c r="F4" s="2264" t="s">
        <v>333</v>
      </c>
      <c r="G4" s="2265"/>
      <c r="H4" s="2265"/>
      <c r="I4" s="2266"/>
    </row>
    <row r="5" spans="1:12" ht="36">
      <c r="A5" s="2263"/>
      <c r="B5" s="915" t="s">
        <v>757</v>
      </c>
      <c r="C5" s="915" t="s">
        <v>777</v>
      </c>
      <c r="D5" s="915" t="s">
        <v>779</v>
      </c>
      <c r="E5" s="787" t="s">
        <v>334</v>
      </c>
      <c r="F5" s="915" t="s">
        <v>758</v>
      </c>
      <c r="G5" s="915" t="s">
        <v>780</v>
      </c>
      <c r="H5" s="915" t="s">
        <v>778</v>
      </c>
      <c r="I5" s="787" t="s">
        <v>335</v>
      </c>
    </row>
    <row r="6" spans="1:12" s="51" customFormat="1" ht="11.1" customHeight="1">
      <c r="A6" s="310" t="s">
        <v>81</v>
      </c>
      <c r="B6" s="838">
        <v>515.14</v>
      </c>
      <c r="C6" s="838">
        <v>331.1</v>
      </c>
      <c r="D6" s="838">
        <v>66.78</v>
      </c>
      <c r="E6" s="838">
        <v>913.02</v>
      </c>
      <c r="F6" s="838">
        <v>5014.96</v>
      </c>
      <c r="G6" s="838">
        <v>544.21</v>
      </c>
      <c r="H6" s="838">
        <v>410.29</v>
      </c>
      <c r="I6" s="839">
        <v>5969.46</v>
      </c>
    </row>
    <row r="7" spans="1:12" s="41" customFormat="1" ht="11.1" customHeight="1">
      <c r="A7" s="150" t="s">
        <v>189</v>
      </c>
      <c r="B7" s="841">
        <v>249.95</v>
      </c>
      <c r="C7" s="841">
        <v>445.19</v>
      </c>
      <c r="D7" s="841">
        <v>83.9</v>
      </c>
      <c r="E7" s="836">
        <v>779.04</v>
      </c>
      <c r="F7" s="841">
        <v>5143.7</v>
      </c>
      <c r="G7" s="841">
        <v>612.69000000000005</v>
      </c>
      <c r="H7" s="841">
        <v>462.67</v>
      </c>
      <c r="I7" s="837">
        <v>6219.0599999999995</v>
      </c>
    </row>
    <row r="8" spans="1:12" s="41" customFormat="1" ht="11.1" customHeight="1">
      <c r="A8" s="310" t="s">
        <v>705</v>
      </c>
      <c r="B8" s="838">
        <v>454.09999999999997</v>
      </c>
      <c r="C8" s="838">
        <v>542.34999999999991</v>
      </c>
      <c r="D8" s="838">
        <v>198.42999999999998</v>
      </c>
      <c r="E8" s="838">
        <v>1194.8799999999999</v>
      </c>
      <c r="F8" s="838">
        <v>4855.47</v>
      </c>
      <c r="G8" s="838">
        <v>861.44</v>
      </c>
      <c r="H8" s="838">
        <v>533.95000000000005</v>
      </c>
      <c r="I8" s="839">
        <v>6250.86</v>
      </c>
    </row>
    <row r="9" spans="1:12" s="41" customFormat="1" ht="11.1" customHeight="1">
      <c r="A9" s="550" t="s">
        <v>814</v>
      </c>
      <c r="B9" s="841">
        <v>761.03</v>
      </c>
      <c r="C9" s="841">
        <v>645.64</v>
      </c>
      <c r="D9" s="841">
        <v>323.96000000000004</v>
      </c>
      <c r="E9" s="836">
        <v>1730.63</v>
      </c>
      <c r="F9" s="841">
        <v>6333.41</v>
      </c>
      <c r="G9" s="841">
        <v>995.87</v>
      </c>
      <c r="H9" s="841">
        <v>1033.78</v>
      </c>
      <c r="I9" s="837">
        <v>8363.06</v>
      </c>
    </row>
    <row r="10" spans="1:12" s="41" customFormat="1" ht="11.1" customHeight="1">
      <c r="A10" s="310" t="s">
        <v>991</v>
      </c>
      <c r="B10" s="838">
        <v>233.83999999999997</v>
      </c>
      <c r="C10" s="838">
        <v>795.78</v>
      </c>
      <c r="D10" s="838">
        <v>450.71999999999997</v>
      </c>
      <c r="E10" s="838">
        <v>1480.34</v>
      </c>
      <c r="F10" s="838">
        <v>6375.35</v>
      </c>
      <c r="G10" s="838">
        <v>964.83</v>
      </c>
      <c r="H10" s="838">
        <v>2000.05</v>
      </c>
      <c r="I10" s="839">
        <v>9340.23</v>
      </c>
    </row>
    <row r="11" spans="1:12" s="41" customFormat="1" ht="11.1" customHeight="1">
      <c r="A11" s="550" t="s">
        <v>1042</v>
      </c>
      <c r="B11" s="841">
        <v>528.03</v>
      </c>
      <c r="C11" s="841">
        <v>1141.3400000000001</v>
      </c>
      <c r="D11" s="841">
        <v>164.5</v>
      </c>
      <c r="E11" s="836">
        <v>1833.8700000000001</v>
      </c>
      <c r="F11" s="245">
        <v>9027.07</v>
      </c>
      <c r="G11" s="245">
        <v>1326.11</v>
      </c>
      <c r="H11" s="245">
        <v>2147.9499999999998</v>
      </c>
      <c r="I11" s="245">
        <v>12501.130000000001</v>
      </c>
    </row>
    <row r="12" spans="1:12" s="41" customFormat="1" ht="11.1" customHeight="1">
      <c r="A12" s="582" t="s">
        <v>1163</v>
      </c>
      <c r="B12" s="838">
        <v>505.55</v>
      </c>
      <c r="C12" s="838">
        <v>1154.4499999999998</v>
      </c>
      <c r="D12" s="838">
        <v>343.53</v>
      </c>
      <c r="E12" s="838">
        <v>2003.5299999999997</v>
      </c>
      <c r="F12" s="315">
        <v>9549.39</v>
      </c>
      <c r="G12" s="315">
        <v>1585.21</v>
      </c>
      <c r="H12" s="315">
        <v>2311.54</v>
      </c>
      <c r="I12" s="315">
        <v>13446.14</v>
      </c>
      <c r="L12" s="1075"/>
    </row>
    <row r="13" spans="1:12" s="41" customFormat="1" ht="11.1" customHeight="1">
      <c r="A13" s="550" t="s">
        <v>1187</v>
      </c>
      <c r="B13" s="841">
        <v>1006.74</v>
      </c>
      <c r="C13" s="841">
        <v>1253</v>
      </c>
      <c r="D13" s="841">
        <v>195.07</v>
      </c>
      <c r="E13" s="841">
        <v>2454.81</v>
      </c>
      <c r="F13" s="245">
        <v>9527.51</v>
      </c>
      <c r="G13" s="245">
        <v>2699.93</v>
      </c>
      <c r="H13" s="245">
        <v>2239.13</v>
      </c>
      <c r="I13" s="1532">
        <v>14466.57</v>
      </c>
      <c r="L13" s="1075"/>
    </row>
    <row r="14" spans="1:12" s="41" customFormat="1" ht="11.1" customHeight="1">
      <c r="A14" s="309" t="s">
        <v>1311</v>
      </c>
      <c r="B14" s="842">
        <v>614.76</v>
      </c>
      <c r="C14" s="842">
        <v>1253.44</v>
      </c>
      <c r="D14" s="842">
        <v>712.24</v>
      </c>
      <c r="E14" s="842">
        <v>2580.4399999999996</v>
      </c>
      <c r="F14" s="470">
        <v>9895.7800000000007</v>
      </c>
      <c r="G14" s="470">
        <v>3080.35</v>
      </c>
      <c r="H14" s="470">
        <v>2815.21</v>
      </c>
      <c r="I14" s="843">
        <v>15791.34</v>
      </c>
      <c r="L14" s="1075"/>
    </row>
    <row r="15" spans="1:12" s="393" customFormat="1" ht="11.1" customHeight="1">
      <c r="A15" s="728" t="s">
        <v>1420</v>
      </c>
      <c r="B15" s="840">
        <f>B16+B17+B18+B19</f>
        <v>1164.77</v>
      </c>
      <c r="C15" s="840">
        <f t="shared" ref="C15:E15" si="0">C16+C17+C18+C19</f>
        <v>988.3</v>
      </c>
      <c r="D15" s="840">
        <f t="shared" si="0"/>
        <v>1329.62</v>
      </c>
      <c r="E15" s="840">
        <f t="shared" si="0"/>
        <v>3482.6899999999996</v>
      </c>
      <c r="F15" s="471">
        <f>F19</f>
        <v>11775.91</v>
      </c>
      <c r="G15" s="471">
        <f>G19</f>
        <v>3021.77</v>
      </c>
      <c r="H15" s="471">
        <f>H19</f>
        <v>3882.53</v>
      </c>
      <c r="I15" s="844">
        <f t="shared" ref="I15" si="1">SUM(F15:H15)</f>
        <v>18680.21</v>
      </c>
      <c r="L15" s="1075"/>
    </row>
    <row r="16" spans="1:12" s="393" customFormat="1" ht="11.1" customHeight="1">
      <c r="A16" s="582" t="s">
        <v>1174</v>
      </c>
      <c r="B16" s="315">
        <v>267.47000000000003</v>
      </c>
      <c r="C16" s="315">
        <v>311.27999999999997</v>
      </c>
      <c r="D16" s="315">
        <v>270.87</v>
      </c>
      <c r="E16" s="315">
        <f t="shared" ref="E16:E33" si="2">SUM(B16:D16)</f>
        <v>849.62</v>
      </c>
      <c r="F16" s="315">
        <v>10364.040000000001</v>
      </c>
      <c r="G16" s="315">
        <v>3076.04</v>
      </c>
      <c r="H16" s="315">
        <v>3202.41</v>
      </c>
      <c r="I16" s="315">
        <f>SUM(F16:H16)</f>
        <v>16642.490000000002</v>
      </c>
      <c r="L16" s="1075"/>
    </row>
    <row r="17" spans="1:12" s="393" customFormat="1" ht="11.1" customHeight="1">
      <c r="A17" s="232" t="s">
        <v>1289</v>
      </c>
      <c r="B17" s="245">
        <v>518.76</v>
      </c>
      <c r="C17" s="245">
        <v>380.84</v>
      </c>
      <c r="D17" s="245">
        <v>448.11</v>
      </c>
      <c r="E17" s="245">
        <f t="shared" si="2"/>
        <v>1347.71</v>
      </c>
      <c r="F17" s="245">
        <v>10865.73</v>
      </c>
      <c r="G17" s="245">
        <v>2721.98</v>
      </c>
      <c r="H17" s="245">
        <v>3473.92</v>
      </c>
      <c r="I17" s="245">
        <f>SUM(F17:H17)</f>
        <v>17061.629999999997</v>
      </c>
      <c r="L17" s="1075"/>
    </row>
    <row r="18" spans="1:12" s="393" customFormat="1" ht="11.1" customHeight="1">
      <c r="A18" s="582" t="s">
        <v>1172</v>
      </c>
      <c r="B18" s="315">
        <v>176.76</v>
      </c>
      <c r="C18" s="315">
        <v>203.73</v>
      </c>
      <c r="D18" s="315">
        <v>474</v>
      </c>
      <c r="E18" s="315">
        <f t="shared" si="2"/>
        <v>854.49</v>
      </c>
      <c r="F18" s="315">
        <v>11588.82</v>
      </c>
      <c r="G18" s="315">
        <v>2880.06</v>
      </c>
      <c r="H18" s="315">
        <v>3716.13</v>
      </c>
      <c r="I18" s="315">
        <f t="shared" ref="I18:I49" si="3">SUM(F18:H18)</f>
        <v>18185.009999999998</v>
      </c>
      <c r="L18" s="1075"/>
    </row>
    <row r="19" spans="1:12" s="393" customFormat="1" ht="11.1" customHeight="1">
      <c r="A19" s="232" t="s">
        <v>1173</v>
      </c>
      <c r="B19" s="245">
        <v>201.78</v>
      </c>
      <c r="C19" s="245">
        <v>92.45</v>
      </c>
      <c r="D19" s="245">
        <v>136.63999999999999</v>
      </c>
      <c r="E19" s="245">
        <f t="shared" si="2"/>
        <v>430.87</v>
      </c>
      <c r="F19" s="245">
        <v>11775.91</v>
      </c>
      <c r="G19" s="245">
        <v>3021.77</v>
      </c>
      <c r="H19" s="245">
        <v>3882.53</v>
      </c>
      <c r="I19" s="245">
        <f t="shared" si="3"/>
        <v>18680.21</v>
      </c>
      <c r="L19" s="1075"/>
    </row>
    <row r="20" spans="1:12" s="393" customFormat="1" ht="11.1" customHeight="1">
      <c r="A20" s="592" t="s">
        <v>1502</v>
      </c>
      <c r="B20" s="842">
        <f>B21+B22+B23+B24</f>
        <v>672.21180217178255</v>
      </c>
      <c r="C20" s="842">
        <f t="shared" ref="C20:E20" si="4">C21+C22+C23+C24</f>
        <v>414.36524948094154</v>
      </c>
      <c r="D20" s="842">
        <f t="shared" si="4"/>
        <v>119.76738310713577</v>
      </c>
      <c r="E20" s="842">
        <f t="shared" si="4"/>
        <v>1206.3444347598597</v>
      </c>
      <c r="F20" s="470">
        <f>F24</f>
        <v>9832.9799150558283</v>
      </c>
      <c r="G20" s="470">
        <f>G24</f>
        <v>3228.1462507731453</v>
      </c>
      <c r="H20" s="470">
        <f>H24</f>
        <v>2792.86</v>
      </c>
      <c r="I20" s="843">
        <f t="shared" si="3"/>
        <v>15853.986165828974</v>
      </c>
    </row>
    <row r="21" spans="1:12" s="393" customFormat="1" ht="11.1" customHeight="1">
      <c r="A21" s="232" t="s">
        <v>1174</v>
      </c>
      <c r="B21" s="245">
        <v>181.22843324305333</v>
      </c>
      <c r="C21" s="245">
        <v>31.343031271743257</v>
      </c>
      <c r="D21" s="245">
        <v>-55.902805572952786</v>
      </c>
      <c r="E21" s="245">
        <f t="shared" si="2"/>
        <v>156.6686589418438</v>
      </c>
      <c r="F21" s="245">
        <v>9139.1557755976337</v>
      </c>
      <c r="G21" s="245">
        <v>2954.3718413904153</v>
      </c>
      <c r="H21" s="245">
        <v>2331.9899999999998</v>
      </c>
      <c r="I21" s="245">
        <f t="shared" si="3"/>
        <v>14425.517616988049</v>
      </c>
      <c r="K21" s="804"/>
    </row>
    <row r="22" spans="1:12" s="393" customFormat="1" ht="11.1" customHeight="1">
      <c r="A22" s="582" t="s">
        <v>1289</v>
      </c>
      <c r="B22" s="315">
        <v>188.88340892515114</v>
      </c>
      <c r="C22" s="315">
        <v>174.07049359854665</v>
      </c>
      <c r="D22" s="315">
        <v>51.652527858445438</v>
      </c>
      <c r="E22" s="315">
        <f t="shared" si="2"/>
        <v>414.60643038214323</v>
      </c>
      <c r="F22" s="315">
        <v>9451.7112942199074</v>
      </c>
      <c r="G22" s="315">
        <v>3011.4844432439359</v>
      </c>
      <c r="H22" s="315">
        <v>2424.6799999999998</v>
      </c>
      <c r="I22" s="315">
        <f t="shared" si="3"/>
        <v>14887.875737463844</v>
      </c>
    </row>
    <row r="23" spans="1:12" s="393" customFormat="1" ht="11.1" customHeight="1">
      <c r="A23" s="232" t="s">
        <v>1172</v>
      </c>
      <c r="B23" s="245">
        <v>164.52593125333709</v>
      </c>
      <c r="C23" s="245">
        <v>264.52374645289404</v>
      </c>
      <c r="D23" s="245">
        <v>-23.403756999038421</v>
      </c>
      <c r="E23" s="245">
        <f t="shared" si="2"/>
        <v>405.64592070719272</v>
      </c>
      <c r="F23" s="245">
        <v>9597.2058831639806</v>
      </c>
      <c r="G23" s="245">
        <v>3411.162786788228</v>
      </c>
      <c r="H23" s="245">
        <v>2885.08</v>
      </c>
      <c r="I23" s="245">
        <f>SUM(F23:H23)</f>
        <v>15893.448669952208</v>
      </c>
    </row>
    <row r="24" spans="1:12" s="393" customFormat="1" ht="11.1" customHeight="1">
      <c r="A24" s="582" t="s">
        <v>1173</v>
      </c>
      <c r="B24" s="315">
        <v>137.57402875024093</v>
      </c>
      <c r="C24" s="315">
        <v>-55.572021842242407</v>
      </c>
      <c r="D24" s="315">
        <v>147.42141782068154</v>
      </c>
      <c r="E24" s="315">
        <f t="shared" si="2"/>
        <v>229.42342472868006</v>
      </c>
      <c r="F24" s="315">
        <v>9832.9799150558283</v>
      </c>
      <c r="G24" s="315">
        <v>3228.1462507731453</v>
      </c>
      <c r="H24" s="315">
        <v>2792.86</v>
      </c>
      <c r="I24" s="315">
        <f t="shared" si="3"/>
        <v>15853.986165828974</v>
      </c>
    </row>
    <row r="25" spans="1:12" s="393" customFormat="1" ht="11.1" customHeight="1">
      <c r="A25" s="728" t="s">
        <v>1555</v>
      </c>
      <c r="B25" s="840">
        <f>B26+B27+B28+B29</f>
        <v>728.1395429193592</v>
      </c>
      <c r="C25" s="840">
        <f t="shared" ref="C25:E25" si="5">C26+C27+C28+C29</f>
        <v>486.40375219832436</v>
      </c>
      <c r="D25" s="840">
        <f t="shared" si="5"/>
        <v>113.05449579646017</v>
      </c>
      <c r="E25" s="840">
        <f t="shared" si="5"/>
        <v>1327.5977909141438</v>
      </c>
      <c r="F25" s="471">
        <f>F29</f>
        <v>10746.3</v>
      </c>
      <c r="G25" s="471">
        <f>G29</f>
        <v>3482.674</v>
      </c>
      <c r="H25" s="471">
        <f>H29</f>
        <v>2591.8440000000001</v>
      </c>
      <c r="I25" s="844">
        <f t="shared" si="3"/>
        <v>16820.817999999999</v>
      </c>
    </row>
    <row r="26" spans="1:12" s="393" customFormat="1" ht="11.1" customHeight="1">
      <c r="A26" s="582" t="s">
        <v>1174</v>
      </c>
      <c r="B26" s="315">
        <v>120.49891477967547</v>
      </c>
      <c r="C26" s="315">
        <v>86.891415557053961</v>
      </c>
      <c r="D26" s="315">
        <v>17.137682745122305</v>
      </c>
      <c r="E26" s="315">
        <f t="shared" si="2"/>
        <v>224.52801308185175</v>
      </c>
      <c r="F26" s="315">
        <v>9899.1942071803405</v>
      </c>
      <c r="G26" s="315">
        <v>3258.6074203150638</v>
      </c>
      <c r="H26" s="315">
        <v>2467.42</v>
      </c>
      <c r="I26" s="315">
        <f t="shared" si="3"/>
        <v>15625.221627495404</v>
      </c>
      <c r="K26" s="804"/>
    </row>
    <row r="27" spans="1:12" s="393" customFormat="1" ht="11.1" customHeight="1">
      <c r="A27" s="232" t="s">
        <v>1289</v>
      </c>
      <c r="B27" s="245">
        <v>355.67257480287708</v>
      </c>
      <c r="C27" s="245">
        <v>231.99810386985828</v>
      </c>
      <c r="D27" s="245">
        <v>17.296429065867784</v>
      </c>
      <c r="E27" s="245">
        <f t="shared" si="2"/>
        <v>604.96710773860309</v>
      </c>
      <c r="F27" s="245">
        <v>10357.319528274098</v>
      </c>
      <c r="G27" s="245">
        <v>3325.2852283446155</v>
      </c>
      <c r="H27" s="245">
        <v>2657.34</v>
      </c>
      <c r="I27" s="245">
        <f t="shared" si="3"/>
        <v>16339.944756618714</v>
      </c>
    </row>
    <row r="28" spans="1:12" s="393" customFormat="1" ht="11.1" customHeight="1">
      <c r="A28" s="582" t="s">
        <v>1172</v>
      </c>
      <c r="B28" s="315">
        <v>121.15805333680674</v>
      </c>
      <c r="C28" s="315">
        <v>104.72577686544776</v>
      </c>
      <c r="D28" s="315">
        <v>72.669604266582439</v>
      </c>
      <c r="E28" s="315">
        <f t="shared" si="2"/>
        <v>298.55343446883694</v>
      </c>
      <c r="F28" s="315">
        <v>11015.225202382831</v>
      </c>
      <c r="G28" s="315">
        <v>3344.0228279621474</v>
      </c>
      <c r="H28" s="315">
        <v>2625.9</v>
      </c>
      <c r="I28" s="315">
        <f t="shared" si="3"/>
        <v>16985.148030344979</v>
      </c>
    </row>
    <row r="29" spans="1:12" s="393" customFormat="1" ht="11.1" customHeight="1">
      <c r="A29" s="232" t="s">
        <v>1173</v>
      </c>
      <c r="B29" s="245">
        <v>130.81</v>
      </c>
      <c r="C29" s="245">
        <v>62.788455905964383</v>
      </c>
      <c r="D29" s="245">
        <v>5.9507797188876452</v>
      </c>
      <c r="E29" s="245">
        <f t="shared" si="2"/>
        <v>199.54923562485203</v>
      </c>
      <c r="F29" s="245">
        <v>10746.3</v>
      </c>
      <c r="G29" s="245">
        <v>3482.674</v>
      </c>
      <c r="H29" s="245">
        <v>2591.8440000000001</v>
      </c>
      <c r="I29" s="245">
        <f t="shared" si="3"/>
        <v>16820.817999999999</v>
      </c>
    </row>
    <row r="30" spans="1:12" s="393" customFormat="1" ht="11.1" customHeight="1">
      <c r="A30" s="592" t="s">
        <v>1836</v>
      </c>
      <c r="B30" s="842">
        <f>B31+B32+B33+B34</f>
        <v>1136.2284303097997</v>
      </c>
      <c r="C30" s="842">
        <f t="shared" ref="C30:E30" si="6">C31+C32+C33+C34</f>
        <v>483.4066575141602</v>
      </c>
      <c r="D30" s="842">
        <f t="shared" si="6"/>
        <v>90.892250897865864</v>
      </c>
      <c r="E30" s="842">
        <f t="shared" si="6"/>
        <v>1710.5273387218258</v>
      </c>
      <c r="F30" s="470">
        <f>F34</f>
        <v>10975.522113632853</v>
      </c>
      <c r="G30" s="470">
        <f>G34</f>
        <v>3695.489942013593</v>
      </c>
      <c r="H30" s="470">
        <f>H34</f>
        <v>2806.27</v>
      </c>
      <c r="I30" s="843">
        <f t="shared" ref="I30" si="7">SUM(F30:H30)</f>
        <v>17477.282055646447</v>
      </c>
    </row>
    <row r="31" spans="1:12" s="393" customFormat="1" ht="11.1" customHeight="1">
      <c r="A31" s="1081" t="s">
        <v>1174</v>
      </c>
      <c r="B31" s="245">
        <v>252.08</v>
      </c>
      <c r="C31" s="245">
        <v>123.43345269186131</v>
      </c>
      <c r="D31" s="245">
        <v>21.897757522825628</v>
      </c>
      <c r="E31" s="245">
        <f t="shared" si="2"/>
        <v>397.41121021468689</v>
      </c>
      <c r="F31" s="245">
        <v>10927.89</v>
      </c>
      <c r="G31" s="245">
        <v>4214.0274912398809</v>
      </c>
      <c r="H31" s="245">
        <v>2633.13</v>
      </c>
      <c r="I31" s="245">
        <f t="shared" si="3"/>
        <v>17775.047491239882</v>
      </c>
    </row>
    <row r="32" spans="1:12" s="393" customFormat="1" ht="11.1" customHeight="1">
      <c r="A32" s="1126" t="s">
        <v>1289</v>
      </c>
      <c r="B32" s="315">
        <v>469.37</v>
      </c>
      <c r="C32" s="315">
        <v>99.62302759833068</v>
      </c>
      <c r="D32" s="315">
        <v>107.65300000000001</v>
      </c>
      <c r="E32" s="315">
        <f t="shared" si="2"/>
        <v>676.64602759833065</v>
      </c>
      <c r="F32" s="315">
        <v>11495.97</v>
      </c>
      <c r="G32" s="315">
        <v>4116.6755739096761</v>
      </c>
      <c r="H32" s="315">
        <v>2820.5</v>
      </c>
      <c r="I32" s="315">
        <f t="shared" si="3"/>
        <v>18433.145573909675</v>
      </c>
    </row>
    <row r="33" spans="1:9" s="393" customFormat="1" ht="11.1" customHeight="1">
      <c r="A33" s="1081" t="s">
        <v>1172</v>
      </c>
      <c r="B33" s="245">
        <v>246.21210190237227</v>
      </c>
      <c r="C33" s="245">
        <v>253.08586343978902</v>
      </c>
      <c r="D33" s="245">
        <v>-10.055464788014888</v>
      </c>
      <c r="E33" s="245">
        <f t="shared" si="2"/>
        <v>489.24250055414643</v>
      </c>
      <c r="F33" s="245">
        <v>11722.45</v>
      </c>
      <c r="G33" s="245">
        <v>4259.2757488694888</v>
      </c>
      <c r="H33" s="245">
        <v>2884</v>
      </c>
      <c r="I33" s="245">
        <f t="shared" si="3"/>
        <v>18865.725748869489</v>
      </c>
    </row>
    <row r="34" spans="1:9" s="393" customFormat="1" ht="11.1" customHeight="1">
      <c r="A34" s="1126" t="s">
        <v>1173</v>
      </c>
      <c r="B34" s="315">
        <v>168.56632840742736</v>
      </c>
      <c r="C34" s="315">
        <v>7.264313784179194</v>
      </c>
      <c r="D34" s="315">
        <v>-28.603041836944868</v>
      </c>
      <c r="E34" s="315">
        <f>SUM(B34:D34)</f>
        <v>147.22760035466169</v>
      </c>
      <c r="F34" s="315">
        <v>10975.522113632853</v>
      </c>
      <c r="G34" s="315">
        <v>3695.489942013593</v>
      </c>
      <c r="H34" s="315">
        <v>2806.27</v>
      </c>
      <c r="I34" s="315">
        <f t="shared" si="3"/>
        <v>17477.282055646447</v>
      </c>
    </row>
    <row r="35" spans="1:9" s="393" customFormat="1" ht="11.1" customHeight="1">
      <c r="A35" s="728" t="s">
        <v>2088</v>
      </c>
      <c r="B35" s="840">
        <f>B36+B37+B38+B39</f>
        <v>709.9295798735285</v>
      </c>
      <c r="C35" s="840">
        <f>C36+C37+C38+C39</f>
        <v>788.07825689303422</v>
      </c>
      <c r="D35" s="840">
        <f t="shared" ref="D35:E35" si="8">D36+D37+D38+D39</f>
        <v>107.4560566764363</v>
      </c>
      <c r="E35" s="840">
        <f t="shared" si="8"/>
        <v>1605.4638934429991</v>
      </c>
      <c r="F35" s="471">
        <f>F39</f>
        <v>10597.720442214342</v>
      </c>
      <c r="G35" s="471">
        <f>G39</f>
        <v>4043.73</v>
      </c>
      <c r="H35" s="471">
        <f>H39</f>
        <v>2875.56</v>
      </c>
      <c r="I35" s="844">
        <f t="shared" si="3"/>
        <v>17517.010442214341</v>
      </c>
    </row>
    <row r="36" spans="1:9" s="393" customFormat="1" ht="11.1" customHeight="1">
      <c r="A36" s="1126" t="s">
        <v>1174</v>
      </c>
      <c r="B36" s="315">
        <v>223.66504454925553</v>
      </c>
      <c r="C36" s="315">
        <v>164.05450189583735</v>
      </c>
      <c r="D36" s="315">
        <v>109.42230581789886</v>
      </c>
      <c r="E36" s="315">
        <f t="shared" ref="E36:E39" si="9">SUM(B36:D36)</f>
        <v>497.14185226299173</v>
      </c>
      <c r="F36" s="315">
        <v>11056.39</v>
      </c>
      <c r="G36" s="315">
        <v>3738.6640000000002</v>
      </c>
      <c r="H36" s="315">
        <v>2928.2339999999999</v>
      </c>
      <c r="I36" s="315">
        <f t="shared" si="3"/>
        <v>17723.288</v>
      </c>
    </row>
    <row r="37" spans="1:9" s="393" customFormat="1" ht="11.1" customHeight="1">
      <c r="A37" s="1081" t="s">
        <v>1289</v>
      </c>
      <c r="B37" s="245">
        <v>230.49779332823621</v>
      </c>
      <c r="C37" s="245">
        <v>245.43833483737012</v>
      </c>
      <c r="D37" s="245">
        <v>-91.944752915763786</v>
      </c>
      <c r="E37" s="245">
        <f t="shared" si="9"/>
        <v>383.99137524984252</v>
      </c>
      <c r="F37" s="245">
        <v>11014.943646098083</v>
      </c>
      <c r="G37" s="245">
        <v>3984.22</v>
      </c>
      <c r="H37" s="245">
        <v>2868.81</v>
      </c>
      <c r="I37" s="245">
        <f t="shared" si="3"/>
        <v>17867.973646098082</v>
      </c>
    </row>
    <row r="38" spans="1:9" s="393" customFormat="1" ht="11.1" customHeight="1">
      <c r="A38" s="1126" t="s">
        <v>1172</v>
      </c>
      <c r="B38" s="315">
        <v>137.00539392957256</v>
      </c>
      <c r="C38" s="315">
        <v>205.77697716266829</v>
      </c>
      <c r="D38" s="315">
        <v>-45.44</v>
      </c>
      <c r="E38" s="315">
        <f t="shared" si="9"/>
        <v>297.34237109224085</v>
      </c>
      <c r="F38" s="315">
        <v>10899.948</v>
      </c>
      <c r="G38" s="315">
        <v>4108.9129999999996</v>
      </c>
      <c r="H38" s="315">
        <v>2818.884</v>
      </c>
      <c r="I38" s="315">
        <f t="shared" si="3"/>
        <v>17827.745000000003</v>
      </c>
    </row>
    <row r="39" spans="1:9" s="393" customFormat="1" ht="11.1" customHeight="1">
      <c r="A39" s="1341" t="s">
        <v>1173</v>
      </c>
      <c r="B39" s="245">
        <v>118.76134806646412</v>
      </c>
      <c r="C39" s="245">
        <v>172.80844299715847</v>
      </c>
      <c r="D39" s="245">
        <v>135.41850377430123</v>
      </c>
      <c r="E39" s="245">
        <f t="shared" si="9"/>
        <v>426.98829483792383</v>
      </c>
      <c r="F39" s="245">
        <v>10597.720442214342</v>
      </c>
      <c r="G39" s="245">
        <v>4043.73</v>
      </c>
      <c r="H39" s="245">
        <v>2875.56</v>
      </c>
      <c r="I39" s="245">
        <f t="shared" si="3"/>
        <v>17517.010442214341</v>
      </c>
    </row>
    <row r="40" spans="1:9" s="393" customFormat="1" ht="11.1" customHeight="1">
      <c r="A40" s="592" t="s">
        <v>2228</v>
      </c>
      <c r="B40" s="842">
        <f>B41+B42+B43+B44</f>
        <v>667.55865143447068</v>
      </c>
      <c r="C40" s="842">
        <f t="shared" ref="C40:E40" si="10">C41+C42+C43+C44</f>
        <v>614.870941240467</v>
      </c>
      <c r="D40" s="842">
        <f t="shared" si="10"/>
        <v>133.03</v>
      </c>
      <c r="E40" s="842">
        <f t="shared" si="10"/>
        <v>1415.4595926749375</v>
      </c>
      <c r="F40" s="470">
        <f>F44</f>
        <v>10465.309350218979</v>
      </c>
      <c r="G40" s="470">
        <f>G44</f>
        <v>4285.3725929807633</v>
      </c>
      <c r="H40" s="470">
        <f>H44</f>
        <v>2976.72</v>
      </c>
      <c r="I40" s="843">
        <f t="shared" ref="I40" si="11">SUM(F40:H40)</f>
        <v>17727.401943199744</v>
      </c>
    </row>
    <row r="41" spans="1:9" s="393" customFormat="1" ht="11.1" customHeight="1">
      <c r="A41" s="1341" t="s">
        <v>1174</v>
      </c>
      <c r="B41" s="245">
        <v>144.80771510213179</v>
      </c>
      <c r="C41" s="245">
        <v>271.25145873778467</v>
      </c>
      <c r="D41" s="245">
        <v>-55.52</v>
      </c>
      <c r="E41" s="245">
        <f t="shared" ref="E41:E43" si="12">SUM(B41:D41)</f>
        <v>360.53917383991649</v>
      </c>
      <c r="F41" s="245">
        <v>10419.049942807074</v>
      </c>
      <c r="G41" s="245">
        <v>4141.47</v>
      </c>
      <c r="H41" s="245">
        <v>2789.16</v>
      </c>
      <c r="I41" s="245">
        <f t="shared" si="3"/>
        <v>17349.679942807074</v>
      </c>
    </row>
    <row r="42" spans="1:9" s="393" customFormat="1" ht="11.1" customHeight="1">
      <c r="A42" s="1437" t="s">
        <v>1289</v>
      </c>
      <c r="B42" s="315">
        <v>187.72</v>
      </c>
      <c r="C42" s="315">
        <v>120.31</v>
      </c>
      <c r="D42" s="315">
        <v>71.23</v>
      </c>
      <c r="E42" s="315">
        <f t="shared" si="12"/>
        <v>379.26</v>
      </c>
      <c r="F42" s="315">
        <v>10620.66</v>
      </c>
      <c r="G42" s="315">
        <v>4349.99</v>
      </c>
      <c r="H42" s="315">
        <v>2861.28</v>
      </c>
      <c r="I42" s="315">
        <f t="shared" si="3"/>
        <v>17831.93</v>
      </c>
    </row>
    <row r="43" spans="1:9" s="393" customFormat="1" ht="11.1" customHeight="1">
      <c r="A43" s="1341" t="s">
        <v>1172</v>
      </c>
      <c r="B43" s="245">
        <v>120.88740568218184</v>
      </c>
      <c r="C43" s="245">
        <v>257.264877454182</v>
      </c>
      <c r="D43" s="245">
        <v>25.29</v>
      </c>
      <c r="E43" s="245">
        <f t="shared" si="12"/>
        <v>403.44228313636387</v>
      </c>
      <c r="F43" s="245">
        <v>10872.513999999999</v>
      </c>
      <c r="G43" s="245">
        <v>4956.7539999999999</v>
      </c>
      <c r="H43" s="245">
        <v>2888.42</v>
      </c>
      <c r="I43" s="245">
        <f t="shared" si="3"/>
        <v>18717.688000000002</v>
      </c>
    </row>
    <row r="44" spans="1:9" s="393" customFormat="1" ht="11.1" customHeight="1">
      <c r="A44" s="1437" t="s">
        <v>1173</v>
      </c>
      <c r="B44" s="315">
        <v>214.14353065015712</v>
      </c>
      <c r="C44" s="315">
        <v>-33.95539495149967</v>
      </c>
      <c r="D44" s="315">
        <v>92.03</v>
      </c>
      <c r="E44" s="315">
        <f>SUM(B44:D44)</f>
        <v>272.21813569865742</v>
      </c>
      <c r="F44" s="315">
        <v>10465.309350218979</v>
      </c>
      <c r="G44" s="315">
        <v>4285.3725929807633</v>
      </c>
      <c r="H44" s="315">
        <v>2976.72</v>
      </c>
      <c r="I44" s="315">
        <f t="shared" si="3"/>
        <v>17727.401943199744</v>
      </c>
    </row>
    <row r="45" spans="1:9" s="393" customFormat="1" ht="11.1" customHeight="1">
      <c r="A45" s="1484" t="s">
        <v>2733</v>
      </c>
      <c r="B45" s="840">
        <f>B46+B47+B48+B49</f>
        <v>554.77</v>
      </c>
      <c r="C45" s="840">
        <f>C46+C47+C48+C49</f>
        <v>758.11</v>
      </c>
      <c r="D45" s="840">
        <f t="shared" ref="D45:E45" si="13">D46+D47+D48+D49</f>
        <v>373.36</v>
      </c>
      <c r="E45" s="840">
        <f t="shared" si="13"/>
        <v>1686.24</v>
      </c>
      <c r="F45" s="471">
        <f>F49</f>
        <v>10871.19</v>
      </c>
      <c r="G45" s="471">
        <f>G49</f>
        <v>4798.46</v>
      </c>
      <c r="H45" s="471">
        <f>H49</f>
        <v>3285.7</v>
      </c>
      <c r="I45" s="844">
        <f t="shared" ref="I45" si="14">SUM(F45:H45)</f>
        <v>18955.350000000002</v>
      </c>
    </row>
    <row r="46" spans="1:9" s="393" customFormat="1" ht="11.1" customHeight="1">
      <c r="A46" s="1437" t="s">
        <v>1174</v>
      </c>
      <c r="B46" s="315">
        <v>76.790000000000006</v>
      </c>
      <c r="C46" s="315">
        <v>72.900000000000006</v>
      </c>
      <c r="D46" s="315">
        <v>-45.36</v>
      </c>
      <c r="E46" s="315">
        <f>SUM(B46:D46)</f>
        <v>104.33</v>
      </c>
      <c r="F46" s="315">
        <v>10423.57</v>
      </c>
      <c r="G46" s="315">
        <v>4315.08</v>
      </c>
      <c r="H46" s="315">
        <v>2938.7</v>
      </c>
      <c r="I46" s="315">
        <f t="shared" si="3"/>
        <v>17677.349999999999</v>
      </c>
    </row>
    <row r="47" spans="1:9" s="393" customFormat="1" ht="11.1" customHeight="1">
      <c r="A47" s="1341" t="s">
        <v>1289</v>
      </c>
      <c r="B47" s="245">
        <v>132.81</v>
      </c>
      <c r="C47" s="245">
        <v>325.75</v>
      </c>
      <c r="D47" s="245">
        <v>31.84</v>
      </c>
      <c r="E47" s="245">
        <f>SUM(B47:D47)</f>
        <v>490.4</v>
      </c>
      <c r="F47" s="245">
        <v>10686.58</v>
      </c>
      <c r="G47" s="245">
        <v>4680.9399999999996</v>
      </c>
      <c r="H47" s="245">
        <v>2926.36</v>
      </c>
      <c r="I47" s="245">
        <f t="shared" si="3"/>
        <v>18293.88</v>
      </c>
    </row>
    <row r="48" spans="1:9" s="393" customFormat="1" ht="11.1" customHeight="1">
      <c r="A48" s="1437" t="s">
        <v>1172</v>
      </c>
      <c r="B48" s="315">
        <v>263.87</v>
      </c>
      <c r="C48" s="315">
        <v>191.22</v>
      </c>
      <c r="D48" s="315">
        <v>333.15</v>
      </c>
      <c r="E48" s="315">
        <f>SUM(B48:D48)</f>
        <v>788.24</v>
      </c>
      <c r="F48" s="315">
        <v>10806.99</v>
      </c>
      <c r="G48" s="315">
        <v>4742.75</v>
      </c>
      <c r="H48" s="315">
        <v>3186.66</v>
      </c>
      <c r="I48" s="315">
        <f t="shared" si="3"/>
        <v>18736.400000000001</v>
      </c>
    </row>
    <row r="49" spans="1:9" s="393" customFormat="1" ht="11.1" customHeight="1">
      <c r="A49" s="1341" t="s">
        <v>1173</v>
      </c>
      <c r="B49" s="245">
        <v>81.3</v>
      </c>
      <c r="C49" s="245">
        <v>168.24</v>
      </c>
      <c r="D49" s="245">
        <v>53.73</v>
      </c>
      <c r="E49" s="245">
        <f>SUM(B49:D49)</f>
        <v>303.27000000000004</v>
      </c>
      <c r="F49" s="245">
        <v>10871.19</v>
      </c>
      <c r="G49" s="245">
        <v>4798.46</v>
      </c>
      <c r="H49" s="245">
        <v>3285.7</v>
      </c>
      <c r="I49" s="245">
        <f t="shared" si="3"/>
        <v>18955.350000000002</v>
      </c>
    </row>
    <row r="50" spans="1:9" s="219" customFormat="1" ht="11.25">
      <c r="A50" s="592" t="s">
        <v>2875</v>
      </c>
      <c r="B50" s="842"/>
      <c r="C50" s="842"/>
      <c r="D50" s="842"/>
      <c r="E50" s="842"/>
      <c r="F50" s="470"/>
      <c r="G50" s="470"/>
      <c r="H50" s="470"/>
      <c r="I50" s="843"/>
    </row>
    <row r="51" spans="1:9" s="393" customFormat="1" ht="11.25">
      <c r="A51" s="1341" t="s">
        <v>1174</v>
      </c>
      <c r="B51" s="245">
        <v>101.12</v>
      </c>
      <c r="C51" s="245">
        <v>211.47</v>
      </c>
      <c r="D51" s="245">
        <v>2.4900000000000002</v>
      </c>
      <c r="E51" s="245">
        <f>SUM(B51:D51)</f>
        <v>315.08000000000004</v>
      </c>
      <c r="F51" s="245">
        <v>11072.05</v>
      </c>
      <c r="G51" s="245">
        <v>5100.12</v>
      </c>
      <c r="H51" s="245">
        <v>3326.73</v>
      </c>
      <c r="I51" s="245">
        <f t="shared" ref="I51" si="15">SUM(F51:H51)</f>
        <v>19498.899999999998</v>
      </c>
    </row>
    <row r="52" spans="1:9" s="148" customFormat="1" ht="12" thickBot="1">
      <c r="A52" s="1856" t="s">
        <v>1289</v>
      </c>
      <c r="B52" s="334">
        <v>108.34</v>
      </c>
      <c r="C52" s="334">
        <v>210.74</v>
      </c>
      <c r="D52" s="334">
        <v>44.73</v>
      </c>
      <c r="E52" s="334">
        <f>B52+C52+D52</f>
        <v>363.81000000000006</v>
      </c>
      <c r="F52" s="334">
        <v>11232.51</v>
      </c>
      <c r="G52" s="334">
        <v>5425.12</v>
      </c>
      <c r="H52" s="334">
        <v>3403.28</v>
      </c>
      <c r="I52" s="334">
        <f>H52+G52+F52</f>
        <v>20060.91</v>
      </c>
    </row>
    <row r="53" spans="1:9" s="148" customFormat="1" ht="12" customHeight="1">
      <c r="A53" s="231" t="s">
        <v>591</v>
      </c>
      <c r="B53" s="2267" t="s">
        <v>1877</v>
      </c>
      <c r="C53" s="2267"/>
      <c r="D53" s="2267"/>
      <c r="E53" s="2267"/>
      <c r="F53" s="2267"/>
      <c r="G53" s="2267"/>
      <c r="H53" s="2267"/>
      <c r="I53" s="2267"/>
    </row>
    <row r="54" spans="1:9">
      <c r="A54" s="16"/>
      <c r="B54" s="2268" t="s">
        <v>1552</v>
      </c>
      <c r="C54" s="2268"/>
      <c r="D54" s="2268"/>
      <c r="E54" s="2268"/>
      <c r="F54" s="2268"/>
      <c r="G54" s="2268"/>
      <c r="H54" s="2268"/>
      <c r="I54" s="2268"/>
    </row>
    <row r="55" spans="1:9">
      <c r="A55" s="16"/>
      <c r="B55" s="1798" t="s">
        <v>2592</v>
      </c>
      <c r="C55" s="1798"/>
      <c r="D55" s="1798"/>
      <c r="E55" s="1798"/>
      <c r="F55" s="1798"/>
      <c r="G55" s="1798"/>
      <c r="H55" s="1798"/>
      <c r="I55" s="1798"/>
    </row>
    <row r="56" spans="1:9">
      <c r="A56" s="16"/>
      <c r="B56" s="1798" t="s">
        <v>2593</v>
      </c>
      <c r="C56" s="1798"/>
      <c r="D56" s="1798"/>
      <c r="E56" s="1798"/>
      <c r="F56" s="1798"/>
      <c r="G56" s="1798" t="s">
        <v>1309</v>
      </c>
      <c r="H56" s="1578"/>
      <c r="I56" s="1798"/>
    </row>
    <row r="57" spans="1:9">
      <c r="A57" s="550" t="s">
        <v>813</v>
      </c>
      <c r="B57" s="2259" t="s">
        <v>1221</v>
      </c>
      <c r="C57" s="2259"/>
      <c r="D57" s="2259"/>
      <c r="E57" s="2259"/>
      <c r="F57" s="30"/>
      <c r="G57" s="2084" t="s">
        <v>2506</v>
      </c>
      <c r="H57" s="2084"/>
      <c r="I57" s="230"/>
    </row>
    <row r="58" spans="1:9">
      <c r="E58" s="1799"/>
      <c r="F58" s="1799"/>
    </row>
    <row r="59" spans="1:9" ht="11.1" customHeight="1">
      <c r="E59" s="591"/>
    </row>
    <row r="60" spans="1:9" ht="11.1" customHeight="1">
      <c r="E60" s="591"/>
    </row>
    <row r="61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7:E57"/>
    <mergeCell ref="G57:H57"/>
    <mergeCell ref="A1:G2"/>
    <mergeCell ref="H3:I3"/>
    <mergeCell ref="A4:A5"/>
    <mergeCell ref="B4:E4"/>
    <mergeCell ref="F4:I4"/>
    <mergeCell ref="B53:I53"/>
    <mergeCell ref="B54:I54"/>
  </mergeCells>
  <phoneticPr fontId="5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BE72"/>
  <sheetViews>
    <sheetView zoomScale="150" zoomScaleNormal="150" workbookViewId="0">
      <pane xSplit="1" ySplit="6" topLeftCell="AA19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C14" sqref="C14"/>
    </sheetView>
  </sheetViews>
  <sheetFormatPr defaultColWidth="9.140625" defaultRowHeight="9"/>
  <cols>
    <col min="1" max="1" width="8.85546875" style="63" customWidth="1"/>
    <col min="2" max="2" width="5.28515625" style="30" customWidth="1"/>
    <col min="3" max="3" width="8.28515625" style="30" customWidth="1"/>
    <col min="4" max="4" width="4.85546875" style="30" customWidth="1"/>
    <col min="5" max="5" width="8.28515625" style="30" customWidth="1"/>
    <col min="6" max="6" width="5.42578125" style="30" customWidth="1"/>
    <col min="7" max="7" width="7.7109375" style="30" customWidth="1"/>
    <col min="8" max="8" width="6.85546875" style="30" customWidth="1"/>
    <col min="9" max="9" width="5.42578125" style="30" customWidth="1"/>
    <col min="10" max="10" width="5.5703125" style="30" customWidth="1"/>
    <col min="11" max="12" width="6.42578125" style="30" customWidth="1"/>
    <col min="13" max="13" width="8.28515625" style="30" customWidth="1"/>
    <col min="14" max="14" width="8.85546875" style="30" customWidth="1"/>
    <col min="15" max="15" width="8.5703125" style="30" customWidth="1"/>
    <col min="16" max="16" width="9" style="30" customWidth="1"/>
    <col min="17" max="17" width="8.140625" style="30" customWidth="1"/>
    <col min="18" max="18" width="7.7109375" style="30" customWidth="1"/>
    <col min="19" max="19" width="7.42578125" style="30" customWidth="1"/>
    <col min="20" max="20" width="7.85546875" style="30" customWidth="1"/>
    <col min="21" max="21" width="9.5703125" style="63" customWidth="1"/>
    <col min="22" max="22" width="9.7109375" style="63" customWidth="1"/>
    <col min="23" max="24" width="6" style="30" customWidth="1"/>
    <col min="25" max="25" width="7.5703125" style="30" customWidth="1"/>
    <col min="26" max="26" width="6.85546875" style="30" customWidth="1"/>
    <col min="27" max="27" width="6.42578125" style="30" customWidth="1"/>
    <col min="28" max="28" width="6.85546875" style="30" customWidth="1"/>
    <col min="29" max="29" width="6.5703125" style="30" customWidth="1"/>
    <col min="30" max="30" width="7.28515625" style="30" customWidth="1"/>
    <col min="31" max="31" width="8.140625" style="30" customWidth="1"/>
    <col min="32" max="32" width="6.85546875" style="30" customWidth="1"/>
    <col min="33" max="33" width="6.42578125" style="30" customWidth="1"/>
    <col min="34" max="34" width="7.7109375" style="30" customWidth="1"/>
    <col min="35" max="35" width="7" style="30" customWidth="1"/>
    <col min="36" max="36" width="7.140625" style="30" customWidth="1"/>
    <col min="37" max="37" width="7.7109375" style="30" customWidth="1"/>
    <col min="38" max="38" width="7.85546875" style="30" customWidth="1"/>
    <col min="39" max="39" width="9.7109375" style="30" customWidth="1"/>
    <col min="40" max="40" width="7.7109375" style="30" customWidth="1"/>
    <col min="41" max="41" width="8.28515625" style="30" customWidth="1"/>
    <col min="42" max="42" width="9.7109375" style="63" customWidth="1"/>
    <col min="43" max="57" width="5.5703125" style="30" customWidth="1"/>
    <col min="58" max="16384" width="9.140625" style="30"/>
  </cols>
  <sheetData>
    <row r="1" spans="1:52" s="21" customFormat="1" ht="15.75">
      <c r="A1" s="2290" t="s">
        <v>629</v>
      </c>
      <c r="B1" s="2290"/>
      <c r="C1" s="2290"/>
      <c r="D1" s="2290"/>
      <c r="E1" s="56"/>
      <c r="F1" s="56"/>
      <c r="J1" s="2277" t="s">
        <v>117</v>
      </c>
      <c r="K1" s="2277"/>
      <c r="L1" s="2277"/>
      <c r="M1" s="2283" t="s">
        <v>116</v>
      </c>
      <c r="N1" s="2283"/>
      <c r="S1" s="2277" t="s">
        <v>138</v>
      </c>
      <c r="T1" s="2277"/>
      <c r="U1" s="2277"/>
      <c r="AE1" s="2277" t="s">
        <v>117</v>
      </c>
      <c r="AF1" s="2277"/>
      <c r="AG1" s="2283" t="s">
        <v>116</v>
      </c>
      <c r="AH1" s="2283"/>
      <c r="AI1" s="2283"/>
      <c r="AN1" s="2277" t="s">
        <v>223</v>
      </c>
      <c r="AO1" s="2277"/>
      <c r="AP1" s="2277"/>
    </row>
    <row r="2" spans="1:52" s="20" customFormat="1" ht="11.25" customHeight="1">
      <c r="A2" s="1869"/>
      <c r="B2" s="1869"/>
      <c r="C2" s="1869"/>
      <c r="D2" s="1869"/>
      <c r="E2" s="57"/>
      <c r="F2" s="57"/>
      <c r="G2" s="58"/>
      <c r="H2" s="58"/>
      <c r="I2" s="58"/>
      <c r="M2" s="58"/>
      <c r="S2" s="1869"/>
      <c r="T2" s="2284" t="s">
        <v>24</v>
      </c>
      <c r="U2" s="2284"/>
      <c r="AO2" s="2284" t="s">
        <v>24</v>
      </c>
      <c r="AP2" s="2284"/>
    </row>
    <row r="3" spans="1:52" s="109" customFormat="1" ht="13.5" customHeight="1">
      <c r="A3" s="2274" t="s">
        <v>21</v>
      </c>
      <c r="B3" s="2285" t="s">
        <v>168</v>
      </c>
      <c r="C3" s="2286"/>
      <c r="D3" s="2286"/>
      <c r="E3" s="2286"/>
      <c r="F3" s="2286"/>
      <c r="G3" s="2286"/>
      <c r="H3" s="2286"/>
      <c r="I3" s="2286"/>
      <c r="J3" s="2286"/>
      <c r="K3" s="2286"/>
      <c r="L3" s="2289"/>
      <c r="M3" s="2285" t="s">
        <v>169</v>
      </c>
      <c r="N3" s="2286"/>
      <c r="O3" s="2286"/>
      <c r="P3" s="2286"/>
      <c r="Q3" s="2286"/>
      <c r="R3" s="2286"/>
      <c r="S3" s="2286"/>
      <c r="T3" s="2289"/>
      <c r="U3" s="2274" t="s">
        <v>21</v>
      </c>
      <c r="V3" s="2274" t="s">
        <v>21</v>
      </c>
      <c r="W3" s="2285" t="s">
        <v>170</v>
      </c>
      <c r="X3" s="2286"/>
      <c r="Y3" s="2286"/>
      <c r="Z3" s="2286"/>
      <c r="AA3" s="2286"/>
      <c r="AB3" s="2286"/>
      <c r="AC3" s="2286"/>
      <c r="AD3" s="2286"/>
      <c r="AE3" s="2286"/>
      <c r="AF3" s="2286"/>
      <c r="AG3" s="2286"/>
      <c r="AH3" s="2286" t="s">
        <v>171</v>
      </c>
      <c r="AI3" s="2286"/>
      <c r="AJ3" s="2286"/>
      <c r="AK3" s="2286"/>
      <c r="AL3" s="2286"/>
      <c r="AM3" s="2289"/>
      <c r="AN3" s="2269" t="s">
        <v>911</v>
      </c>
      <c r="AO3" s="2269" t="s">
        <v>913</v>
      </c>
      <c r="AP3" s="2274" t="s">
        <v>481</v>
      </c>
    </row>
    <row r="4" spans="1:52" s="78" customFormat="1" ht="11.25" customHeight="1">
      <c r="A4" s="2275"/>
      <c r="B4" s="2269" t="s">
        <v>930</v>
      </c>
      <c r="C4" s="2272" t="s">
        <v>2298</v>
      </c>
      <c r="D4" s="2269" t="s">
        <v>111</v>
      </c>
      <c r="E4" s="2272" t="s">
        <v>2299</v>
      </c>
      <c r="F4" s="2269" t="s">
        <v>2300</v>
      </c>
      <c r="G4" s="2272" t="s">
        <v>2301</v>
      </c>
      <c r="H4" s="2272" t="s">
        <v>1250</v>
      </c>
      <c r="I4" s="2269" t="s">
        <v>745</v>
      </c>
      <c r="J4" s="2269" t="s">
        <v>746</v>
      </c>
      <c r="K4" s="2269" t="s">
        <v>645</v>
      </c>
      <c r="L4" s="2281" t="s">
        <v>221</v>
      </c>
      <c r="M4" s="2278" t="s">
        <v>491</v>
      </c>
      <c r="N4" s="2279"/>
      <c r="O4" s="2280"/>
      <c r="P4" s="2278" t="s">
        <v>217</v>
      </c>
      <c r="Q4" s="2279"/>
      <c r="R4" s="2279"/>
      <c r="S4" s="2279"/>
      <c r="T4" s="2280"/>
      <c r="U4" s="2275"/>
      <c r="V4" s="2275"/>
      <c r="W4" s="2278" t="s">
        <v>222</v>
      </c>
      <c r="X4" s="2279"/>
      <c r="Y4" s="2279"/>
      <c r="Z4" s="2279"/>
      <c r="AA4" s="2279"/>
      <c r="AB4" s="2279"/>
      <c r="AC4" s="2279"/>
      <c r="AD4" s="2279"/>
      <c r="AE4" s="2279"/>
      <c r="AF4" s="2279"/>
      <c r="AG4" s="2279"/>
      <c r="AH4" s="2279"/>
      <c r="AI4" s="2279"/>
      <c r="AJ4" s="2279"/>
      <c r="AK4" s="2279"/>
      <c r="AL4" s="2279"/>
      <c r="AM4" s="2280"/>
      <c r="AN4" s="2270"/>
      <c r="AO4" s="2270"/>
      <c r="AP4" s="2275"/>
    </row>
    <row r="5" spans="1:52" s="60" customFormat="1" ht="44.25" customHeight="1">
      <c r="A5" s="2275"/>
      <c r="B5" s="2271"/>
      <c r="C5" s="2273"/>
      <c r="D5" s="2271"/>
      <c r="E5" s="2273"/>
      <c r="F5" s="2271"/>
      <c r="G5" s="2273"/>
      <c r="H5" s="2273"/>
      <c r="I5" s="2271"/>
      <c r="J5" s="2271"/>
      <c r="K5" s="2271"/>
      <c r="L5" s="2282"/>
      <c r="M5" s="1875" t="s">
        <v>492</v>
      </c>
      <c r="N5" s="1878" t="s">
        <v>493</v>
      </c>
      <c r="O5" s="1878" t="s">
        <v>641</v>
      </c>
      <c r="P5" s="1878" t="s">
        <v>2302</v>
      </c>
      <c r="Q5" s="1878" t="s">
        <v>494</v>
      </c>
      <c r="R5" s="1878" t="s">
        <v>747</v>
      </c>
      <c r="S5" s="1878" t="s">
        <v>748</v>
      </c>
      <c r="T5" s="1875" t="s">
        <v>782</v>
      </c>
      <c r="U5" s="2275"/>
      <c r="V5" s="2275"/>
      <c r="W5" s="960" t="s">
        <v>585</v>
      </c>
      <c r="X5" s="1863" t="s">
        <v>113</v>
      </c>
      <c r="Y5" s="1863" t="s">
        <v>910</v>
      </c>
      <c r="Z5" s="1863" t="s">
        <v>2303</v>
      </c>
      <c r="AA5" s="1862" t="s">
        <v>2305</v>
      </c>
      <c r="AB5" s="1863" t="s">
        <v>219</v>
      </c>
      <c r="AC5" s="1863" t="s">
        <v>575</v>
      </c>
      <c r="AD5" s="1863" t="s">
        <v>2306</v>
      </c>
      <c r="AE5" s="1862" t="s">
        <v>2304</v>
      </c>
      <c r="AF5" s="1863" t="s">
        <v>2307</v>
      </c>
      <c r="AG5" s="1863" t="s">
        <v>495</v>
      </c>
      <c r="AH5" s="1219" t="s">
        <v>1251</v>
      </c>
      <c r="AI5" s="1878" t="s">
        <v>749</v>
      </c>
      <c r="AJ5" s="1878" t="s">
        <v>2308</v>
      </c>
      <c r="AK5" s="1878" t="s">
        <v>220</v>
      </c>
      <c r="AL5" s="1878" t="s">
        <v>781</v>
      </c>
      <c r="AM5" s="1878" t="s">
        <v>912</v>
      </c>
      <c r="AN5" s="2271"/>
      <c r="AO5" s="2271"/>
      <c r="AP5" s="2275"/>
    </row>
    <row r="6" spans="1:52" s="64" customFormat="1" ht="12" customHeight="1">
      <c r="A6" s="2276"/>
      <c r="B6" s="1809">
        <v>1</v>
      </c>
      <c r="C6" s="1870">
        <v>2</v>
      </c>
      <c r="D6" s="1870">
        <v>3</v>
      </c>
      <c r="E6" s="1870">
        <v>4</v>
      </c>
      <c r="F6" s="1870">
        <v>5</v>
      </c>
      <c r="G6" s="1870">
        <v>6</v>
      </c>
      <c r="H6" s="1870">
        <v>7</v>
      </c>
      <c r="I6" s="1870">
        <v>8</v>
      </c>
      <c r="J6" s="1870">
        <v>9</v>
      </c>
      <c r="K6" s="1870">
        <v>10</v>
      </c>
      <c r="L6" s="1870">
        <v>11</v>
      </c>
      <c r="M6" s="816">
        <v>12</v>
      </c>
      <c r="N6" s="1870">
        <v>13</v>
      </c>
      <c r="O6" s="1870" t="s">
        <v>642</v>
      </c>
      <c r="P6" s="1870">
        <v>15</v>
      </c>
      <c r="Q6" s="1870">
        <v>16</v>
      </c>
      <c r="R6" s="1870">
        <v>17</v>
      </c>
      <c r="S6" s="1870">
        <v>18</v>
      </c>
      <c r="T6" s="816">
        <v>19</v>
      </c>
      <c r="U6" s="2276"/>
      <c r="V6" s="2276"/>
      <c r="W6" s="1809">
        <v>20</v>
      </c>
      <c r="X6" s="1870">
        <v>21</v>
      </c>
      <c r="Y6" s="1870">
        <v>22</v>
      </c>
      <c r="Z6" s="1870">
        <v>23</v>
      </c>
      <c r="AA6" s="1870">
        <v>24</v>
      </c>
      <c r="AB6" s="1870">
        <v>25</v>
      </c>
      <c r="AC6" s="1870">
        <v>26</v>
      </c>
      <c r="AD6" s="1870">
        <v>27</v>
      </c>
      <c r="AE6" s="1870">
        <v>28</v>
      </c>
      <c r="AF6" s="1870">
        <v>29</v>
      </c>
      <c r="AG6" s="1870">
        <v>30</v>
      </c>
      <c r="AH6" s="1870">
        <v>31</v>
      </c>
      <c r="AI6" s="1870">
        <v>32</v>
      </c>
      <c r="AJ6" s="1870">
        <v>33</v>
      </c>
      <c r="AK6" s="1870">
        <v>34</v>
      </c>
      <c r="AL6" s="1870">
        <v>35</v>
      </c>
      <c r="AM6" s="1870">
        <v>36</v>
      </c>
      <c r="AN6" s="1870" t="s">
        <v>643</v>
      </c>
      <c r="AO6" s="61" t="s">
        <v>644</v>
      </c>
      <c r="AP6" s="2276"/>
    </row>
    <row r="7" spans="1:52" s="258" customFormat="1" ht="11.45" customHeight="1">
      <c r="A7" s="312" t="s">
        <v>814</v>
      </c>
      <c r="B7" s="396">
        <v>1681.3</v>
      </c>
      <c r="C7" s="290">
        <v>5987.8</v>
      </c>
      <c r="D7" s="290">
        <v>18.2</v>
      </c>
      <c r="E7" s="290">
        <v>5398.8</v>
      </c>
      <c r="F7" s="290">
        <v>3580.2</v>
      </c>
      <c r="G7" s="290">
        <v>128269.2</v>
      </c>
      <c r="H7" s="396">
        <v>144.80000000000001</v>
      </c>
      <c r="I7" s="396">
        <v>0</v>
      </c>
      <c r="J7" s="396">
        <v>0.6</v>
      </c>
      <c r="K7" s="396">
        <v>44578.800000000017</v>
      </c>
      <c r="L7" s="396">
        <v>189659.7</v>
      </c>
      <c r="M7" s="396">
        <v>240.1</v>
      </c>
      <c r="N7" s="396">
        <v>5575.5</v>
      </c>
      <c r="O7" s="396">
        <v>5815.6</v>
      </c>
      <c r="P7" s="396">
        <v>1709.3</v>
      </c>
      <c r="Q7" s="396">
        <v>945.1</v>
      </c>
      <c r="R7" s="396">
        <v>1930.3</v>
      </c>
      <c r="S7" s="396">
        <v>11185</v>
      </c>
      <c r="T7" s="396">
        <v>3371.1</v>
      </c>
      <c r="U7" s="313" t="s">
        <v>814</v>
      </c>
      <c r="V7" s="312" t="s">
        <v>814</v>
      </c>
      <c r="W7" s="290">
        <v>5851.7</v>
      </c>
      <c r="X7" s="290">
        <v>3887.6</v>
      </c>
      <c r="Y7" s="290">
        <v>8799.9</v>
      </c>
      <c r="Z7" s="290">
        <v>29121.8</v>
      </c>
      <c r="AA7" s="290">
        <v>10405.1</v>
      </c>
      <c r="AB7" s="290">
        <v>951.7</v>
      </c>
      <c r="AC7" s="290">
        <v>9564.6</v>
      </c>
      <c r="AD7" s="290">
        <v>3189.6</v>
      </c>
      <c r="AE7" s="290">
        <v>10904.3</v>
      </c>
      <c r="AF7" s="290">
        <v>16003.1</v>
      </c>
      <c r="AG7" s="290">
        <v>10849.9</v>
      </c>
      <c r="AH7" s="290">
        <v>26132.1</v>
      </c>
      <c r="AI7" s="396">
        <v>3627.8</v>
      </c>
      <c r="AJ7" s="396">
        <v>18641.599999999999</v>
      </c>
      <c r="AK7" s="396">
        <v>14671.3</v>
      </c>
      <c r="AL7" s="396">
        <v>74769.399999999994</v>
      </c>
      <c r="AM7" s="396">
        <v>266512.3</v>
      </c>
      <c r="AN7" s="396">
        <v>272327.89999999997</v>
      </c>
      <c r="AO7" s="396">
        <f t="shared" ref="AO7:AO15" si="0">L7-AN7</f>
        <v>-82668.199999999953</v>
      </c>
      <c r="AP7" s="305" t="s">
        <v>814</v>
      </c>
    </row>
    <row r="8" spans="1:52" s="247" customFormat="1" ht="11.45" customHeight="1">
      <c r="A8" s="477" t="s">
        <v>991</v>
      </c>
      <c r="B8" s="376">
        <v>948.1</v>
      </c>
      <c r="C8" s="376">
        <v>5316.6</v>
      </c>
      <c r="D8" s="376">
        <v>16.3</v>
      </c>
      <c r="E8" s="376">
        <v>6863.6</v>
      </c>
      <c r="F8" s="376">
        <v>4097</v>
      </c>
      <c r="G8" s="376">
        <v>146626.6</v>
      </c>
      <c r="H8" s="376">
        <v>133.6</v>
      </c>
      <c r="I8" s="376">
        <v>0</v>
      </c>
      <c r="J8" s="376">
        <v>0.8</v>
      </c>
      <c r="K8" s="376">
        <v>49371.899999999994</v>
      </c>
      <c r="L8" s="376">
        <v>213374.5</v>
      </c>
      <c r="M8" s="376">
        <v>2700.2</v>
      </c>
      <c r="N8" s="376">
        <v>8685.9</v>
      </c>
      <c r="O8" s="376">
        <v>11386.099999999999</v>
      </c>
      <c r="P8" s="376">
        <v>2247.6</v>
      </c>
      <c r="Q8" s="376">
        <v>1423.1</v>
      </c>
      <c r="R8" s="376">
        <v>3952</v>
      </c>
      <c r="S8" s="376">
        <v>13685.3</v>
      </c>
      <c r="T8" s="376">
        <v>3535</v>
      </c>
      <c r="U8" s="478" t="s">
        <v>991</v>
      </c>
      <c r="V8" s="477" t="s">
        <v>991</v>
      </c>
      <c r="W8" s="376">
        <v>7011.1</v>
      </c>
      <c r="X8" s="376">
        <v>4810.3</v>
      </c>
      <c r="Y8" s="376">
        <v>7218.5</v>
      </c>
      <c r="Z8" s="376">
        <v>31629</v>
      </c>
      <c r="AA8" s="376">
        <v>11644</v>
      </c>
      <c r="AB8" s="376">
        <v>932</v>
      </c>
      <c r="AC8" s="376">
        <v>7977</v>
      </c>
      <c r="AD8" s="376">
        <v>4185.5</v>
      </c>
      <c r="AE8" s="376">
        <v>13937.2</v>
      </c>
      <c r="AF8" s="376">
        <v>18851.3</v>
      </c>
      <c r="AG8" s="376">
        <v>11705.4</v>
      </c>
      <c r="AH8" s="376">
        <v>27852.3</v>
      </c>
      <c r="AI8" s="376">
        <v>3832.7</v>
      </c>
      <c r="AJ8" s="376">
        <v>20653</v>
      </c>
      <c r="AK8" s="376">
        <v>18121.400000000001</v>
      </c>
      <c r="AL8" s="376">
        <v>89982.399999999994</v>
      </c>
      <c r="AM8" s="376">
        <v>305186.09999999998</v>
      </c>
      <c r="AN8" s="376">
        <v>316572.19999999995</v>
      </c>
      <c r="AO8" s="619">
        <f t="shared" si="0"/>
        <v>-103197.69999999995</v>
      </c>
      <c r="AP8" s="478" t="s">
        <v>991</v>
      </c>
    </row>
    <row r="9" spans="1:52" s="233" customFormat="1" ht="11.45" customHeight="1">
      <c r="A9" s="312" t="s">
        <v>1042</v>
      </c>
      <c r="B9" s="396">
        <v>856.4</v>
      </c>
      <c r="C9" s="396">
        <v>5350.7</v>
      </c>
      <c r="D9" s="396">
        <v>31.8</v>
      </c>
      <c r="E9" s="396">
        <v>6890.4</v>
      </c>
      <c r="F9" s="396">
        <v>3989.1</v>
      </c>
      <c r="G9" s="396">
        <v>156045.5</v>
      </c>
      <c r="H9" s="396">
        <v>290</v>
      </c>
      <c r="I9" s="396">
        <v>0</v>
      </c>
      <c r="J9" s="396">
        <v>0.6</v>
      </c>
      <c r="K9" s="396">
        <v>53031.700000000012</v>
      </c>
      <c r="L9" s="396">
        <v>226486.2</v>
      </c>
      <c r="M9" s="396">
        <v>4311.1000000000004</v>
      </c>
      <c r="N9" s="396">
        <v>7913.1</v>
      </c>
      <c r="O9" s="396">
        <v>12224.2</v>
      </c>
      <c r="P9" s="396">
        <v>2410.1</v>
      </c>
      <c r="Q9" s="396">
        <v>1668.2</v>
      </c>
      <c r="R9" s="396">
        <v>2745</v>
      </c>
      <c r="S9" s="396">
        <v>12221.1</v>
      </c>
      <c r="T9" s="396">
        <v>3057.7</v>
      </c>
      <c r="U9" s="313" t="s">
        <v>1042</v>
      </c>
      <c r="V9" s="312" t="s">
        <v>1042</v>
      </c>
      <c r="W9" s="847">
        <v>5770.1</v>
      </c>
      <c r="X9" s="847">
        <v>4631.3</v>
      </c>
      <c r="Y9" s="847">
        <v>6629.7</v>
      </c>
      <c r="Z9" s="847">
        <v>26174.6</v>
      </c>
      <c r="AA9" s="847">
        <v>12191.1</v>
      </c>
      <c r="AB9" s="847">
        <v>873.9</v>
      </c>
      <c r="AC9" s="847">
        <v>9647.6</v>
      </c>
      <c r="AD9" s="847">
        <v>4312.3</v>
      </c>
      <c r="AE9" s="847">
        <v>14331.9</v>
      </c>
      <c r="AF9" s="847">
        <v>17672.3</v>
      </c>
      <c r="AG9" s="847">
        <v>12378.5</v>
      </c>
      <c r="AH9" s="847">
        <v>28568.799999999999</v>
      </c>
      <c r="AI9" s="847">
        <v>4077.7</v>
      </c>
      <c r="AJ9" s="847">
        <v>22908.799999999999</v>
      </c>
      <c r="AK9" s="847">
        <v>20291.7</v>
      </c>
      <c r="AL9" s="847">
        <v>90398.1</v>
      </c>
      <c r="AM9" s="847">
        <v>302960.5</v>
      </c>
      <c r="AN9" s="847">
        <v>315184.7</v>
      </c>
      <c r="AO9" s="396">
        <f t="shared" si="0"/>
        <v>-88698.5</v>
      </c>
      <c r="AP9" s="313" t="s">
        <v>1042</v>
      </c>
    </row>
    <row r="10" spans="1:52" s="247" customFormat="1" ht="11.45" customHeight="1">
      <c r="A10" s="477" t="s">
        <v>1163</v>
      </c>
      <c r="B10" s="375">
        <v>1256.7</v>
      </c>
      <c r="C10" s="375">
        <v>5699.7</v>
      </c>
      <c r="D10" s="375">
        <v>14.9</v>
      </c>
      <c r="E10" s="375">
        <v>6496.9</v>
      </c>
      <c r="F10" s="375">
        <v>3559.2</v>
      </c>
      <c r="G10" s="375">
        <v>163120.5</v>
      </c>
      <c r="H10" s="375">
        <v>101.4</v>
      </c>
      <c r="I10" s="375">
        <v>0</v>
      </c>
      <c r="J10" s="375">
        <v>0</v>
      </c>
      <c r="K10" s="375">
        <v>56553.800000000017</v>
      </c>
      <c r="L10" s="375">
        <v>236803.1</v>
      </c>
      <c r="M10" s="375">
        <v>931.4</v>
      </c>
      <c r="N10" s="375">
        <v>7159.1</v>
      </c>
      <c r="O10" s="375">
        <v>8090.5</v>
      </c>
      <c r="P10" s="375">
        <v>1766.2</v>
      </c>
      <c r="Q10" s="375">
        <v>1597.8</v>
      </c>
      <c r="R10" s="375">
        <v>4083.2</v>
      </c>
      <c r="S10" s="375">
        <v>10409.299999999999</v>
      </c>
      <c r="T10" s="375">
        <v>3625.2</v>
      </c>
      <c r="U10" s="751" t="s">
        <v>1163</v>
      </c>
      <c r="V10" s="374" t="s">
        <v>1163</v>
      </c>
      <c r="W10" s="375">
        <v>5171.3999999999996</v>
      </c>
      <c r="X10" s="375">
        <v>3467.4</v>
      </c>
      <c r="Y10" s="375">
        <v>2985.2</v>
      </c>
      <c r="Z10" s="375">
        <v>17826.599999999999</v>
      </c>
      <c r="AA10" s="375">
        <v>13214.5</v>
      </c>
      <c r="AB10" s="375">
        <v>937.5</v>
      </c>
      <c r="AC10" s="375">
        <v>8170.1</v>
      </c>
      <c r="AD10" s="375">
        <v>4271.7</v>
      </c>
      <c r="AE10" s="375">
        <v>14233.1</v>
      </c>
      <c r="AF10" s="375">
        <v>16844</v>
      </c>
      <c r="AG10" s="375">
        <v>12884.7</v>
      </c>
      <c r="AH10" s="375">
        <v>32259.1</v>
      </c>
      <c r="AI10" s="375">
        <v>4713.1000000000004</v>
      </c>
      <c r="AJ10" s="375">
        <v>21924.9</v>
      </c>
      <c r="AK10" s="375">
        <v>23920.3</v>
      </c>
      <c r="AL10" s="375">
        <v>101483</v>
      </c>
      <c r="AM10" s="375">
        <v>305788.3</v>
      </c>
      <c r="AN10" s="375">
        <v>313878.8</v>
      </c>
      <c r="AO10" s="619">
        <f t="shared" si="0"/>
        <v>-77075.699999999983</v>
      </c>
      <c r="AP10" s="751" t="s">
        <v>1163</v>
      </c>
    </row>
    <row r="11" spans="1:52" s="247" customFormat="1" ht="11.45" customHeight="1">
      <c r="A11" s="312" t="s">
        <v>1187</v>
      </c>
      <c r="B11" s="396">
        <v>1381.5</v>
      </c>
      <c r="C11" s="396">
        <v>6116.2</v>
      </c>
      <c r="D11" s="396">
        <v>31.4</v>
      </c>
      <c r="E11" s="396">
        <v>6232.9</v>
      </c>
      <c r="F11" s="396">
        <v>3679.8</v>
      </c>
      <c r="G11" s="396">
        <v>166761.1</v>
      </c>
      <c r="H11" s="396">
        <v>130.4</v>
      </c>
      <c r="I11" s="396">
        <v>0</v>
      </c>
      <c r="J11" s="396">
        <v>44.1</v>
      </c>
      <c r="K11" s="396">
        <v>55278.800000000017</v>
      </c>
      <c r="L11" s="396">
        <v>239656.2</v>
      </c>
      <c r="M11" s="396">
        <v>604.1</v>
      </c>
      <c r="N11" s="396">
        <v>8157.1</v>
      </c>
      <c r="O11" s="396">
        <v>8761.2000000000007</v>
      </c>
      <c r="P11" s="396">
        <v>1998.9</v>
      </c>
      <c r="Q11" s="396">
        <v>2051.1</v>
      </c>
      <c r="R11" s="396">
        <v>3273.5</v>
      </c>
      <c r="S11" s="396">
        <v>11837.8</v>
      </c>
      <c r="T11" s="396">
        <v>4669.3999999999996</v>
      </c>
      <c r="U11" s="832" t="s">
        <v>1187</v>
      </c>
      <c r="V11" s="754" t="s">
        <v>1187</v>
      </c>
      <c r="W11" s="396">
        <v>6648</v>
      </c>
      <c r="X11" s="396">
        <v>3764.2</v>
      </c>
      <c r="Y11" s="396">
        <v>4222.1000000000004</v>
      </c>
      <c r="Z11" s="396">
        <v>21980.2</v>
      </c>
      <c r="AA11" s="396">
        <v>14792.9</v>
      </c>
      <c r="AB11" s="396">
        <v>1159.9000000000001</v>
      </c>
      <c r="AC11" s="396">
        <v>5742.4</v>
      </c>
      <c r="AD11" s="396">
        <v>4436.5</v>
      </c>
      <c r="AE11" s="396">
        <v>15330.1</v>
      </c>
      <c r="AF11" s="396">
        <v>20702.7</v>
      </c>
      <c r="AG11" s="396">
        <v>13181.2</v>
      </c>
      <c r="AH11" s="396">
        <v>32746.7</v>
      </c>
      <c r="AI11" s="396">
        <v>4836.8</v>
      </c>
      <c r="AJ11" s="396">
        <v>25854.7</v>
      </c>
      <c r="AK11" s="396">
        <v>28625.8</v>
      </c>
      <c r="AL11" s="396">
        <v>107961</v>
      </c>
      <c r="AM11" s="396">
        <v>335815.9</v>
      </c>
      <c r="AN11" s="396">
        <v>344577.10000000003</v>
      </c>
      <c r="AO11" s="396">
        <f t="shared" si="0"/>
        <v>-104920.90000000002</v>
      </c>
      <c r="AP11" s="832" t="s">
        <v>1187</v>
      </c>
    </row>
    <row r="12" spans="1:52" s="247" customFormat="1" ht="11.45" customHeight="1">
      <c r="A12" s="477" t="s">
        <v>1311</v>
      </c>
      <c r="B12" s="375">
        <v>1160.0999999999999</v>
      </c>
      <c r="C12" s="375">
        <v>6276.5</v>
      </c>
      <c r="D12" s="375">
        <v>21.6</v>
      </c>
      <c r="E12" s="375">
        <v>5805.8</v>
      </c>
      <c r="F12" s="375">
        <v>4087.7</v>
      </c>
      <c r="G12" s="375">
        <v>185411.8</v>
      </c>
      <c r="H12" s="375">
        <v>72.099999999999994</v>
      </c>
      <c r="I12" s="375">
        <v>13.6</v>
      </c>
      <c r="J12" s="375">
        <v>0</v>
      </c>
      <c r="K12" s="375">
        <v>64330.599999999977</v>
      </c>
      <c r="L12" s="375">
        <v>267179.8</v>
      </c>
      <c r="M12" s="375">
        <v>14319</v>
      </c>
      <c r="N12" s="375">
        <v>10064.5</v>
      </c>
      <c r="O12" s="375">
        <v>24383.5</v>
      </c>
      <c r="P12" s="375">
        <v>2371.4</v>
      </c>
      <c r="Q12" s="375">
        <v>2362.9</v>
      </c>
      <c r="R12" s="375">
        <v>4176.3</v>
      </c>
      <c r="S12" s="375">
        <v>14447.8</v>
      </c>
      <c r="T12" s="375">
        <v>3349</v>
      </c>
      <c r="U12" s="751" t="s">
        <v>1311</v>
      </c>
      <c r="V12" s="374" t="s">
        <v>1311</v>
      </c>
      <c r="W12" s="375">
        <v>7766.4</v>
      </c>
      <c r="X12" s="375">
        <v>4264</v>
      </c>
      <c r="Y12" s="375">
        <v>4577.5</v>
      </c>
      <c r="Z12" s="375">
        <v>34122.800000000003</v>
      </c>
      <c r="AA12" s="375">
        <v>17548</v>
      </c>
      <c r="AB12" s="375">
        <v>1251.8</v>
      </c>
      <c r="AC12" s="375">
        <v>7141.9</v>
      </c>
      <c r="AD12" s="375">
        <v>5078.1000000000004</v>
      </c>
      <c r="AE12" s="375">
        <v>17772.7</v>
      </c>
      <c r="AF12" s="375">
        <v>24249.8</v>
      </c>
      <c r="AG12" s="375">
        <v>15664.1</v>
      </c>
      <c r="AH12" s="375">
        <v>37509.1</v>
      </c>
      <c r="AI12" s="375">
        <v>5682</v>
      </c>
      <c r="AJ12" s="375">
        <v>31459</v>
      </c>
      <c r="AK12" s="375">
        <v>37712.400000000001</v>
      </c>
      <c r="AL12" s="375">
        <v>132150.9</v>
      </c>
      <c r="AM12" s="375">
        <v>410657.9</v>
      </c>
      <c r="AN12" s="375">
        <v>435041.4</v>
      </c>
      <c r="AO12" s="619">
        <f t="shared" si="0"/>
        <v>-167861.60000000003</v>
      </c>
      <c r="AP12" s="751" t="s">
        <v>1311</v>
      </c>
    </row>
    <row r="13" spans="1:52" s="247" customFormat="1" ht="11.45" customHeight="1">
      <c r="A13" s="1190" t="s">
        <v>1420</v>
      </c>
      <c r="B13" s="396">
        <v>964.2</v>
      </c>
      <c r="C13" s="396">
        <v>5468.7</v>
      </c>
      <c r="D13" s="396">
        <v>21.3</v>
      </c>
      <c r="E13" s="285">
        <v>5137.1000000000004</v>
      </c>
      <c r="F13" s="396">
        <v>3556.3</v>
      </c>
      <c r="G13" s="396">
        <v>212355.7</v>
      </c>
      <c r="H13" s="396">
        <v>181.2</v>
      </c>
      <c r="I13" s="396">
        <v>22.2</v>
      </c>
      <c r="J13" s="396">
        <v>0</v>
      </c>
      <c r="K13" s="396">
        <v>69277.199999999983</v>
      </c>
      <c r="L13" s="396">
        <v>296983.90000000002</v>
      </c>
      <c r="M13" s="396">
        <v>1043.9000000000001</v>
      </c>
      <c r="N13" s="396">
        <v>9641.6</v>
      </c>
      <c r="O13" s="396">
        <v>10685.5</v>
      </c>
      <c r="P13" s="396">
        <v>2820.7</v>
      </c>
      <c r="Q13" s="396">
        <v>2645.2</v>
      </c>
      <c r="R13" s="396">
        <v>5491.6</v>
      </c>
      <c r="S13" s="396">
        <v>14431.5</v>
      </c>
      <c r="T13" s="396">
        <v>3456.9</v>
      </c>
      <c r="U13" s="1191" t="s">
        <v>1420</v>
      </c>
      <c r="V13" s="1190" t="s">
        <v>1420</v>
      </c>
      <c r="W13" s="396">
        <v>5431.6</v>
      </c>
      <c r="X13" s="396">
        <v>6020.7</v>
      </c>
      <c r="Y13" s="396">
        <v>7816.6</v>
      </c>
      <c r="Z13" s="396">
        <v>48167.3</v>
      </c>
      <c r="AA13" s="396">
        <v>18668.2</v>
      </c>
      <c r="AB13" s="396">
        <v>1231.2</v>
      </c>
      <c r="AC13" s="396">
        <v>9402.2000000000007</v>
      </c>
      <c r="AD13" s="396">
        <v>5824.5</v>
      </c>
      <c r="AE13" s="396">
        <v>20030.7</v>
      </c>
      <c r="AF13" s="396">
        <v>24638.3</v>
      </c>
      <c r="AG13" s="396">
        <v>17750.5</v>
      </c>
      <c r="AH13" s="396">
        <v>41881.9</v>
      </c>
      <c r="AI13" s="396">
        <v>6817.7</v>
      </c>
      <c r="AJ13" s="396">
        <v>36363.199999999997</v>
      </c>
      <c r="AK13" s="396">
        <v>43242.5</v>
      </c>
      <c r="AL13" s="396">
        <v>138259.1</v>
      </c>
      <c r="AM13" s="396">
        <v>460392.1</v>
      </c>
      <c r="AN13" s="396">
        <v>471077.6</v>
      </c>
      <c r="AO13" s="396">
        <f t="shared" si="0"/>
        <v>-174093.69999999995</v>
      </c>
      <c r="AP13" s="1191" t="s">
        <v>1420</v>
      </c>
      <c r="AR13" s="1775"/>
    </row>
    <row r="14" spans="1:52" s="257" customFormat="1" ht="11.45" customHeight="1">
      <c r="A14" s="141" t="s">
        <v>1502</v>
      </c>
      <c r="B14" s="375">
        <v>1040</v>
      </c>
      <c r="C14" s="375">
        <v>6146.1</v>
      </c>
      <c r="D14" s="375">
        <v>20.9</v>
      </c>
      <c r="E14" s="375">
        <v>4398.1000000000004</v>
      </c>
      <c r="F14" s="375">
        <v>3442.8</v>
      </c>
      <c r="G14" s="375">
        <v>190874.7</v>
      </c>
      <c r="H14" s="375">
        <v>0.1</v>
      </c>
      <c r="I14" s="375">
        <v>0</v>
      </c>
      <c r="J14" s="375">
        <v>4.5999999999999996</v>
      </c>
      <c r="K14" s="375">
        <v>59526.199999999983</v>
      </c>
      <c r="L14" s="375">
        <v>265453.5</v>
      </c>
      <c r="M14" s="375">
        <v>129.4</v>
      </c>
      <c r="N14" s="375">
        <v>12646</v>
      </c>
      <c r="O14" s="375">
        <v>12775.4</v>
      </c>
      <c r="P14" s="375">
        <v>2959.7</v>
      </c>
      <c r="Q14" s="375">
        <v>2773.6</v>
      </c>
      <c r="R14" s="375">
        <v>8209.6</v>
      </c>
      <c r="S14" s="375">
        <v>12283</v>
      </c>
      <c r="T14" s="375">
        <v>5004.1000000000004</v>
      </c>
      <c r="U14" s="204" t="s">
        <v>1502</v>
      </c>
      <c r="V14" s="159" t="s">
        <v>1502</v>
      </c>
      <c r="W14" s="375">
        <v>5339.5</v>
      </c>
      <c r="X14" s="375">
        <v>5611.1</v>
      </c>
      <c r="Y14" s="375">
        <v>3970.2</v>
      </c>
      <c r="Z14" s="375">
        <v>43098.400000000001</v>
      </c>
      <c r="AA14" s="375">
        <v>18777.7</v>
      </c>
      <c r="AB14" s="375">
        <v>1275.9000000000001</v>
      </c>
      <c r="AC14" s="375">
        <v>8034.1</v>
      </c>
      <c r="AD14" s="375">
        <v>5221.2</v>
      </c>
      <c r="AE14" s="375">
        <v>19694.5</v>
      </c>
      <c r="AF14" s="375">
        <v>22525.4</v>
      </c>
      <c r="AG14" s="375">
        <v>14213.6</v>
      </c>
      <c r="AH14" s="375">
        <v>35771.4</v>
      </c>
      <c r="AI14" s="375">
        <v>6134.2</v>
      </c>
      <c r="AJ14" s="375">
        <v>33033.300000000003</v>
      </c>
      <c r="AK14" s="375">
        <v>31480.5</v>
      </c>
      <c r="AL14" s="375">
        <v>114666.2</v>
      </c>
      <c r="AM14" s="375">
        <v>400077.2</v>
      </c>
      <c r="AN14" s="375">
        <v>412852.60000000003</v>
      </c>
      <c r="AO14" s="619">
        <f t="shared" si="0"/>
        <v>-147399.10000000003</v>
      </c>
      <c r="AP14" s="204" t="s">
        <v>1502</v>
      </c>
    </row>
    <row r="15" spans="1:52" s="257" customFormat="1" ht="11.45" customHeight="1">
      <c r="A15" s="307" t="s">
        <v>1555</v>
      </c>
      <c r="B15" s="396">
        <v>1051.4000000000001</v>
      </c>
      <c r="C15" s="396">
        <v>8249.4</v>
      </c>
      <c r="D15" s="396">
        <v>27.7</v>
      </c>
      <c r="E15" s="396">
        <v>7023.3</v>
      </c>
      <c r="F15" s="396">
        <v>3485.2</v>
      </c>
      <c r="G15" s="396">
        <v>238623.4</v>
      </c>
      <c r="H15" s="396">
        <v>86.6</v>
      </c>
      <c r="I15" s="396">
        <v>1.3</v>
      </c>
      <c r="J15" s="396">
        <v>108</v>
      </c>
      <c r="K15" s="396">
        <v>29423.799999999988</v>
      </c>
      <c r="L15" s="396">
        <v>288080.09999999998</v>
      </c>
      <c r="M15" s="396">
        <v>3159.8</v>
      </c>
      <c r="N15" s="396">
        <v>13211.6</v>
      </c>
      <c r="O15" s="396">
        <v>16371.400000000001</v>
      </c>
      <c r="P15" s="396">
        <v>2633.2</v>
      </c>
      <c r="Q15" s="396">
        <v>3391</v>
      </c>
      <c r="R15" s="396">
        <v>10913.8</v>
      </c>
      <c r="S15" s="396">
        <v>15142.9</v>
      </c>
      <c r="T15" s="396">
        <v>5578.4</v>
      </c>
      <c r="U15" s="299" t="s">
        <v>1555</v>
      </c>
      <c r="V15" s="298" t="s">
        <v>1555</v>
      </c>
      <c r="W15" s="396">
        <v>6923.6</v>
      </c>
      <c r="X15" s="396">
        <v>6565.8</v>
      </c>
      <c r="Y15" s="396">
        <v>6861.6</v>
      </c>
      <c r="Z15" s="396">
        <v>41886.6</v>
      </c>
      <c r="AA15" s="396">
        <v>22966.7</v>
      </c>
      <c r="AB15" s="396">
        <v>2474.4</v>
      </c>
      <c r="AC15" s="396">
        <v>8259.7999999999993</v>
      </c>
      <c r="AD15" s="396">
        <v>6329.7</v>
      </c>
      <c r="AE15" s="396">
        <v>25589.4</v>
      </c>
      <c r="AF15" s="396">
        <v>26634</v>
      </c>
      <c r="AG15" s="396">
        <v>18080.7</v>
      </c>
      <c r="AH15" s="396">
        <v>35694.1</v>
      </c>
      <c r="AI15" s="396">
        <v>6154.3</v>
      </c>
      <c r="AJ15" s="396">
        <v>35392.5</v>
      </c>
      <c r="AK15" s="396">
        <v>25701.7</v>
      </c>
      <c r="AL15" s="396">
        <v>131816</v>
      </c>
      <c r="AM15" s="396">
        <v>444990.2</v>
      </c>
      <c r="AN15" s="396">
        <v>461361.60000000003</v>
      </c>
      <c r="AO15" s="396">
        <f t="shared" si="0"/>
        <v>-173281.50000000006</v>
      </c>
      <c r="AP15" s="299" t="s">
        <v>1555</v>
      </c>
    </row>
    <row r="16" spans="1:52" s="257" customFormat="1" ht="11.45" customHeight="1">
      <c r="A16" s="1460" t="s">
        <v>1836</v>
      </c>
      <c r="B16" s="375">
        <v>1571.2</v>
      </c>
      <c r="C16" s="375">
        <v>7367.2999999999993</v>
      </c>
      <c r="D16" s="375">
        <v>18.399999999999999</v>
      </c>
      <c r="E16" s="375">
        <v>10258.299999999999</v>
      </c>
      <c r="F16" s="375">
        <v>4013.1</v>
      </c>
      <c r="G16" s="375">
        <v>315958.39999999997</v>
      </c>
      <c r="H16" s="375">
        <v>1.2</v>
      </c>
      <c r="I16" s="375">
        <v>1.2</v>
      </c>
      <c r="J16" s="375">
        <v>115.99999999999994</v>
      </c>
      <c r="K16" s="375">
        <v>37671.100000000057</v>
      </c>
      <c r="L16" s="375">
        <v>376976.20000000007</v>
      </c>
      <c r="M16" s="375">
        <v>4679.8</v>
      </c>
      <c r="N16" s="375">
        <v>17796.8</v>
      </c>
      <c r="O16" s="375">
        <v>22477.000000000004</v>
      </c>
      <c r="P16" s="375">
        <v>3293.2</v>
      </c>
      <c r="Q16" s="375">
        <v>2910.9</v>
      </c>
      <c r="R16" s="375">
        <v>13854.2</v>
      </c>
      <c r="S16" s="375">
        <v>22006.400000000001</v>
      </c>
      <c r="T16" s="375">
        <v>6184.4999999999991</v>
      </c>
      <c r="U16" s="204" t="s">
        <v>1836</v>
      </c>
      <c r="V16" s="141" t="s">
        <v>1836</v>
      </c>
      <c r="W16" s="375">
        <v>10237.200000000001</v>
      </c>
      <c r="X16" s="375">
        <v>6627.6</v>
      </c>
      <c r="Y16" s="375">
        <v>7598.7999999999993</v>
      </c>
      <c r="Z16" s="375">
        <v>96957.400000000009</v>
      </c>
      <c r="AA16" s="375">
        <v>28308.199999999997</v>
      </c>
      <c r="AB16" s="375">
        <v>5881.4999999999991</v>
      </c>
      <c r="AC16" s="375">
        <v>24973.599999999999</v>
      </c>
      <c r="AD16" s="375">
        <v>8314.8000000000011</v>
      </c>
      <c r="AE16" s="375">
        <v>34454.5</v>
      </c>
      <c r="AF16" s="375">
        <v>35771.799999999996</v>
      </c>
      <c r="AG16" s="375">
        <v>40440.300000000003</v>
      </c>
      <c r="AH16" s="375">
        <v>67421.8</v>
      </c>
      <c r="AI16" s="375">
        <v>10991.2</v>
      </c>
      <c r="AJ16" s="375">
        <v>51970.6</v>
      </c>
      <c r="AK16" s="375">
        <v>42706.81</v>
      </c>
      <c r="AL16" s="375">
        <v>139012.5</v>
      </c>
      <c r="AM16" s="375">
        <v>687416.40999999992</v>
      </c>
      <c r="AN16" s="375">
        <v>682394.41</v>
      </c>
      <c r="AO16" s="375">
        <v>-305418.19999999995</v>
      </c>
      <c r="AP16" s="204" t="s">
        <v>1836</v>
      </c>
      <c r="AQ16" s="1059"/>
      <c r="AR16" s="1059"/>
      <c r="AS16" s="1059"/>
      <c r="AT16" s="1059"/>
      <c r="AU16" s="1059"/>
      <c r="AV16" s="1059"/>
      <c r="AW16" s="1059"/>
      <c r="AX16" s="1059"/>
      <c r="AY16" s="1059"/>
      <c r="AZ16" s="1059"/>
    </row>
    <row r="17" spans="1:57" s="257" customFormat="1" ht="11.45" customHeight="1">
      <c r="A17" s="308" t="s">
        <v>2088</v>
      </c>
      <c r="B17" s="846">
        <v>1968.9</v>
      </c>
      <c r="C17" s="846">
        <v>7108.4999999999991</v>
      </c>
      <c r="D17" s="846">
        <v>25.400000000000002</v>
      </c>
      <c r="E17" s="846">
        <v>12929.9</v>
      </c>
      <c r="F17" s="846">
        <v>3684.6000000000004</v>
      </c>
      <c r="G17" s="846">
        <v>366180.39999999997</v>
      </c>
      <c r="H17" s="846">
        <v>1.2</v>
      </c>
      <c r="I17" s="846">
        <v>1.2</v>
      </c>
      <c r="J17" s="846">
        <v>1.2</v>
      </c>
      <c r="K17" s="846">
        <v>39841.000000000058</v>
      </c>
      <c r="L17" s="846">
        <v>431742.29999999993</v>
      </c>
      <c r="M17" s="846">
        <v>5081.7999999999993</v>
      </c>
      <c r="N17" s="846">
        <v>16544.5</v>
      </c>
      <c r="O17" s="846">
        <v>21625.999999999996</v>
      </c>
      <c r="P17" s="846">
        <v>3980.5000000000005</v>
      </c>
      <c r="Q17" s="846">
        <v>3581.5</v>
      </c>
      <c r="R17" s="846">
        <v>12487.7</v>
      </c>
      <c r="S17" s="846">
        <v>28762</v>
      </c>
      <c r="T17" s="846">
        <v>8165.9999999999991</v>
      </c>
      <c r="U17" s="301" t="s">
        <v>2088</v>
      </c>
      <c r="V17" s="300" t="s">
        <v>2088</v>
      </c>
      <c r="W17" s="846">
        <v>9138.9</v>
      </c>
      <c r="X17" s="846">
        <v>8465.3000000000011</v>
      </c>
      <c r="Y17" s="846">
        <v>12059.800000000001</v>
      </c>
      <c r="Z17" s="846">
        <v>104521.1</v>
      </c>
      <c r="AA17" s="846">
        <v>30574</v>
      </c>
      <c r="AB17" s="846">
        <v>1759</v>
      </c>
      <c r="AC17" s="846">
        <v>33692</v>
      </c>
      <c r="AD17" s="846">
        <v>7763.8</v>
      </c>
      <c r="AE17" s="846">
        <v>29525.199999999997</v>
      </c>
      <c r="AF17" s="846">
        <v>38963.599999999999</v>
      </c>
      <c r="AG17" s="846">
        <v>27235.4</v>
      </c>
      <c r="AH17" s="846">
        <v>68886</v>
      </c>
      <c r="AI17" s="846">
        <v>12432.9</v>
      </c>
      <c r="AJ17" s="846">
        <v>47125.2</v>
      </c>
      <c r="AK17" s="846">
        <v>34920.04</v>
      </c>
      <c r="AL17" s="846">
        <v>133138</v>
      </c>
      <c r="AM17" s="846">
        <v>687750.1399999999</v>
      </c>
      <c r="AN17" s="846">
        <v>678804.23999999987</v>
      </c>
      <c r="AO17" s="846">
        <v>-247061.8</v>
      </c>
      <c r="AP17" s="301" t="s">
        <v>2088</v>
      </c>
      <c r="AQ17" s="1059"/>
      <c r="AR17" s="1059"/>
      <c r="AS17" s="1059"/>
      <c r="AT17" s="1059"/>
      <c r="AV17" s="1059"/>
      <c r="AW17" s="1059"/>
      <c r="AX17" s="1059"/>
      <c r="AY17" s="1059"/>
      <c r="AZ17" s="1059"/>
    </row>
    <row r="18" spans="1:57" s="1864" customFormat="1" ht="11.45" customHeight="1">
      <c r="A18" s="1533" t="s">
        <v>2227</v>
      </c>
      <c r="B18" s="845">
        <f>SUM(B19:B30)</f>
        <v>1749.5779</v>
      </c>
      <c r="C18" s="845">
        <f t="shared" ref="C18:T18" si="1">SUM(C19:C30)</f>
        <v>7642.9600000000009</v>
      </c>
      <c r="D18" s="845">
        <f t="shared" si="1"/>
        <v>30.014299999999999</v>
      </c>
      <c r="E18" s="845">
        <f t="shared" si="1"/>
        <v>12158.21</v>
      </c>
      <c r="F18" s="845">
        <f t="shared" si="1"/>
        <v>3389.51</v>
      </c>
      <c r="G18" s="845">
        <f t="shared" si="1"/>
        <v>369178.39900000003</v>
      </c>
      <c r="H18" s="845">
        <f t="shared" si="1"/>
        <v>0.6</v>
      </c>
      <c r="I18" s="845">
        <f t="shared" si="1"/>
        <v>0.6</v>
      </c>
      <c r="J18" s="845">
        <f t="shared" si="1"/>
        <v>0.7</v>
      </c>
      <c r="K18" s="845">
        <f t="shared" si="1"/>
        <v>38979.238800000036</v>
      </c>
      <c r="L18" s="845">
        <f>SUM(L19:L30)</f>
        <v>433129.80999999994</v>
      </c>
      <c r="M18" s="845">
        <f t="shared" si="1"/>
        <v>206.50559999999996</v>
      </c>
      <c r="N18" s="845">
        <f t="shared" si="1"/>
        <v>19558.304499999998</v>
      </c>
      <c r="O18" s="845">
        <f t="shared" si="1"/>
        <v>19764.810099999999</v>
      </c>
      <c r="P18" s="845">
        <f t="shared" si="1"/>
        <v>4371.2961999999998</v>
      </c>
      <c r="Q18" s="845">
        <f t="shared" si="1"/>
        <v>5324.6283999999996</v>
      </c>
      <c r="R18" s="845">
        <f t="shared" si="1"/>
        <v>12361.9354</v>
      </c>
      <c r="S18" s="845">
        <f t="shared" si="1"/>
        <v>24135.051199999998</v>
      </c>
      <c r="T18" s="845">
        <f t="shared" si="1"/>
        <v>7780.5681000000013</v>
      </c>
      <c r="U18" s="460" t="s">
        <v>2227</v>
      </c>
      <c r="V18" s="101" t="s">
        <v>2227</v>
      </c>
      <c r="W18" s="845">
        <f t="shared" ref="W18:AO18" si="2">SUM(W19:W30)</f>
        <v>12578.869300000002</v>
      </c>
      <c r="X18" s="845">
        <f t="shared" si="2"/>
        <v>7515.2033999999994</v>
      </c>
      <c r="Y18" s="845">
        <f t="shared" si="2"/>
        <v>12082.529399999999</v>
      </c>
      <c r="Z18" s="845">
        <f t="shared" si="2"/>
        <v>104175.45089999998</v>
      </c>
      <c r="AA18" s="845">
        <f t="shared" si="2"/>
        <v>34477.190699999999</v>
      </c>
      <c r="AB18" s="845">
        <f t="shared" si="2"/>
        <v>2030.5640000000001</v>
      </c>
      <c r="AC18" s="845">
        <f t="shared" si="2"/>
        <v>18394.2287</v>
      </c>
      <c r="AD18" s="845">
        <f t="shared" si="2"/>
        <v>8577.5186000000012</v>
      </c>
      <c r="AE18" s="845">
        <f t="shared" si="2"/>
        <v>31861.216799999995</v>
      </c>
      <c r="AF18" s="845">
        <f t="shared" si="2"/>
        <v>39226.866900000001</v>
      </c>
      <c r="AG18" s="845">
        <f t="shared" si="2"/>
        <v>32606.576599999997</v>
      </c>
      <c r="AH18" s="845">
        <f t="shared" si="2"/>
        <v>71424.247900000002</v>
      </c>
      <c r="AI18" s="845">
        <f t="shared" si="2"/>
        <v>13461.640100000002</v>
      </c>
      <c r="AJ18" s="845">
        <f t="shared" si="2"/>
        <v>56972.269400000005</v>
      </c>
      <c r="AK18" s="845">
        <f t="shared" si="2"/>
        <v>32623.848086091341</v>
      </c>
      <c r="AL18" s="845">
        <f t="shared" si="2"/>
        <v>150483.96230000001</v>
      </c>
      <c r="AM18" s="845">
        <f t="shared" si="2"/>
        <v>682465.66238609131</v>
      </c>
      <c r="AN18" s="845">
        <f t="shared" si="2"/>
        <v>702230.47248609131</v>
      </c>
      <c r="AO18" s="845">
        <f t="shared" si="2"/>
        <v>-269100.66248609131</v>
      </c>
      <c r="AP18" s="460" t="s">
        <v>2227</v>
      </c>
      <c r="AR18" s="1059"/>
      <c r="AS18" s="1059"/>
    </row>
    <row r="19" spans="1:57" s="257" customFormat="1" ht="11.45" customHeight="1">
      <c r="A19" s="1257" t="s">
        <v>559</v>
      </c>
      <c r="B19" s="285">
        <f>216.38+0</f>
        <v>216.38</v>
      </c>
      <c r="C19" s="285">
        <f>658.01+21.14</f>
        <v>679.15</v>
      </c>
      <c r="D19" s="285">
        <f>2+0</f>
        <v>2</v>
      </c>
      <c r="E19" s="285">
        <f>794.44+349.39</f>
        <v>1143.83</v>
      </c>
      <c r="F19" s="285">
        <f>86.25+191.6+0+0</f>
        <v>277.85000000000002</v>
      </c>
      <c r="G19" s="285">
        <f>30106.26+3516.25</f>
        <v>33622.509999999995</v>
      </c>
      <c r="H19" s="285">
        <v>0.1</v>
      </c>
      <c r="I19" s="285">
        <v>0.1</v>
      </c>
      <c r="J19" s="285">
        <v>0.1</v>
      </c>
      <c r="K19" s="285">
        <f t="shared" ref="K19:K23" si="3">L19-SUM(B19:J19)</f>
        <v>3329.4000000000087</v>
      </c>
      <c r="L19" s="285">
        <f>34753.74+4517.68</f>
        <v>39271.42</v>
      </c>
      <c r="M19" s="285">
        <v>18.433499999999999</v>
      </c>
      <c r="N19" s="285">
        <v>1917.3198000000002</v>
      </c>
      <c r="O19" s="285">
        <f t="shared" ref="O19:O28" si="4">M19+N19</f>
        <v>1935.7533000000003</v>
      </c>
      <c r="P19" s="285">
        <v>318.9341</v>
      </c>
      <c r="Q19" s="285">
        <v>531.11860000000001</v>
      </c>
      <c r="R19" s="285">
        <v>1179.9813999999999</v>
      </c>
      <c r="S19" s="285">
        <v>2083.6</v>
      </c>
      <c r="T19" s="285">
        <v>300.19889999999998</v>
      </c>
      <c r="U19" s="1333" t="s">
        <v>559</v>
      </c>
      <c r="V19" s="1257" t="s">
        <v>559</v>
      </c>
      <c r="W19" s="285">
        <v>1292.3577</v>
      </c>
      <c r="X19" s="285">
        <v>713.45060000000001</v>
      </c>
      <c r="Y19" s="285">
        <v>1599.3253999999999</v>
      </c>
      <c r="Z19" s="285">
        <v>9660.9384000000009</v>
      </c>
      <c r="AA19" s="285">
        <v>3124.2489999999998</v>
      </c>
      <c r="AB19" s="285">
        <v>192.96600000000001</v>
      </c>
      <c r="AC19" s="285">
        <v>2674.1</v>
      </c>
      <c r="AD19" s="285">
        <v>837.29340000000002</v>
      </c>
      <c r="AE19" s="285">
        <v>2650.8531999999996</v>
      </c>
      <c r="AF19" s="285">
        <v>3560.1931999999997</v>
      </c>
      <c r="AG19" s="285">
        <v>2393.7023999999997</v>
      </c>
      <c r="AH19" s="285">
        <v>5725.1583000000001</v>
      </c>
      <c r="AI19" s="285">
        <v>1172.8110999999999</v>
      </c>
      <c r="AJ19" s="285">
        <v>5553.0511999999999</v>
      </c>
      <c r="AK19" s="285">
        <v>3430.1240885386928</v>
      </c>
      <c r="AL19" s="285">
        <v>14116.8963</v>
      </c>
      <c r="AM19" s="285">
        <f t="shared" ref="AM19:AM22" si="5">SUM(P19:T19)+SUM(W19:AL19)</f>
        <v>63111.303288538693</v>
      </c>
      <c r="AN19" s="285">
        <f t="shared" ref="AN19:AN22" si="6">O19+AM19</f>
        <v>65047.05658853869</v>
      </c>
      <c r="AO19" s="285">
        <f t="shared" ref="AO19:AO22" si="7">L19-AN19</f>
        <v>-25775.636588538691</v>
      </c>
      <c r="AP19" s="1333" t="s">
        <v>559</v>
      </c>
      <c r="AQ19" s="1864"/>
      <c r="AR19" s="1059"/>
      <c r="AS19" s="1059"/>
      <c r="AT19" s="1864"/>
      <c r="AU19" s="1864"/>
      <c r="AV19" s="1864"/>
      <c r="AW19" s="1059"/>
      <c r="AX19" s="1059"/>
      <c r="AY19" s="1059"/>
      <c r="AZ19" s="1059"/>
      <c r="BA19" s="1864"/>
      <c r="BB19" s="1864"/>
      <c r="BC19" s="1864"/>
      <c r="BD19" s="1864"/>
      <c r="BE19" s="1864"/>
    </row>
    <row r="20" spans="1:57" s="257" customFormat="1" ht="11.45" customHeight="1">
      <c r="A20" s="509" t="s">
        <v>112</v>
      </c>
      <c r="B20" s="227">
        <f>163.96+0</f>
        <v>163.96</v>
      </c>
      <c r="C20" s="227">
        <f>620.46+12.06</f>
        <v>632.52</v>
      </c>
      <c r="D20" s="227">
        <f>0+3</f>
        <v>3</v>
      </c>
      <c r="E20" s="227">
        <f>669.96+446.28</f>
        <v>1116.24</v>
      </c>
      <c r="F20" s="227">
        <f>100.11+187.75+0+0</f>
        <v>287.86</v>
      </c>
      <c r="G20" s="227">
        <f>29379.17+3736.899</f>
        <v>33116.068999999996</v>
      </c>
      <c r="H20" s="227">
        <v>0.1</v>
      </c>
      <c r="I20" s="227">
        <v>0.1</v>
      </c>
      <c r="J20" s="227">
        <v>0.1</v>
      </c>
      <c r="K20" s="227">
        <f t="shared" si="3"/>
        <v>3291.3410000000076</v>
      </c>
      <c r="L20" s="227">
        <f>33852.94+4758.35</f>
        <v>38611.29</v>
      </c>
      <c r="M20" s="227">
        <v>6.1</v>
      </c>
      <c r="N20" s="227">
        <v>1108.8440000000001</v>
      </c>
      <c r="O20" s="227">
        <f t="shared" si="4"/>
        <v>1114.944</v>
      </c>
      <c r="P20" s="227">
        <v>350.4622</v>
      </c>
      <c r="Q20" s="227">
        <v>454.65260000000001</v>
      </c>
      <c r="R20" s="227">
        <v>776.8546</v>
      </c>
      <c r="S20" s="227">
        <v>2462.5187000000001</v>
      </c>
      <c r="T20" s="227">
        <v>468.29640000000001</v>
      </c>
      <c r="U20" s="1337" t="s">
        <v>112</v>
      </c>
      <c r="V20" s="509" t="s">
        <v>112</v>
      </c>
      <c r="W20" s="227">
        <v>1767.6775</v>
      </c>
      <c r="X20" s="227">
        <v>664.78539999999998</v>
      </c>
      <c r="Y20" s="227">
        <v>213.8852</v>
      </c>
      <c r="Z20" s="227">
        <v>9822.4071000000004</v>
      </c>
      <c r="AA20" s="227">
        <v>2879.7632000000003</v>
      </c>
      <c r="AB20" s="227">
        <v>194.1808</v>
      </c>
      <c r="AC20" s="227">
        <v>1086.5346999999999</v>
      </c>
      <c r="AD20" s="227">
        <v>701.91330000000005</v>
      </c>
      <c r="AE20" s="227">
        <v>2794.4663999999998</v>
      </c>
      <c r="AF20" s="227">
        <v>2929.9914000000003</v>
      </c>
      <c r="AG20" s="227">
        <v>2505.0515999999998</v>
      </c>
      <c r="AH20" s="227">
        <v>5943.4759999999997</v>
      </c>
      <c r="AI20" s="227">
        <v>1129.759</v>
      </c>
      <c r="AJ20" s="227">
        <v>5025.6528999999991</v>
      </c>
      <c r="AK20" s="227">
        <v>2880.9335514622871</v>
      </c>
      <c r="AL20" s="227">
        <v>12878.784799999998</v>
      </c>
      <c r="AM20" s="227">
        <f t="shared" si="5"/>
        <v>57932.047351462279</v>
      </c>
      <c r="AN20" s="227">
        <f t="shared" si="6"/>
        <v>59046.991351462282</v>
      </c>
      <c r="AO20" s="227">
        <f t="shared" si="7"/>
        <v>-20435.701351462281</v>
      </c>
      <c r="AP20" s="1337" t="s">
        <v>112</v>
      </c>
      <c r="AQ20" s="1864"/>
      <c r="AR20" s="1059"/>
      <c r="AS20" s="1059"/>
      <c r="AT20" s="1864"/>
      <c r="AU20" s="1864"/>
      <c r="AV20" s="1059"/>
      <c r="AW20" s="1059"/>
      <c r="AX20" s="1059"/>
      <c r="AY20" s="1059"/>
      <c r="AZ20" s="1059"/>
    </row>
    <row r="21" spans="1:57" s="257" customFormat="1" ht="11.45" customHeight="1">
      <c r="A21" s="1257" t="s">
        <v>554</v>
      </c>
      <c r="B21" s="285">
        <f>114.46+0</f>
        <v>114.46</v>
      </c>
      <c r="C21" s="285">
        <f>543.45+12.1</f>
        <v>555.55000000000007</v>
      </c>
      <c r="D21" s="285">
        <f>2+0</f>
        <v>2</v>
      </c>
      <c r="E21" s="285">
        <f>560.89+439.48</f>
        <v>1000.37</v>
      </c>
      <c r="F21" s="285">
        <f>85.88+140.47+0+0</f>
        <v>226.35</v>
      </c>
      <c r="G21" s="285">
        <f>23949.58+2771.89</f>
        <v>26721.47</v>
      </c>
      <c r="H21" s="285">
        <v>0.1</v>
      </c>
      <c r="I21" s="285">
        <v>0.1</v>
      </c>
      <c r="J21" s="285">
        <v>0.1</v>
      </c>
      <c r="K21" s="285">
        <f t="shared" si="3"/>
        <v>2726.7700000000041</v>
      </c>
      <c r="L21" s="285">
        <f>27697.3+3649.97</f>
        <v>31347.27</v>
      </c>
      <c r="M21" s="285">
        <v>3.6</v>
      </c>
      <c r="N21" s="285">
        <v>1478.7912000000001</v>
      </c>
      <c r="O21" s="285">
        <f t="shared" si="4"/>
        <v>1482.3912</v>
      </c>
      <c r="P21" s="285">
        <v>279.73929999999996</v>
      </c>
      <c r="Q21" s="285">
        <v>296.3621</v>
      </c>
      <c r="R21" s="285">
        <v>982.15790000000004</v>
      </c>
      <c r="S21" s="285">
        <v>1174.4279999999999</v>
      </c>
      <c r="T21" s="285">
        <v>425.26159999999999</v>
      </c>
      <c r="U21" s="1333" t="s">
        <v>554</v>
      </c>
      <c r="V21" s="1257" t="s">
        <v>554</v>
      </c>
      <c r="W21" s="285">
        <v>883.65249999999992</v>
      </c>
      <c r="X21" s="285">
        <v>497.31989999999996</v>
      </c>
      <c r="Y21" s="285">
        <v>1678.7599</v>
      </c>
      <c r="Z21" s="285">
        <v>7764.6232</v>
      </c>
      <c r="AA21" s="285">
        <v>2470.5254999999997</v>
      </c>
      <c r="AB21" s="285">
        <v>133.9605</v>
      </c>
      <c r="AC21" s="285">
        <v>785.21180000000004</v>
      </c>
      <c r="AD21" s="285">
        <v>645.55560000000003</v>
      </c>
      <c r="AE21" s="285">
        <v>2382.2614000000003</v>
      </c>
      <c r="AF21" s="285">
        <v>2172.5488999999998</v>
      </c>
      <c r="AG21" s="285">
        <v>2304.0367999999999</v>
      </c>
      <c r="AH21" s="285">
        <v>5097.4663</v>
      </c>
      <c r="AI21" s="285">
        <v>867.4076</v>
      </c>
      <c r="AJ21" s="285">
        <v>3891.1774999999998</v>
      </c>
      <c r="AK21" s="285">
        <v>2136.8460460658134</v>
      </c>
      <c r="AL21" s="285">
        <v>11236.400299999998</v>
      </c>
      <c r="AM21" s="285">
        <f t="shared" si="5"/>
        <v>48105.702646065809</v>
      </c>
      <c r="AN21" s="285">
        <f t="shared" si="6"/>
        <v>49588.093846065807</v>
      </c>
      <c r="AO21" s="285">
        <f t="shared" si="7"/>
        <v>-18240.823846065807</v>
      </c>
      <c r="AP21" s="1333" t="s">
        <v>554</v>
      </c>
      <c r="AQ21" s="1864"/>
      <c r="AR21" s="1059"/>
      <c r="AS21" s="1059"/>
      <c r="AT21" s="1059"/>
      <c r="AV21" s="1059"/>
      <c r="AW21" s="1059"/>
      <c r="AX21" s="1059"/>
      <c r="AY21" s="1059"/>
      <c r="AZ21" s="1059"/>
    </row>
    <row r="22" spans="1:57" s="257" customFormat="1" ht="11.45" customHeight="1">
      <c r="A22" s="509" t="s">
        <v>561</v>
      </c>
      <c r="B22" s="227">
        <f>106.89+0</f>
        <v>106.89</v>
      </c>
      <c r="C22" s="227">
        <f>730.41+13.61</f>
        <v>744.02</v>
      </c>
      <c r="D22" s="227">
        <f>2+0</f>
        <v>2</v>
      </c>
      <c r="E22" s="227">
        <f>644.42+343.63</f>
        <v>988.05</v>
      </c>
      <c r="F22" s="227">
        <f>109.54+201+0+0</f>
        <v>310.54000000000002</v>
      </c>
      <c r="G22" s="227">
        <f>26779.67+4213.6</f>
        <v>30993.269999999997</v>
      </c>
      <c r="H22" s="227">
        <v>0.1</v>
      </c>
      <c r="I22" s="227">
        <v>0.1</v>
      </c>
      <c r="J22" s="227">
        <v>0.1</v>
      </c>
      <c r="K22" s="227">
        <f t="shared" si="3"/>
        <v>3237.0900000000038</v>
      </c>
      <c r="L22" s="227">
        <f>31371.78+5010.38</f>
        <v>36382.159999999996</v>
      </c>
      <c r="M22" s="227">
        <v>38.843000000000004</v>
      </c>
      <c r="N22" s="227">
        <v>1109.0405000000001</v>
      </c>
      <c r="O22" s="227">
        <f t="shared" si="4"/>
        <v>1147.8835000000001</v>
      </c>
      <c r="P22" s="227">
        <v>318.36009999999999</v>
      </c>
      <c r="Q22" s="227">
        <v>338.81099999999998</v>
      </c>
      <c r="R22" s="227">
        <v>557.70139999999992</v>
      </c>
      <c r="S22" s="227">
        <v>2748.3301000000001</v>
      </c>
      <c r="T22" s="227">
        <v>392.983</v>
      </c>
      <c r="U22" s="1337" t="s">
        <v>561</v>
      </c>
      <c r="V22" s="509" t="s">
        <v>561</v>
      </c>
      <c r="W22" s="227">
        <v>996.52059999999994</v>
      </c>
      <c r="X22" s="227">
        <v>726.58249999999998</v>
      </c>
      <c r="Y22" s="227">
        <v>1056.7507000000001</v>
      </c>
      <c r="Z22" s="227">
        <v>9729.2060999999994</v>
      </c>
      <c r="AA22" s="227">
        <v>3139.0866000000001</v>
      </c>
      <c r="AB22" s="227">
        <v>187.96600000000001</v>
      </c>
      <c r="AC22" s="227">
        <v>1170.8016000000002</v>
      </c>
      <c r="AD22" s="227">
        <v>708.92370000000005</v>
      </c>
      <c r="AE22" s="227">
        <v>2724.8159999999998</v>
      </c>
      <c r="AF22" s="227">
        <v>2726.8759</v>
      </c>
      <c r="AG22" s="227">
        <v>2673.4403999999995</v>
      </c>
      <c r="AH22" s="227">
        <v>5681.6071000000011</v>
      </c>
      <c r="AI22" s="227">
        <v>928.7349999999999</v>
      </c>
      <c r="AJ22" s="227">
        <v>5315.9098000000004</v>
      </c>
      <c r="AK22" s="227">
        <v>2832.8114620514525</v>
      </c>
      <c r="AL22" s="227">
        <v>13243.091700000004</v>
      </c>
      <c r="AM22" s="227">
        <f t="shared" si="5"/>
        <v>58199.310762051457</v>
      </c>
      <c r="AN22" s="227">
        <f t="shared" si="6"/>
        <v>59347.19426205146</v>
      </c>
      <c r="AO22" s="227">
        <f t="shared" si="7"/>
        <v>-22965.034262051464</v>
      </c>
      <c r="AP22" s="1337" t="s">
        <v>561</v>
      </c>
      <c r="AQ22" s="1864"/>
      <c r="AR22" s="1059"/>
      <c r="AS22" s="1059"/>
      <c r="AT22" s="1059"/>
      <c r="AV22" s="1059"/>
      <c r="AW22" s="1059"/>
      <c r="AX22" s="1059"/>
      <c r="AY22" s="1059"/>
      <c r="AZ22" s="1059"/>
    </row>
    <row r="23" spans="1:57" s="257" customFormat="1" ht="11.45" customHeight="1">
      <c r="A23" s="1257" t="s">
        <v>562</v>
      </c>
      <c r="B23" s="285">
        <f>102.01+0</f>
        <v>102.01</v>
      </c>
      <c r="C23" s="285">
        <f>700.4+13.48</f>
        <v>713.88</v>
      </c>
      <c r="D23" s="285">
        <f>0.797+0</f>
        <v>0.79700000000000004</v>
      </c>
      <c r="E23" s="285">
        <f>690.69+385.85</f>
        <v>1076.54</v>
      </c>
      <c r="F23" s="285">
        <f>90.05+239.38+0+0</f>
        <v>329.43</v>
      </c>
      <c r="G23" s="285">
        <f>24059.23+3071.09</f>
        <v>27130.32</v>
      </c>
      <c r="H23" s="285">
        <v>0.1</v>
      </c>
      <c r="I23" s="285">
        <v>0.1</v>
      </c>
      <c r="J23" s="285">
        <v>0.1</v>
      </c>
      <c r="K23" s="285">
        <f t="shared" si="3"/>
        <v>3045.9230000000061</v>
      </c>
      <c r="L23" s="285">
        <f>28402.41+3996.79</f>
        <v>32399.200000000001</v>
      </c>
      <c r="M23" s="285">
        <v>16.543700000000001</v>
      </c>
      <c r="N23" s="285">
        <v>1428.8142</v>
      </c>
      <c r="O23" s="285">
        <f t="shared" si="4"/>
        <v>1445.3579</v>
      </c>
      <c r="P23" s="285">
        <v>427.49810000000002</v>
      </c>
      <c r="Q23" s="285">
        <v>335.12199999999996</v>
      </c>
      <c r="R23" s="285">
        <v>1085.6035999999999</v>
      </c>
      <c r="S23" s="285">
        <v>2517.174</v>
      </c>
      <c r="T23" s="285">
        <v>508.72349999999994</v>
      </c>
      <c r="U23" s="1333" t="s">
        <v>562</v>
      </c>
      <c r="V23" s="1257" t="s">
        <v>562</v>
      </c>
      <c r="W23" s="285">
        <v>1133.463</v>
      </c>
      <c r="X23" s="285">
        <v>606.45119999999997</v>
      </c>
      <c r="Y23" s="285">
        <v>609.73109999999997</v>
      </c>
      <c r="Z23" s="285">
        <v>11432.552</v>
      </c>
      <c r="AA23" s="285">
        <v>2952.5421000000001</v>
      </c>
      <c r="AB23" s="285">
        <v>171.94629999999998</v>
      </c>
      <c r="AC23" s="285">
        <v>2596.5011999999997</v>
      </c>
      <c r="AD23" s="285">
        <v>671.5304000000001</v>
      </c>
      <c r="AE23" s="285">
        <v>2908.9395999999997</v>
      </c>
      <c r="AF23" s="285">
        <v>3185.2846</v>
      </c>
      <c r="AG23" s="285">
        <v>2690.1749999999997</v>
      </c>
      <c r="AH23" s="285">
        <v>5827.1295000000009</v>
      </c>
      <c r="AI23" s="285">
        <v>1058.0346999999999</v>
      </c>
      <c r="AJ23" s="285">
        <v>5024.8924999999999</v>
      </c>
      <c r="AK23" s="285">
        <v>2932.6674825069499</v>
      </c>
      <c r="AL23" s="285">
        <v>13188.008800000001</v>
      </c>
      <c r="AM23" s="285">
        <f>SUM(P23:T23)+SUM(W23:AL23)</f>
        <v>61863.970682506944</v>
      </c>
      <c r="AN23" s="285">
        <f>O23+AM23</f>
        <v>63309.328582506947</v>
      </c>
      <c r="AO23" s="285">
        <f>L23-AN23</f>
        <v>-30910.128582506946</v>
      </c>
      <c r="AP23" s="1333" t="s">
        <v>562</v>
      </c>
      <c r="AQ23" s="1864"/>
      <c r="AR23" s="1059"/>
      <c r="AS23" s="1059"/>
      <c r="AT23" s="1059"/>
      <c r="AV23" s="1059"/>
      <c r="AW23" s="1059"/>
      <c r="AX23" s="1059"/>
      <c r="AY23" s="1059"/>
      <c r="AZ23" s="1059"/>
    </row>
    <row r="24" spans="1:57" s="257" customFormat="1" ht="11.45" customHeight="1">
      <c r="A24" s="509" t="s">
        <v>555</v>
      </c>
      <c r="B24" s="227">
        <f>123.76+0.43</f>
        <v>124.19000000000001</v>
      </c>
      <c r="C24" s="227">
        <f>641.57+16.09</f>
        <v>657.66000000000008</v>
      </c>
      <c r="D24" s="227">
        <f>3+0</f>
        <v>3</v>
      </c>
      <c r="E24" s="227">
        <f>602.02+388.69</f>
        <v>990.71</v>
      </c>
      <c r="F24" s="227">
        <f>91.78+211.91+0+0</f>
        <v>303.69</v>
      </c>
      <c r="G24" s="227">
        <f>23673.63+3213.52</f>
        <v>26887.15</v>
      </c>
      <c r="H24" s="227">
        <v>0.1</v>
      </c>
      <c r="I24" s="227">
        <v>0.1</v>
      </c>
      <c r="J24" s="227">
        <v>0.1</v>
      </c>
      <c r="K24" s="227">
        <f>L24-SUM(B24:J24)</f>
        <v>3248.25</v>
      </c>
      <c r="L24" s="227">
        <f>28082.92+4132.03</f>
        <v>32214.949999999997</v>
      </c>
      <c r="M24" s="227">
        <v>16.5</v>
      </c>
      <c r="N24" s="227">
        <v>1106.4308000000001</v>
      </c>
      <c r="O24" s="227">
        <f t="shared" si="4"/>
        <v>1122.9308000000001</v>
      </c>
      <c r="P24" s="227">
        <v>332.49610000000001</v>
      </c>
      <c r="Q24" s="227">
        <v>298.60880000000003</v>
      </c>
      <c r="R24" s="227">
        <v>1272.3896999999999</v>
      </c>
      <c r="S24" s="227">
        <v>1725.5778</v>
      </c>
      <c r="T24" s="227">
        <v>482.19899999999996</v>
      </c>
      <c r="U24" s="1337" t="s">
        <v>555</v>
      </c>
      <c r="V24" s="509" t="s">
        <v>555</v>
      </c>
      <c r="W24" s="227">
        <v>764.7559</v>
      </c>
      <c r="X24" s="227">
        <v>562.36660000000006</v>
      </c>
      <c r="Y24" s="227">
        <v>596.91030000000001</v>
      </c>
      <c r="Z24" s="227">
        <v>7878.2924999999996</v>
      </c>
      <c r="AA24" s="227">
        <v>2592.1014</v>
      </c>
      <c r="AB24" s="227">
        <v>114.51570000000001</v>
      </c>
      <c r="AC24" s="227">
        <v>1896.7918</v>
      </c>
      <c r="AD24" s="227">
        <v>639.61360000000002</v>
      </c>
      <c r="AE24" s="227">
        <v>2302.8721999999998</v>
      </c>
      <c r="AF24" s="227">
        <v>3070.7285999999995</v>
      </c>
      <c r="AG24" s="227">
        <v>2358.0033000000003</v>
      </c>
      <c r="AH24" s="227">
        <v>5511.2779</v>
      </c>
      <c r="AI24" s="227">
        <v>984.06080000000009</v>
      </c>
      <c r="AJ24" s="227">
        <v>4895.1581000000006</v>
      </c>
      <c r="AK24" s="227">
        <v>4378.5273344090165</v>
      </c>
      <c r="AL24" s="227">
        <v>11396.120299999995</v>
      </c>
      <c r="AM24" s="227">
        <f t="shared" ref="AM24:AM30" si="8">SUM(P24:T24)+SUM(W24:AL24)</f>
        <v>54053.36773440901</v>
      </c>
      <c r="AN24" s="227">
        <f t="shared" ref="AN24:AN30" si="9">O24+AM24</f>
        <v>55176.298534409012</v>
      </c>
      <c r="AO24" s="227">
        <f t="shared" ref="AO24:AO30" si="10">L24-AN24</f>
        <v>-22961.348534409015</v>
      </c>
      <c r="AP24" s="1337" t="s">
        <v>555</v>
      </c>
      <c r="AQ24" s="1773"/>
      <c r="AR24" s="1059"/>
      <c r="AS24" s="1059"/>
      <c r="AT24" s="1059"/>
      <c r="AV24" s="1059"/>
      <c r="AW24" s="1059"/>
      <c r="AX24" s="1059"/>
      <c r="AY24" s="1059"/>
      <c r="AZ24" s="1059"/>
    </row>
    <row r="25" spans="1:57" s="257" customFormat="1" ht="11.45" customHeight="1">
      <c r="A25" s="1257" t="s">
        <v>563</v>
      </c>
      <c r="B25" s="285">
        <f>118+0</f>
        <v>118</v>
      </c>
      <c r="C25" s="285">
        <f>609.41+8.47</f>
        <v>617.88</v>
      </c>
      <c r="D25" s="285">
        <f>1+0</f>
        <v>1</v>
      </c>
      <c r="E25" s="285">
        <f>707.41+278.35</f>
        <v>985.76</v>
      </c>
      <c r="F25" s="285">
        <f>92.4+242.71+0+0</f>
        <v>335.11</v>
      </c>
      <c r="G25" s="285">
        <f>28555.39+3595.7</f>
        <v>32151.09</v>
      </c>
      <c r="H25" s="285">
        <v>0</v>
      </c>
      <c r="I25" s="285">
        <v>0</v>
      </c>
      <c r="J25" s="285">
        <v>0</v>
      </c>
      <c r="K25" s="285">
        <f>L25-SUM(B25:J25)</f>
        <v>3217.1900000000096</v>
      </c>
      <c r="L25" s="285">
        <f>33014.98+4411.05</f>
        <v>37426.030000000006</v>
      </c>
      <c r="M25" s="285">
        <v>30.3</v>
      </c>
      <c r="N25" s="285">
        <v>1670.3949</v>
      </c>
      <c r="O25" s="285">
        <f t="shared" si="4"/>
        <v>1700.6949</v>
      </c>
      <c r="P25" s="285">
        <v>322.50710000000004</v>
      </c>
      <c r="Q25" s="285">
        <v>439.33660000000003</v>
      </c>
      <c r="R25" s="285">
        <v>1220.0185000000001</v>
      </c>
      <c r="S25" s="285">
        <v>1826.3262</v>
      </c>
      <c r="T25" s="285">
        <v>994.12699999999995</v>
      </c>
      <c r="U25" s="1333" t="s">
        <v>563</v>
      </c>
      <c r="V25" s="1257" t="s">
        <v>563</v>
      </c>
      <c r="W25" s="285">
        <v>741.00919999999996</v>
      </c>
      <c r="X25" s="285">
        <v>609.40639999999996</v>
      </c>
      <c r="Y25" s="285">
        <v>2012.4019999999998</v>
      </c>
      <c r="Z25" s="285">
        <v>8650.9637999999995</v>
      </c>
      <c r="AA25" s="285">
        <v>3037.5902000000001</v>
      </c>
      <c r="AB25" s="285">
        <v>188.9641</v>
      </c>
      <c r="AC25" s="285">
        <v>2786.0089000000003</v>
      </c>
      <c r="AD25" s="285">
        <v>745.98249999999996</v>
      </c>
      <c r="AE25" s="285">
        <v>2747.1990000000001</v>
      </c>
      <c r="AF25" s="285">
        <v>3032.8914</v>
      </c>
      <c r="AG25" s="285">
        <v>2993.6629000000003</v>
      </c>
      <c r="AH25" s="285">
        <v>6425.3505000000005</v>
      </c>
      <c r="AI25" s="285">
        <v>1223.6033</v>
      </c>
      <c r="AJ25" s="285">
        <v>4356.7973999999995</v>
      </c>
      <c r="AK25" s="285">
        <v>2841.5213032212832</v>
      </c>
      <c r="AL25" s="285">
        <v>13431.990299999998</v>
      </c>
      <c r="AM25" s="285">
        <f t="shared" si="8"/>
        <v>60627.658603221287</v>
      </c>
      <c r="AN25" s="285">
        <f t="shared" si="9"/>
        <v>62328.353503221289</v>
      </c>
      <c r="AO25" s="285">
        <f t="shared" si="10"/>
        <v>-24902.323503221283</v>
      </c>
      <c r="AP25" s="1333" t="s">
        <v>563</v>
      </c>
      <c r="AQ25" s="1059"/>
      <c r="AR25" s="1059"/>
      <c r="AS25" s="1059"/>
      <c r="AT25" s="1059"/>
      <c r="AV25" s="1059"/>
      <c r="AW25" s="1059"/>
      <c r="AX25" s="1059"/>
      <c r="AY25" s="1059"/>
      <c r="AZ25" s="1059"/>
    </row>
    <row r="26" spans="1:57" s="257" customFormat="1" ht="11.45" customHeight="1">
      <c r="A26" s="509" t="s">
        <v>564</v>
      </c>
      <c r="B26" s="227">
        <v>138.96</v>
      </c>
      <c r="C26" s="227">
        <f>543.93+17.33</f>
        <v>561.26</v>
      </c>
      <c r="D26" s="227">
        <v>1.7</v>
      </c>
      <c r="E26" s="227">
        <f>614.37+346.69</f>
        <v>961.06</v>
      </c>
      <c r="F26" s="227">
        <f>138.96+193.12</f>
        <v>332.08000000000004</v>
      </c>
      <c r="G26" s="227">
        <f>26164.15+3175.67</f>
        <v>29339.82</v>
      </c>
      <c r="H26" s="227">
        <v>0</v>
      </c>
      <c r="I26" s="227">
        <v>0</v>
      </c>
      <c r="J26" s="227">
        <v>0.1</v>
      </c>
      <c r="K26" s="227">
        <f t="shared" ref="K26:K30" si="11">L26-SUM(B26:J26)</f>
        <v>2732.5600000000013</v>
      </c>
      <c r="L26" s="227">
        <f>29904.79+4162.75</f>
        <v>34067.54</v>
      </c>
      <c r="M26" s="227">
        <v>21.805999999999997</v>
      </c>
      <c r="N26" s="227">
        <v>1552.6215999999999</v>
      </c>
      <c r="O26" s="227">
        <f t="shared" si="4"/>
        <v>1574.4276</v>
      </c>
      <c r="P26" s="227">
        <v>253.02880000000002</v>
      </c>
      <c r="Q26" s="227">
        <v>408.73570000000001</v>
      </c>
      <c r="R26" s="227">
        <v>664.56090000000006</v>
      </c>
      <c r="S26" s="227">
        <v>1737.8710999999998</v>
      </c>
      <c r="T26" s="227">
        <v>466.56359999999995</v>
      </c>
      <c r="U26" s="1337" t="s">
        <v>564</v>
      </c>
      <c r="V26" s="509" t="s">
        <v>564</v>
      </c>
      <c r="W26" s="227">
        <v>1234.4953999999998</v>
      </c>
      <c r="X26" s="227">
        <v>485.12380000000002</v>
      </c>
      <c r="Y26" s="227">
        <v>203.64049999999997</v>
      </c>
      <c r="Z26" s="227">
        <v>5574.0397000000003</v>
      </c>
      <c r="AA26" s="227">
        <v>2537.7527</v>
      </c>
      <c r="AB26" s="227">
        <v>195.0795</v>
      </c>
      <c r="AC26" s="227">
        <v>1320.6242</v>
      </c>
      <c r="AD26" s="227">
        <v>631.55840000000001</v>
      </c>
      <c r="AE26" s="227">
        <v>2201.0261</v>
      </c>
      <c r="AF26" s="227">
        <v>3171.7404999999999</v>
      </c>
      <c r="AG26" s="227">
        <v>2804.3330999999998</v>
      </c>
      <c r="AH26" s="227">
        <v>6162.0634999999993</v>
      </c>
      <c r="AI26" s="227">
        <v>1177.3253</v>
      </c>
      <c r="AJ26" s="227">
        <v>3504.6022000000003</v>
      </c>
      <c r="AK26" s="227">
        <v>2165.4278564616802</v>
      </c>
      <c r="AL26" s="227">
        <v>10903.268999999997</v>
      </c>
      <c r="AM26" s="227">
        <f t="shared" si="8"/>
        <v>47802.861856461677</v>
      </c>
      <c r="AN26" s="227">
        <f t="shared" si="9"/>
        <v>49377.28945646168</v>
      </c>
      <c r="AO26" s="227">
        <f t="shared" si="10"/>
        <v>-15309.749456461679</v>
      </c>
      <c r="AP26" s="1337" t="s">
        <v>564</v>
      </c>
      <c r="AQ26" s="1059"/>
      <c r="AR26" s="1059"/>
      <c r="AS26" s="1059"/>
      <c r="AT26" s="1059"/>
      <c r="AV26" s="1059"/>
      <c r="AW26" s="1059"/>
      <c r="AX26" s="1059"/>
      <c r="AY26" s="1059"/>
      <c r="AZ26" s="1059"/>
    </row>
    <row r="27" spans="1:57" s="257" customFormat="1" ht="11.45" customHeight="1">
      <c r="A27" s="1257" t="s">
        <v>556</v>
      </c>
      <c r="B27" s="285">
        <f>159.83+0</f>
        <v>159.83000000000001</v>
      </c>
      <c r="C27" s="285">
        <f>639.64+14.46</f>
        <v>654.1</v>
      </c>
      <c r="D27" s="285">
        <v>3.2252999999999998</v>
      </c>
      <c r="E27" s="285">
        <f>599.85+274.37</f>
        <v>874.22</v>
      </c>
      <c r="F27" s="285">
        <f>101.58+147.28+0+0</f>
        <v>248.86</v>
      </c>
      <c r="G27" s="285">
        <f>29426.63+3561.74</f>
        <v>32988.370000000003</v>
      </c>
      <c r="H27" s="285">
        <v>0</v>
      </c>
      <c r="I27" s="285">
        <v>0</v>
      </c>
      <c r="J27" s="285">
        <v>0</v>
      </c>
      <c r="K27" s="285">
        <f t="shared" si="11"/>
        <v>3566.6346999999951</v>
      </c>
      <c r="L27" s="285">
        <f>34026.21+4469.03</f>
        <v>38495.24</v>
      </c>
      <c r="M27" s="285">
        <v>18.6829</v>
      </c>
      <c r="N27" s="285">
        <v>1820.9451000000001</v>
      </c>
      <c r="O27" s="285">
        <f t="shared" si="4"/>
        <v>1839.6280000000002</v>
      </c>
      <c r="P27" s="285">
        <v>369.7364</v>
      </c>
      <c r="Q27" s="285">
        <v>501.01509999999996</v>
      </c>
      <c r="R27" s="285">
        <v>978.15789999999993</v>
      </c>
      <c r="S27" s="285">
        <v>1239.8487</v>
      </c>
      <c r="T27" s="285">
        <v>528.85270000000003</v>
      </c>
      <c r="U27" s="1333" t="s">
        <v>556</v>
      </c>
      <c r="V27" s="1257" t="s">
        <v>556</v>
      </c>
      <c r="W27" s="285">
        <v>871.98320000000001</v>
      </c>
      <c r="X27" s="285">
        <v>683.5945999999999</v>
      </c>
      <c r="Y27" s="285">
        <v>805.5806</v>
      </c>
      <c r="Z27" s="285">
        <v>8788.7296999999999</v>
      </c>
      <c r="AA27" s="285">
        <v>2620.9857000000002</v>
      </c>
      <c r="AB27" s="285">
        <v>197.37559999999999</v>
      </c>
      <c r="AC27" s="285">
        <v>1138.0176000000001</v>
      </c>
      <c r="AD27" s="285">
        <v>780.58600000000001</v>
      </c>
      <c r="AE27" s="285">
        <v>2598.0637000000002</v>
      </c>
      <c r="AF27" s="285">
        <v>3935.6956</v>
      </c>
      <c r="AG27" s="285">
        <v>2995.3303000000001</v>
      </c>
      <c r="AH27" s="285">
        <v>6156.133600000001</v>
      </c>
      <c r="AI27" s="285">
        <v>1313.8481999999999</v>
      </c>
      <c r="AJ27" s="285">
        <v>4518.4665000000005</v>
      </c>
      <c r="AK27" s="285">
        <v>2021.2383779903912</v>
      </c>
      <c r="AL27" s="285">
        <v>11932.732799999994</v>
      </c>
      <c r="AM27" s="285">
        <f t="shared" si="8"/>
        <v>54975.972877990389</v>
      </c>
      <c r="AN27" s="285">
        <f t="shared" si="9"/>
        <v>56815.600877990386</v>
      </c>
      <c r="AO27" s="285">
        <f t="shared" si="10"/>
        <v>-18320.360877990388</v>
      </c>
      <c r="AP27" s="1333" t="s">
        <v>556</v>
      </c>
      <c r="AQ27" s="1059"/>
      <c r="AR27" s="1059"/>
      <c r="AS27" s="1059"/>
      <c r="AT27" s="1059"/>
      <c r="AV27" s="1059"/>
      <c r="AW27" s="1059"/>
      <c r="AX27" s="1059"/>
      <c r="AY27" s="1059"/>
      <c r="AZ27" s="1059"/>
    </row>
    <row r="28" spans="1:57" s="257" customFormat="1" ht="11.45" customHeight="1">
      <c r="A28" s="509" t="s">
        <v>565</v>
      </c>
      <c r="B28" s="227">
        <f>166+0</f>
        <v>166</v>
      </c>
      <c r="C28" s="227">
        <f>585.74+11.55</f>
        <v>597.29</v>
      </c>
      <c r="D28" s="227">
        <f>6</f>
        <v>6</v>
      </c>
      <c r="E28" s="227">
        <f>626.2+209.2</f>
        <v>835.40000000000009</v>
      </c>
      <c r="F28" s="227">
        <f>100.93+133.54+0+0</f>
        <v>234.47</v>
      </c>
      <c r="G28" s="227">
        <f>26522.69+3186.63</f>
        <v>29709.32</v>
      </c>
      <c r="H28" s="227">
        <v>0</v>
      </c>
      <c r="I28" s="227">
        <v>0</v>
      </c>
      <c r="J28" s="227">
        <v>0</v>
      </c>
      <c r="K28" s="227">
        <f t="shared" si="11"/>
        <v>2932.6400000000031</v>
      </c>
      <c r="L28" s="227">
        <f>30501.88+3979.24</f>
        <v>34481.120000000003</v>
      </c>
      <c r="M28" s="227">
        <v>10.529</v>
      </c>
      <c r="N28" s="227">
        <v>2620.2873</v>
      </c>
      <c r="O28" s="227">
        <f t="shared" si="4"/>
        <v>2630.8163</v>
      </c>
      <c r="P28" s="227">
        <v>404.73849999999993</v>
      </c>
      <c r="Q28" s="227">
        <v>529.32929999999999</v>
      </c>
      <c r="R28" s="227">
        <v>848.77160000000003</v>
      </c>
      <c r="S28" s="227">
        <v>2405.8128000000002</v>
      </c>
      <c r="T28" s="227">
        <v>1291.9983</v>
      </c>
      <c r="U28" s="1337" t="s">
        <v>565</v>
      </c>
      <c r="V28" s="509" t="s">
        <v>565</v>
      </c>
      <c r="W28" s="227">
        <v>1584.0472</v>
      </c>
      <c r="X28" s="227">
        <v>638.55459999999994</v>
      </c>
      <c r="Y28" s="227">
        <v>153.00360000000001</v>
      </c>
      <c r="Z28" s="227">
        <v>9645.7895000000008</v>
      </c>
      <c r="AA28" s="227">
        <v>2929.8935999999999</v>
      </c>
      <c r="AB28" s="227">
        <v>131.09569999999999</v>
      </c>
      <c r="AC28" s="227">
        <v>932.1893</v>
      </c>
      <c r="AD28" s="227">
        <v>692.18090000000007</v>
      </c>
      <c r="AE28" s="227">
        <v>2783.5914000000002</v>
      </c>
      <c r="AF28" s="227">
        <v>3857.6780000000003</v>
      </c>
      <c r="AG28" s="227">
        <v>2862.0955999999996</v>
      </c>
      <c r="AH28" s="227">
        <v>5819.9853000000003</v>
      </c>
      <c r="AI28" s="227">
        <v>1240.8736000000001</v>
      </c>
      <c r="AJ28" s="227">
        <v>5004.4654999999993</v>
      </c>
      <c r="AK28" s="227">
        <v>2255.3823342850651</v>
      </c>
      <c r="AL28" s="227">
        <v>11388.210099999997</v>
      </c>
      <c r="AM28" s="227">
        <f t="shared" si="8"/>
        <v>57399.686734285067</v>
      </c>
      <c r="AN28" s="227">
        <f t="shared" si="9"/>
        <v>60030.503034285066</v>
      </c>
      <c r="AO28" s="227">
        <f t="shared" si="10"/>
        <v>-25549.383034285063</v>
      </c>
      <c r="AP28" s="1337" t="s">
        <v>565</v>
      </c>
      <c r="AQ28" s="1059"/>
      <c r="AR28" s="1059"/>
      <c r="AS28" s="1059"/>
      <c r="AT28" s="1059"/>
      <c r="AV28" s="1059"/>
      <c r="AW28" s="1059"/>
      <c r="AX28" s="1059"/>
      <c r="AY28" s="1059"/>
      <c r="AZ28" s="1059"/>
    </row>
    <row r="29" spans="1:57" s="257" customFormat="1" ht="11.45" customHeight="1">
      <c r="A29" s="1257" t="s">
        <v>566</v>
      </c>
      <c r="B29" s="285">
        <f>189.8979+0</f>
        <v>189.89789999999999</v>
      </c>
      <c r="C29" s="285">
        <f>659.45+5.54</f>
        <v>664.99</v>
      </c>
      <c r="D29" s="285">
        <f>3.292+0</f>
        <v>3.2919999999999998</v>
      </c>
      <c r="E29" s="285">
        <f>832.35+282.64</f>
        <v>1114.99</v>
      </c>
      <c r="F29" s="285">
        <f>124.07+109.64+0+0</f>
        <v>233.70999999999998</v>
      </c>
      <c r="G29" s="285">
        <f>29633.15+3174.99</f>
        <v>32808.14</v>
      </c>
      <c r="H29" s="285">
        <v>0</v>
      </c>
      <c r="I29" s="285">
        <v>0</v>
      </c>
      <c r="J29" s="285">
        <v>0</v>
      </c>
      <c r="K29" s="285">
        <f t="shared" si="11"/>
        <v>3850.7100999999966</v>
      </c>
      <c r="L29" s="285">
        <f>34650.52+4215.21</f>
        <v>38865.729999999996</v>
      </c>
      <c r="M29" s="285">
        <v>8.7456999999999994</v>
      </c>
      <c r="N29" s="285">
        <v>1907.6895</v>
      </c>
      <c r="O29" s="285">
        <f>M29+N29</f>
        <v>1916.4351999999999</v>
      </c>
      <c r="P29" s="285">
        <v>612.00909999999999</v>
      </c>
      <c r="Q29" s="285">
        <v>593.34929999999997</v>
      </c>
      <c r="R29" s="285">
        <v>1701.9507000000001</v>
      </c>
      <c r="S29" s="285">
        <v>2143.9584</v>
      </c>
      <c r="T29" s="285">
        <v>939.91520000000003</v>
      </c>
      <c r="U29" s="1333" t="s">
        <v>566</v>
      </c>
      <c r="V29" s="1257" t="s">
        <v>566</v>
      </c>
      <c r="W29" s="285">
        <v>567.39609999999993</v>
      </c>
      <c r="X29" s="285">
        <v>733.5485000000001</v>
      </c>
      <c r="Y29" s="285">
        <v>1180.4289000000001</v>
      </c>
      <c r="Z29" s="285">
        <v>7521.0784000000003</v>
      </c>
      <c r="AA29" s="285">
        <v>3357.3568999999998</v>
      </c>
      <c r="AB29" s="285">
        <v>147.6114</v>
      </c>
      <c r="AC29" s="285">
        <v>789.20640000000003</v>
      </c>
      <c r="AD29" s="285">
        <v>816.32050000000004</v>
      </c>
      <c r="AE29" s="285">
        <v>2985.7354999999998</v>
      </c>
      <c r="AF29" s="285">
        <v>3782.2629999999999</v>
      </c>
      <c r="AG29" s="285">
        <v>3077.3618000000001</v>
      </c>
      <c r="AH29" s="285">
        <v>6980.9767999999995</v>
      </c>
      <c r="AI29" s="285">
        <v>1271.3511000000001</v>
      </c>
      <c r="AJ29" s="285">
        <v>4935.8645000000006</v>
      </c>
      <c r="AK29" s="285">
        <v>2489.1632303740553</v>
      </c>
      <c r="AL29" s="285">
        <v>13196.69850000001</v>
      </c>
      <c r="AM29" s="285">
        <f t="shared" si="8"/>
        <v>59823.544230374064</v>
      </c>
      <c r="AN29" s="285">
        <f t="shared" si="9"/>
        <v>61739.979430374064</v>
      </c>
      <c r="AO29" s="285">
        <f t="shared" si="10"/>
        <v>-22874.249430374068</v>
      </c>
      <c r="AP29" s="1333" t="s">
        <v>566</v>
      </c>
      <c r="AQ29" s="1059"/>
      <c r="AR29" s="1059"/>
      <c r="AS29" s="1059"/>
      <c r="AT29" s="1059"/>
      <c r="AV29" s="1059"/>
      <c r="AW29" s="1059"/>
      <c r="AX29" s="1059"/>
      <c r="AY29" s="1059"/>
      <c r="AZ29" s="1059"/>
    </row>
    <row r="30" spans="1:57" s="257" customFormat="1" ht="11.45" customHeight="1">
      <c r="A30" s="509" t="s">
        <v>557</v>
      </c>
      <c r="B30" s="227">
        <f>149+0</f>
        <v>149</v>
      </c>
      <c r="C30" s="227">
        <f>549.4+15.26</f>
        <v>564.66</v>
      </c>
      <c r="D30" s="227">
        <f>2+0</f>
        <v>2</v>
      </c>
      <c r="E30" s="227">
        <f>786.62+284.42</f>
        <v>1071.04</v>
      </c>
      <c r="F30" s="227">
        <f>108.98+160.58+0+0</f>
        <v>269.56</v>
      </c>
      <c r="G30" s="227">
        <f>30515.75+3195.12</f>
        <v>33710.870000000003</v>
      </c>
      <c r="H30" s="227">
        <v>0</v>
      </c>
      <c r="I30" s="227">
        <v>0</v>
      </c>
      <c r="J30" s="227">
        <v>0</v>
      </c>
      <c r="K30" s="227">
        <f t="shared" si="11"/>
        <v>3800.7299999999959</v>
      </c>
      <c r="L30" s="227">
        <f>35371.79+4196.07</f>
        <v>39567.86</v>
      </c>
      <c r="M30" s="227">
        <v>16.421800000000001</v>
      </c>
      <c r="N30" s="227">
        <v>1837.1255999999998</v>
      </c>
      <c r="O30" s="227">
        <f>M30+N30</f>
        <v>1853.5473999999999</v>
      </c>
      <c r="P30" s="227">
        <v>381.78640000000001</v>
      </c>
      <c r="Q30" s="227">
        <v>598.18729999999994</v>
      </c>
      <c r="R30" s="227">
        <v>1093.7872</v>
      </c>
      <c r="S30" s="227">
        <v>2069.6053999999999</v>
      </c>
      <c r="T30" s="227">
        <v>981.44889999999998</v>
      </c>
      <c r="U30" s="1337" t="s">
        <v>557</v>
      </c>
      <c r="V30" s="509" t="s">
        <v>557</v>
      </c>
      <c r="W30" s="227">
        <v>741.51099999999997</v>
      </c>
      <c r="X30" s="227">
        <v>594.01929999999993</v>
      </c>
      <c r="Y30" s="227">
        <v>1972.1111999999998</v>
      </c>
      <c r="Z30" s="227">
        <v>7706.8305</v>
      </c>
      <c r="AA30" s="227">
        <v>2835.3438000000001</v>
      </c>
      <c r="AB30" s="227">
        <v>174.9024</v>
      </c>
      <c r="AC30" s="227">
        <v>1218.2411999999999</v>
      </c>
      <c r="AD30" s="227">
        <v>706.06029999999998</v>
      </c>
      <c r="AE30" s="227">
        <v>2781.3923</v>
      </c>
      <c r="AF30" s="227">
        <v>3800.9758000000002</v>
      </c>
      <c r="AG30" s="227">
        <v>2949.3834000000002</v>
      </c>
      <c r="AH30" s="227">
        <v>6093.6231000000007</v>
      </c>
      <c r="AI30" s="227">
        <v>1093.8304000000001</v>
      </c>
      <c r="AJ30" s="227">
        <v>4946.2313000000004</v>
      </c>
      <c r="AK30" s="227">
        <v>2259.205018724655</v>
      </c>
      <c r="AL30" s="227">
        <v>13571.759399999999</v>
      </c>
      <c r="AM30" s="227">
        <f t="shared" si="8"/>
        <v>58570.235618724648</v>
      </c>
      <c r="AN30" s="227">
        <f t="shared" si="9"/>
        <v>60423.783018724651</v>
      </c>
      <c r="AO30" s="227">
        <f t="shared" si="10"/>
        <v>-20855.92301872465</v>
      </c>
      <c r="AP30" s="1337" t="s">
        <v>557</v>
      </c>
      <c r="AQ30" s="1059"/>
      <c r="AR30" s="1059"/>
      <c r="AS30" s="1059"/>
      <c r="AT30" s="1059"/>
      <c r="AV30" s="1059"/>
      <c r="AW30" s="1059"/>
      <c r="AX30" s="1059"/>
      <c r="AY30" s="1059"/>
      <c r="AZ30" s="1059"/>
    </row>
    <row r="31" spans="1:57" s="262" customFormat="1" ht="12" customHeight="1">
      <c r="A31" s="308" t="s">
        <v>2500</v>
      </c>
      <c r="B31" s="846">
        <f>SUM(B32:B43)</f>
        <v>1841.5500999999997</v>
      </c>
      <c r="C31" s="846">
        <f t="shared" ref="C31:T31" si="12">SUM(C32:C43)</f>
        <v>8373.8837000000003</v>
      </c>
      <c r="D31" s="846">
        <f t="shared" si="12"/>
        <v>38.628</v>
      </c>
      <c r="E31" s="846">
        <f t="shared" si="12"/>
        <v>14284.143099999999</v>
      </c>
      <c r="F31" s="846">
        <f t="shared" si="12"/>
        <v>4279.1954000000005</v>
      </c>
      <c r="G31" s="846">
        <f t="shared" si="12"/>
        <v>449777.09659999982</v>
      </c>
      <c r="H31" s="846">
        <f t="shared" si="12"/>
        <v>0.6</v>
      </c>
      <c r="I31" s="846">
        <f t="shared" si="12"/>
        <v>0.6</v>
      </c>
      <c r="J31" s="846">
        <f t="shared" si="12"/>
        <v>0.80590000000000006</v>
      </c>
      <c r="K31" s="846">
        <f t="shared" si="12"/>
        <v>47805.839000000124</v>
      </c>
      <c r="L31" s="846">
        <f t="shared" si="12"/>
        <v>526402.34180000005</v>
      </c>
      <c r="M31" s="846">
        <f t="shared" si="12"/>
        <v>7009.6</v>
      </c>
      <c r="N31" s="846">
        <f t="shared" si="12"/>
        <v>17537.5</v>
      </c>
      <c r="O31" s="846">
        <f t="shared" si="12"/>
        <v>24547.1</v>
      </c>
      <c r="P31" s="846">
        <f t="shared" si="12"/>
        <v>5377.4</v>
      </c>
      <c r="Q31" s="846">
        <f t="shared" si="12"/>
        <v>5490.3000000000011</v>
      </c>
      <c r="R31" s="846">
        <f t="shared" si="12"/>
        <v>13034.699999999999</v>
      </c>
      <c r="S31" s="846">
        <f t="shared" si="12"/>
        <v>30605.099999999995</v>
      </c>
      <c r="T31" s="846">
        <f t="shared" si="12"/>
        <v>10370.799999999999</v>
      </c>
      <c r="U31" s="1576" t="s">
        <v>2500</v>
      </c>
      <c r="V31" s="1577" t="s">
        <v>2500</v>
      </c>
      <c r="W31" s="846">
        <f t="shared" ref="W31:X31" si="13">SUM(W32:W48)</f>
        <v>15222.199999999999</v>
      </c>
      <c r="X31" s="846">
        <f t="shared" si="13"/>
        <v>9777.4</v>
      </c>
      <c r="Y31" s="846">
        <f>SUM(Y32:Y43)</f>
        <v>13379.800000000001</v>
      </c>
      <c r="Z31" s="846">
        <f t="shared" ref="Z31:AM31" si="14">SUM(Z32:Z43)</f>
        <v>114811.9</v>
      </c>
      <c r="AA31" s="846">
        <f t="shared" si="14"/>
        <v>39960.199999999997</v>
      </c>
      <c r="AB31" s="846">
        <f t="shared" si="14"/>
        <v>2545.2999999999997</v>
      </c>
      <c r="AC31" s="846">
        <f t="shared" si="14"/>
        <v>22142.400000000001</v>
      </c>
      <c r="AD31" s="846">
        <f t="shared" si="14"/>
        <v>10110.299999999999</v>
      </c>
      <c r="AE31" s="846">
        <f t="shared" si="14"/>
        <v>37473.1</v>
      </c>
      <c r="AF31" s="846">
        <f t="shared" si="14"/>
        <v>41097.700000000004</v>
      </c>
      <c r="AG31" s="846">
        <f t="shared" si="14"/>
        <v>42308.700000000004</v>
      </c>
      <c r="AH31" s="846">
        <f t="shared" si="14"/>
        <v>93341.4</v>
      </c>
      <c r="AI31" s="846">
        <f t="shared" si="14"/>
        <v>16406.400000000001</v>
      </c>
      <c r="AJ31" s="846">
        <f t="shared" si="14"/>
        <v>59758.400000000009</v>
      </c>
      <c r="AK31" s="846">
        <f t="shared" si="14"/>
        <v>36949.789812541501</v>
      </c>
      <c r="AL31" s="846">
        <f t="shared" si="14"/>
        <v>176103.08999999997</v>
      </c>
      <c r="AM31" s="846">
        <f t="shared" si="14"/>
        <v>790843.77981254144</v>
      </c>
      <c r="AN31" s="846">
        <f>SUM(AN32:AN43)</f>
        <v>815390.87981254153</v>
      </c>
      <c r="AO31" s="846">
        <f>SUM(AO32:AO43)</f>
        <v>-288988.53801254148</v>
      </c>
      <c r="AP31" s="1576" t="s">
        <v>2500</v>
      </c>
      <c r="AR31" s="1059"/>
      <c r="AS31" s="1059"/>
    </row>
    <row r="32" spans="1:57" s="257" customFormat="1" ht="11.45" customHeight="1">
      <c r="A32" s="509" t="s">
        <v>559</v>
      </c>
      <c r="B32" s="227">
        <f>107.2264+0</f>
        <v>107.2264</v>
      </c>
      <c r="C32" s="227">
        <f>600.9536+12.2849</f>
        <v>613.23850000000004</v>
      </c>
      <c r="D32" s="227">
        <f>4.3516+0</f>
        <v>4.3516000000000004</v>
      </c>
      <c r="E32" s="227">
        <f>801.3941+351.1035</f>
        <v>1152.4975999999999</v>
      </c>
      <c r="F32" s="227">
        <f>187.8432+117.0838+0+0</f>
        <v>304.92700000000002</v>
      </c>
      <c r="G32" s="227">
        <f>29412.1578+3673.5328</f>
        <v>33085.690600000002</v>
      </c>
      <c r="H32" s="227">
        <v>0.1</v>
      </c>
      <c r="I32" s="227">
        <v>0.1</v>
      </c>
      <c r="J32" s="227">
        <v>0.1</v>
      </c>
      <c r="K32" s="227">
        <f t="shared" ref="K32:K36" si="15">L32-SUM(B32:J32)</f>
        <v>3456.1910000000062</v>
      </c>
      <c r="L32" s="227">
        <f>33999.4107+4725.012</f>
        <v>38724.422700000003</v>
      </c>
      <c r="M32" s="227">
        <v>9.8000000000000007</v>
      </c>
      <c r="N32" s="227">
        <v>702.6</v>
      </c>
      <c r="O32" s="227">
        <f t="shared" ref="O32:O43" si="16">M32+N32</f>
        <v>712.4</v>
      </c>
      <c r="P32" s="227">
        <v>350.5</v>
      </c>
      <c r="Q32" s="227">
        <v>506.5</v>
      </c>
      <c r="R32" s="227">
        <v>1272.5999999999999</v>
      </c>
      <c r="S32" s="227">
        <v>1598.4</v>
      </c>
      <c r="T32" s="227">
        <v>1002.6999999999999</v>
      </c>
      <c r="U32" s="1337" t="s">
        <v>559</v>
      </c>
      <c r="V32" s="509" t="s">
        <v>559</v>
      </c>
      <c r="W32" s="227">
        <v>817.6</v>
      </c>
      <c r="X32" s="227">
        <v>626.20000000000005</v>
      </c>
      <c r="Y32" s="227">
        <v>1305.7</v>
      </c>
      <c r="Z32" s="227">
        <v>6972.5999999999995</v>
      </c>
      <c r="AA32" s="227">
        <v>3106.8</v>
      </c>
      <c r="AB32" s="227">
        <v>178.8</v>
      </c>
      <c r="AC32" s="227">
        <v>1453.3000000000002</v>
      </c>
      <c r="AD32" s="227">
        <v>858.2</v>
      </c>
      <c r="AE32" s="227">
        <v>2868.9999999999995</v>
      </c>
      <c r="AF32" s="227">
        <v>3492.6</v>
      </c>
      <c r="AG32" s="227">
        <v>3342.6</v>
      </c>
      <c r="AH32" s="227">
        <v>6306.9000000000005</v>
      </c>
      <c r="AI32" s="227">
        <v>1116.8</v>
      </c>
      <c r="AJ32" s="227">
        <v>4795.6000000000004</v>
      </c>
      <c r="AK32" s="227">
        <v>2306.9379258159202</v>
      </c>
      <c r="AL32" s="227">
        <v>13461.180000000004</v>
      </c>
      <c r="AM32" s="227">
        <f t="shared" ref="AM32:AM33" si="17">SUM(P32:T32)+SUM(W32:AL32)</f>
        <v>57741.517925815919</v>
      </c>
      <c r="AN32" s="227">
        <f t="shared" ref="AN32:AN40" si="18">O32+AM32</f>
        <v>58453.91792581592</v>
      </c>
      <c r="AO32" s="227">
        <f t="shared" ref="AO32:AO43" si="19">L32-AN32</f>
        <v>-19729.495225815917</v>
      </c>
      <c r="AP32" s="1337" t="s">
        <v>559</v>
      </c>
      <c r="AQ32" s="1059"/>
      <c r="AR32" s="1059"/>
      <c r="AS32" s="1059"/>
      <c r="AT32" s="1059"/>
      <c r="AV32" s="1059"/>
      <c r="AW32" s="1059"/>
      <c r="AX32" s="1059"/>
      <c r="AY32" s="1059"/>
      <c r="AZ32" s="1059"/>
    </row>
    <row r="33" spans="1:57" s="257" customFormat="1" ht="11.45" customHeight="1">
      <c r="A33" s="1257" t="s">
        <v>112</v>
      </c>
      <c r="B33" s="285">
        <f>120.0516+0</f>
        <v>120.05159999999999</v>
      </c>
      <c r="C33" s="285">
        <f>583.267+7.7735</f>
        <v>591.04050000000007</v>
      </c>
      <c r="D33" s="285">
        <f>1.8638+0</f>
        <v>1.8637999999999999</v>
      </c>
      <c r="E33" s="285">
        <f>869.5009+296.2184</f>
        <v>1165.7193</v>
      </c>
      <c r="F33" s="285">
        <f>85.4071+212.8385+0+0</f>
        <v>298.24560000000002</v>
      </c>
      <c r="G33" s="285">
        <f>29890.2163+3463.7976</f>
        <v>33354.013899999998</v>
      </c>
      <c r="H33" s="285">
        <v>0.1</v>
      </c>
      <c r="I33" s="285">
        <v>0.1</v>
      </c>
      <c r="J33" s="285">
        <v>0.1</v>
      </c>
      <c r="K33" s="285">
        <f t="shared" si="15"/>
        <v>3403.3868000000002</v>
      </c>
      <c r="L33" s="285">
        <f>34601.1706+4333.4509</f>
        <v>38934.621499999994</v>
      </c>
      <c r="M33" s="285">
        <v>4.7</v>
      </c>
      <c r="N33" s="285">
        <v>1444.1</v>
      </c>
      <c r="O33" s="285">
        <f t="shared" si="16"/>
        <v>1448.8</v>
      </c>
      <c r="P33" s="285">
        <v>348.5</v>
      </c>
      <c r="Q33" s="285">
        <v>511.9</v>
      </c>
      <c r="R33" s="285">
        <v>559.4</v>
      </c>
      <c r="S33" s="285">
        <v>1669.1</v>
      </c>
      <c r="T33" s="285">
        <v>532.4</v>
      </c>
      <c r="U33" s="1333" t="s">
        <v>112</v>
      </c>
      <c r="V33" s="1257" t="s">
        <v>112</v>
      </c>
      <c r="W33" s="285">
        <v>539.20000000000005</v>
      </c>
      <c r="X33" s="285">
        <v>488</v>
      </c>
      <c r="Y33" s="285">
        <v>1026.5</v>
      </c>
      <c r="Z33" s="285">
        <v>8677.7999999999993</v>
      </c>
      <c r="AA33" s="285">
        <v>3577</v>
      </c>
      <c r="AB33" s="285">
        <v>170</v>
      </c>
      <c r="AC33" s="285">
        <v>988.6</v>
      </c>
      <c r="AD33" s="285">
        <v>907.7</v>
      </c>
      <c r="AE33" s="285">
        <v>3013.3999999999996</v>
      </c>
      <c r="AF33" s="285">
        <v>3507.4</v>
      </c>
      <c r="AG33" s="285">
        <v>3399.6000000000004</v>
      </c>
      <c r="AH33" s="285">
        <v>7282.2</v>
      </c>
      <c r="AI33" s="285">
        <v>1246</v>
      </c>
      <c r="AJ33" s="285">
        <v>4740.5</v>
      </c>
      <c r="AK33" s="285">
        <v>2486.75</v>
      </c>
      <c r="AL33" s="285">
        <v>14133.5</v>
      </c>
      <c r="AM33" s="285">
        <f t="shared" si="17"/>
        <v>59805.450000000004</v>
      </c>
      <c r="AN33" s="285">
        <f t="shared" si="18"/>
        <v>61254.250000000007</v>
      </c>
      <c r="AO33" s="285">
        <f t="shared" si="19"/>
        <v>-22319.628500000013</v>
      </c>
      <c r="AP33" s="1333" t="s">
        <v>112</v>
      </c>
      <c r="AQ33" s="262"/>
      <c r="AR33" s="1059"/>
      <c r="AS33" s="1059"/>
      <c r="AT33" s="262"/>
      <c r="AU33" s="262"/>
      <c r="AV33" s="262"/>
      <c r="AW33" s="1059"/>
      <c r="AX33" s="1059"/>
      <c r="AY33" s="1059"/>
      <c r="AZ33" s="1059"/>
      <c r="BA33" s="262"/>
      <c r="BB33" s="262"/>
      <c r="BC33" s="262"/>
      <c r="BD33" s="262"/>
      <c r="BE33" s="262"/>
    </row>
    <row r="34" spans="1:57" s="257" customFormat="1" ht="11.45" customHeight="1">
      <c r="A34" s="509" t="s">
        <v>554</v>
      </c>
      <c r="B34" s="227">
        <f>201.7033+0</f>
        <v>201.70330000000001</v>
      </c>
      <c r="C34" s="227">
        <f>684.3396+15.7527</f>
        <v>700.09230000000002</v>
      </c>
      <c r="D34" s="227">
        <f>1.8765+0</f>
        <v>1.8765000000000001</v>
      </c>
      <c r="E34" s="227">
        <f>950.4449+279.6946</f>
        <v>1230.1395</v>
      </c>
      <c r="F34" s="227">
        <f>226.6693+107.0026+0+0</f>
        <v>333.67189999999999</v>
      </c>
      <c r="G34" s="227">
        <f>35666.7958+4925.8185</f>
        <v>40592.614300000001</v>
      </c>
      <c r="H34" s="227">
        <v>0.1</v>
      </c>
      <c r="I34" s="227">
        <v>0.1</v>
      </c>
      <c r="J34" s="227">
        <v>0.1</v>
      </c>
      <c r="K34" s="227">
        <f t="shared" si="15"/>
        <v>4277.1533000000054</v>
      </c>
      <c r="L34" s="227">
        <f>41463.3029+5874.2482</f>
        <v>47337.551100000004</v>
      </c>
      <c r="M34" s="227">
        <v>21.8</v>
      </c>
      <c r="N34" s="227">
        <v>1725.5</v>
      </c>
      <c r="O34" s="227">
        <f t="shared" si="16"/>
        <v>1747.3</v>
      </c>
      <c r="P34" s="227">
        <v>294.70000000000005</v>
      </c>
      <c r="Q34" s="227">
        <v>415.9</v>
      </c>
      <c r="R34" s="227">
        <v>1041.4000000000001</v>
      </c>
      <c r="S34" s="227">
        <v>1870.2</v>
      </c>
      <c r="T34" s="227">
        <v>806.9</v>
      </c>
      <c r="U34" s="1337" t="s">
        <v>554</v>
      </c>
      <c r="V34" s="509" t="s">
        <v>554</v>
      </c>
      <c r="W34" s="227">
        <v>625.5</v>
      </c>
      <c r="X34" s="227">
        <v>584.9</v>
      </c>
      <c r="Y34" s="227">
        <v>1216.6000000000001</v>
      </c>
      <c r="Z34" s="227">
        <v>10941.199999999999</v>
      </c>
      <c r="AA34" s="227">
        <v>3243.5</v>
      </c>
      <c r="AB34" s="227">
        <v>222.1</v>
      </c>
      <c r="AC34" s="227">
        <v>2798.7</v>
      </c>
      <c r="AD34" s="227">
        <v>799.5</v>
      </c>
      <c r="AE34" s="227">
        <v>3106.9</v>
      </c>
      <c r="AF34" s="227">
        <v>3148.4</v>
      </c>
      <c r="AG34" s="227">
        <v>3527.8</v>
      </c>
      <c r="AH34" s="227">
        <v>7651</v>
      </c>
      <c r="AI34" s="227">
        <v>1142</v>
      </c>
      <c r="AJ34" s="227">
        <v>5647.5</v>
      </c>
      <c r="AK34" s="227">
        <v>2526.63</v>
      </c>
      <c r="AL34" s="227">
        <v>14402.239999999996</v>
      </c>
      <c r="AM34" s="227">
        <f t="shared" ref="AM34:AM35" si="20">SUM(P34:T34)+SUM(W34:AL34)</f>
        <v>66013.569999999992</v>
      </c>
      <c r="AN34" s="227">
        <f t="shared" si="18"/>
        <v>67760.87</v>
      </c>
      <c r="AO34" s="227">
        <f t="shared" si="19"/>
        <v>-20423.318899999991</v>
      </c>
      <c r="AP34" s="1337" t="s">
        <v>554</v>
      </c>
      <c r="AQ34" s="1059"/>
      <c r="AR34" s="1059"/>
      <c r="AS34" s="1059"/>
      <c r="AT34" s="1059"/>
      <c r="AV34" s="1059"/>
      <c r="AW34" s="1059"/>
      <c r="AX34" s="1059"/>
      <c r="AY34" s="1059"/>
      <c r="AZ34" s="1059"/>
    </row>
    <row r="35" spans="1:57" s="257" customFormat="1" ht="11.45" customHeight="1">
      <c r="A35" s="1257" t="s">
        <v>2836</v>
      </c>
      <c r="B35" s="285">
        <f>186.6061+0</f>
        <v>186.6061</v>
      </c>
      <c r="C35" s="285">
        <f>712.0818+10.9262</f>
        <v>723.00800000000004</v>
      </c>
      <c r="D35" s="285">
        <f>5.2053+0</f>
        <v>5.2053000000000003</v>
      </c>
      <c r="E35" s="285">
        <f>835.7653+351.2122</f>
        <v>1186.9775</v>
      </c>
      <c r="F35" s="285">
        <f>123.4458+257.3447+0+0</f>
        <v>380.79050000000001</v>
      </c>
      <c r="G35" s="285">
        <f>34272.5311+4806.9884</f>
        <v>39079.519500000002</v>
      </c>
      <c r="H35" s="285">
        <v>0.1</v>
      </c>
      <c r="I35" s="285">
        <v>0.1</v>
      </c>
      <c r="J35" s="285">
        <v>0.1</v>
      </c>
      <c r="K35" s="285">
        <f t="shared" si="15"/>
        <v>4354.9635000000053</v>
      </c>
      <c r="L35" s="285">
        <f>40098.6574+5818.713</f>
        <v>45917.3704</v>
      </c>
      <c r="M35" s="285">
        <v>39.700000000000003</v>
      </c>
      <c r="N35" s="285">
        <v>1341.1000000000001</v>
      </c>
      <c r="O35" s="285">
        <f t="shared" si="16"/>
        <v>1380.8000000000002</v>
      </c>
      <c r="P35" s="285">
        <v>299.89999999999998</v>
      </c>
      <c r="Q35" s="285">
        <v>392.5</v>
      </c>
      <c r="R35" s="285">
        <v>640.70000000000005</v>
      </c>
      <c r="S35" s="285">
        <v>2037.1</v>
      </c>
      <c r="T35" s="285">
        <v>851.7</v>
      </c>
      <c r="U35" s="1333" t="s">
        <v>561</v>
      </c>
      <c r="V35" s="1257" t="s">
        <v>561</v>
      </c>
      <c r="W35" s="285">
        <v>801</v>
      </c>
      <c r="X35" s="285">
        <v>544.1</v>
      </c>
      <c r="Y35" s="285">
        <v>1836.9</v>
      </c>
      <c r="Z35" s="285">
        <v>10960.2</v>
      </c>
      <c r="AA35" s="285">
        <v>3533.5</v>
      </c>
      <c r="AB35" s="285">
        <v>209.9</v>
      </c>
      <c r="AC35" s="285">
        <v>1444</v>
      </c>
      <c r="AD35" s="285">
        <v>872.5</v>
      </c>
      <c r="AE35" s="285">
        <v>3592.5</v>
      </c>
      <c r="AF35" s="285">
        <v>3255.3</v>
      </c>
      <c r="AG35" s="285">
        <v>3578.2999999999997</v>
      </c>
      <c r="AH35" s="285">
        <v>7412.3</v>
      </c>
      <c r="AI35" s="285">
        <v>1330.4</v>
      </c>
      <c r="AJ35" s="285">
        <v>5545.3</v>
      </c>
      <c r="AK35" s="285">
        <v>2973.39</v>
      </c>
      <c r="AL35" s="285">
        <v>16632.689999999988</v>
      </c>
      <c r="AM35" s="285">
        <f t="shared" si="20"/>
        <v>68744.179999999993</v>
      </c>
      <c r="AN35" s="285">
        <f t="shared" si="18"/>
        <v>70124.98</v>
      </c>
      <c r="AO35" s="285">
        <f t="shared" si="19"/>
        <v>-24207.609599999996</v>
      </c>
      <c r="AP35" s="1333" t="s">
        <v>561</v>
      </c>
      <c r="AQ35" s="262"/>
      <c r="AR35" s="1059"/>
      <c r="AS35" s="1059"/>
      <c r="AT35" s="262"/>
      <c r="AU35" s="262"/>
      <c r="AV35" s="1059"/>
      <c r="AW35" s="1059"/>
      <c r="AX35" s="1059"/>
      <c r="AY35" s="1059"/>
      <c r="AZ35" s="1059"/>
    </row>
    <row r="36" spans="1:57" s="257" customFormat="1" ht="11.45" customHeight="1">
      <c r="A36" s="509" t="s">
        <v>562</v>
      </c>
      <c r="B36" s="227">
        <f>179.5605+0</f>
        <v>179.56049999999999</v>
      </c>
      <c r="C36" s="227">
        <f>714.8367+21.6978</f>
        <v>736.53449999999998</v>
      </c>
      <c r="D36" s="227">
        <f>3.828+0</f>
        <v>3.8279999999999998</v>
      </c>
      <c r="E36" s="227">
        <f>690.2183+261.0947</f>
        <v>951.31299999999999</v>
      </c>
      <c r="F36" s="227">
        <f>110.1884+313.8749+0+0</f>
        <v>424.06330000000003</v>
      </c>
      <c r="G36" s="227">
        <f>30468.3414+3958.2398</f>
        <v>34426.581200000001</v>
      </c>
      <c r="H36" s="227">
        <v>0.1</v>
      </c>
      <c r="I36" s="227">
        <v>0.1</v>
      </c>
      <c r="J36" s="227">
        <v>5.3999999999999999E-2</v>
      </c>
      <c r="K36" s="227">
        <f t="shared" si="15"/>
        <v>3910.7908000000098</v>
      </c>
      <c r="L36" s="227">
        <f>35835.5301+4797.3952</f>
        <v>40632.925300000003</v>
      </c>
      <c r="M36" s="227">
        <v>73.5</v>
      </c>
      <c r="N36" s="227">
        <v>1056.8</v>
      </c>
      <c r="O36" s="227">
        <f t="shared" si="16"/>
        <v>1130.3</v>
      </c>
      <c r="P36" s="227">
        <v>398.5</v>
      </c>
      <c r="Q36" s="227">
        <v>438</v>
      </c>
      <c r="R36" s="227">
        <v>771.09999999999991</v>
      </c>
      <c r="S36" s="227">
        <v>2229.3000000000002</v>
      </c>
      <c r="T36" s="227">
        <v>530.29999999999995</v>
      </c>
      <c r="U36" s="1337" t="s">
        <v>562</v>
      </c>
      <c r="V36" s="509" t="s">
        <v>562</v>
      </c>
      <c r="W36" s="227">
        <v>1312.6</v>
      </c>
      <c r="X36" s="227">
        <v>528.70000000000005</v>
      </c>
      <c r="Y36" s="227">
        <v>706.5</v>
      </c>
      <c r="Z36" s="227">
        <v>8941</v>
      </c>
      <c r="AA36" s="227">
        <v>3248</v>
      </c>
      <c r="AB36" s="227">
        <v>199.9</v>
      </c>
      <c r="AC36" s="227">
        <v>2034.5</v>
      </c>
      <c r="AD36" s="227">
        <v>748.1</v>
      </c>
      <c r="AE36" s="227">
        <v>2715.2999999999997</v>
      </c>
      <c r="AF36" s="227">
        <v>3099.7000000000003</v>
      </c>
      <c r="AG36" s="227">
        <v>3376.7999999999997</v>
      </c>
      <c r="AH36" s="227">
        <v>7391.5</v>
      </c>
      <c r="AI36" s="227">
        <v>1122.1000000000001</v>
      </c>
      <c r="AJ36" s="227">
        <v>4719.7</v>
      </c>
      <c r="AK36" s="227">
        <v>2854.5699999999997</v>
      </c>
      <c r="AL36" s="227">
        <v>13027.589999999997</v>
      </c>
      <c r="AM36" s="227">
        <f t="shared" ref="AM36" si="21">SUM(P36:T36)+SUM(W36:AL36)</f>
        <v>60393.75999999998</v>
      </c>
      <c r="AN36" s="227">
        <f t="shared" si="18"/>
        <v>61524.059999999983</v>
      </c>
      <c r="AO36" s="227">
        <f t="shared" si="19"/>
        <v>-20891.134699999981</v>
      </c>
      <c r="AP36" s="1337" t="s">
        <v>562</v>
      </c>
      <c r="AQ36" s="1059"/>
      <c r="AR36" s="1059"/>
      <c r="AS36" s="1059"/>
      <c r="AT36" s="1059"/>
      <c r="AV36" s="1059"/>
      <c r="AW36" s="1059"/>
      <c r="AX36" s="1059"/>
      <c r="AY36" s="1059"/>
      <c r="AZ36" s="1059"/>
    </row>
    <row r="37" spans="1:57" s="257" customFormat="1" ht="11.45" customHeight="1">
      <c r="A37" s="1257" t="s">
        <v>555</v>
      </c>
      <c r="B37" s="285">
        <f>165.3824+0</f>
        <v>165.38239999999999</v>
      </c>
      <c r="C37" s="285">
        <f>727.128+12.0529</f>
        <v>739.18090000000007</v>
      </c>
      <c r="D37" s="285">
        <f>5.2426+0</f>
        <v>5.2426000000000004</v>
      </c>
      <c r="E37" s="285">
        <f>895.2094+410.6374</f>
        <v>1305.8468</v>
      </c>
      <c r="F37" s="285">
        <f>121.8836+289.4957+0+0</f>
        <v>411.3793</v>
      </c>
      <c r="G37" s="285">
        <f>33947.389+4582.348</f>
        <v>38529.737000000001</v>
      </c>
      <c r="H37" s="285">
        <v>0.1</v>
      </c>
      <c r="I37" s="285">
        <v>0.1</v>
      </c>
      <c r="J37" s="285">
        <v>0.1</v>
      </c>
      <c r="K37" s="285">
        <f>L37-SUM(B37:J37)</f>
        <v>4364.2286000000095</v>
      </c>
      <c r="L37" s="285">
        <f>39892.3308+5628.9668</f>
        <v>45521.297600000005</v>
      </c>
      <c r="M37" s="285">
        <v>427.7</v>
      </c>
      <c r="N37" s="285">
        <v>2380.9</v>
      </c>
      <c r="O37" s="285">
        <f t="shared" si="16"/>
        <v>2808.6</v>
      </c>
      <c r="P37" s="285">
        <v>483.2</v>
      </c>
      <c r="Q37" s="285">
        <v>450</v>
      </c>
      <c r="R37" s="285">
        <v>1880.8000000000002</v>
      </c>
      <c r="S37" s="285">
        <v>2769.4</v>
      </c>
      <c r="T37" s="285">
        <v>556.29999999999995</v>
      </c>
      <c r="U37" s="1333" t="s">
        <v>555</v>
      </c>
      <c r="V37" s="1257" t="s">
        <v>555</v>
      </c>
      <c r="W37" s="285">
        <v>967.69999999999993</v>
      </c>
      <c r="X37" s="285">
        <v>564.20000000000005</v>
      </c>
      <c r="Y37" s="285">
        <v>1000.3</v>
      </c>
      <c r="Z37" s="285">
        <v>8708.2000000000007</v>
      </c>
      <c r="AA37" s="285">
        <v>3549.7</v>
      </c>
      <c r="AB37" s="285">
        <v>216.7</v>
      </c>
      <c r="AC37" s="285">
        <v>2908.6</v>
      </c>
      <c r="AD37" s="285">
        <v>874.9</v>
      </c>
      <c r="AE37" s="285">
        <v>3259.8</v>
      </c>
      <c r="AF37" s="285">
        <v>3470.9</v>
      </c>
      <c r="AG37" s="285">
        <v>3650.1</v>
      </c>
      <c r="AH37" s="285">
        <v>8126.9</v>
      </c>
      <c r="AI37" s="285">
        <v>1456.3999999999999</v>
      </c>
      <c r="AJ37" s="285">
        <v>4632.2</v>
      </c>
      <c r="AK37" s="285">
        <v>5373.88</v>
      </c>
      <c r="AL37" s="285">
        <v>15568.649999999994</v>
      </c>
      <c r="AM37" s="285">
        <f t="shared" ref="AM37" si="22">SUM(P37:T37)+SUM(W37:AL37)</f>
        <v>70468.829999999987</v>
      </c>
      <c r="AN37" s="285">
        <f t="shared" si="18"/>
        <v>73277.429999999993</v>
      </c>
      <c r="AO37" s="285">
        <f t="shared" si="19"/>
        <v>-27756.132399999988</v>
      </c>
      <c r="AP37" s="1333" t="s">
        <v>555</v>
      </c>
      <c r="AQ37" s="262"/>
      <c r="AR37" s="1059"/>
      <c r="AS37" s="1059"/>
      <c r="AT37" s="1059"/>
      <c r="AV37" s="1059"/>
      <c r="AW37" s="1059"/>
      <c r="AX37" s="1059"/>
      <c r="AY37" s="1059"/>
      <c r="AZ37" s="1059"/>
    </row>
    <row r="38" spans="1:57" s="257" customFormat="1" ht="11.45" customHeight="1">
      <c r="A38" s="509" t="s">
        <v>563</v>
      </c>
      <c r="B38" s="227">
        <f>144.0463+0.1398</f>
        <v>144.18610000000001</v>
      </c>
      <c r="C38" s="227">
        <f>747.0709+16.2916</f>
        <v>763.36250000000007</v>
      </c>
      <c r="D38" s="227">
        <f>3.1373+0</f>
        <v>3.1373000000000002</v>
      </c>
      <c r="E38" s="227">
        <f>971.8879+308.8057</f>
        <v>1280.6936000000001</v>
      </c>
      <c r="F38" s="227">
        <f>146.9118+343.0989+0+0</f>
        <v>490.01070000000004</v>
      </c>
      <c r="G38" s="227">
        <f>36715.8448+5120.6478</f>
        <v>41836.492599999998</v>
      </c>
      <c r="H38" s="227">
        <v>0</v>
      </c>
      <c r="I38" s="227">
        <v>0</v>
      </c>
      <c r="J38" s="227">
        <v>0</v>
      </c>
      <c r="K38" s="227">
        <f>L38-SUM(B38:J38)</f>
        <v>4142.7122000000018</v>
      </c>
      <c r="L38" s="227">
        <f>42591.18+6069.415</f>
        <v>48660.595000000001</v>
      </c>
      <c r="M38" s="227">
        <v>697.19999999999993</v>
      </c>
      <c r="N38" s="227">
        <v>1426.5</v>
      </c>
      <c r="O38" s="227">
        <f t="shared" si="16"/>
        <v>2123.6999999999998</v>
      </c>
      <c r="P38" s="227">
        <v>571.59999999999991</v>
      </c>
      <c r="Q38" s="227">
        <v>463.9</v>
      </c>
      <c r="R38" s="227">
        <v>950.1</v>
      </c>
      <c r="S38" s="227">
        <v>2824</v>
      </c>
      <c r="T38" s="227">
        <v>2001.2</v>
      </c>
      <c r="U38" s="1337" t="s">
        <v>563</v>
      </c>
      <c r="V38" s="509" t="s">
        <v>563</v>
      </c>
      <c r="W38" s="227">
        <v>789.69999999999993</v>
      </c>
      <c r="X38" s="227">
        <v>671.5</v>
      </c>
      <c r="Y38" s="227">
        <v>1343.5</v>
      </c>
      <c r="Z38" s="227">
        <v>7265.8</v>
      </c>
      <c r="AA38" s="227">
        <v>3556.9</v>
      </c>
      <c r="AB38" s="227">
        <v>243.2</v>
      </c>
      <c r="AC38" s="227">
        <v>2673.2</v>
      </c>
      <c r="AD38" s="227">
        <v>954.90000000000009</v>
      </c>
      <c r="AE38" s="227">
        <v>3329.6000000000004</v>
      </c>
      <c r="AF38" s="227">
        <v>3367.7000000000003</v>
      </c>
      <c r="AG38" s="227">
        <v>3910.4</v>
      </c>
      <c r="AH38" s="227">
        <v>9309.9</v>
      </c>
      <c r="AI38" s="227">
        <v>1703.2</v>
      </c>
      <c r="AJ38" s="227">
        <v>4489.5</v>
      </c>
      <c r="AK38" s="227">
        <v>3092.3</v>
      </c>
      <c r="AL38" s="227">
        <v>16565.829999999998</v>
      </c>
      <c r="AM38" s="227">
        <f t="shared" ref="AM38" si="23">SUM(P38:T38)+SUM(W38:AL38)</f>
        <v>70077.930000000008</v>
      </c>
      <c r="AN38" s="227">
        <f t="shared" si="18"/>
        <v>72201.63</v>
      </c>
      <c r="AO38" s="227">
        <f t="shared" si="19"/>
        <v>-23541.035000000003</v>
      </c>
      <c r="AP38" s="1337" t="s">
        <v>563</v>
      </c>
      <c r="AQ38" s="1059"/>
      <c r="AR38" s="1059"/>
      <c r="AS38" s="1059"/>
      <c r="AT38" s="1059"/>
      <c r="AV38" s="1059"/>
      <c r="AW38" s="1059"/>
      <c r="AX38" s="1059"/>
      <c r="AY38" s="1059"/>
      <c r="AZ38" s="1059"/>
    </row>
    <row r="39" spans="1:57" s="271" customFormat="1" ht="11.45" customHeight="1">
      <c r="A39" s="1257" t="s">
        <v>564</v>
      </c>
      <c r="B39" s="285">
        <f>127.7172+0</f>
        <v>127.71720000000001</v>
      </c>
      <c r="C39" s="285">
        <f>587.6181+10.7624</f>
        <v>598.38049999999998</v>
      </c>
      <c r="D39" s="285">
        <f>4.9316+0</f>
        <v>4.9316000000000004</v>
      </c>
      <c r="E39" s="285">
        <f>811.3941+373.1235</f>
        <v>1184.5175999999999</v>
      </c>
      <c r="F39" s="285">
        <f>117.5993+242.2345+0+0</f>
        <v>359.8338</v>
      </c>
      <c r="G39" s="285">
        <f>33995.7321+4152.3112</f>
        <v>38148.043300000005</v>
      </c>
      <c r="H39" s="285">
        <v>0</v>
      </c>
      <c r="I39" s="285">
        <v>0</v>
      </c>
      <c r="J39" s="285">
        <v>0.25190000000000001</v>
      </c>
      <c r="K39" s="285">
        <f t="shared" ref="K39:K43" si="24">L39-SUM(B39:J39)</f>
        <v>3768.1491999999926</v>
      </c>
      <c r="L39" s="285">
        <f>39068.6654+5123.1597</f>
        <v>44191.825100000002</v>
      </c>
      <c r="M39" s="285">
        <v>1105.8999999999999</v>
      </c>
      <c r="N39" s="285">
        <v>1152.3999999999999</v>
      </c>
      <c r="O39" s="285">
        <f t="shared" si="16"/>
        <v>2258.2999999999997</v>
      </c>
      <c r="P39" s="285">
        <v>502.4</v>
      </c>
      <c r="Q39" s="285">
        <v>442.70000000000005</v>
      </c>
      <c r="R39" s="285">
        <v>1703.1</v>
      </c>
      <c r="S39" s="285">
        <v>3613.1000000000004</v>
      </c>
      <c r="T39" s="285">
        <v>1639.4</v>
      </c>
      <c r="U39" s="1333" t="s">
        <v>564</v>
      </c>
      <c r="V39" s="1257" t="s">
        <v>564</v>
      </c>
      <c r="W39" s="285">
        <v>1713</v>
      </c>
      <c r="X39" s="285">
        <v>591.20000000000005</v>
      </c>
      <c r="Y39" s="285">
        <v>1179.5999999999999</v>
      </c>
      <c r="Z39" s="285">
        <v>8133.9000000000005</v>
      </c>
      <c r="AA39" s="285">
        <v>2761.1000000000004</v>
      </c>
      <c r="AB39" s="285">
        <v>186.70000000000002</v>
      </c>
      <c r="AC39" s="285">
        <v>1630.2</v>
      </c>
      <c r="AD39" s="285">
        <v>781.10000000000014</v>
      </c>
      <c r="AE39" s="285">
        <v>2705.5</v>
      </c>
      <c r="AF39" s="285">
        <v>3603.8</v>
      </c>
      <c r="AG39" s="285">
        <v>3127.5</v>
      </c>
      <c r="AH39" s="285">
        <v>8092.5</v>
      </c>
      <c r="AI39" s="285">
        <v>1548.3</v>
      </c>
      <c r="AJ39" s="285">
        <v>3834.9</v>
      </c>
      <c r="AK39" s="285">
        <v>2163.2199999999998</v>
      </c>
      <c r="AL39" s="285">
        <v>14841.469999999998</v>
      </c>
      <c r="AM39" s="285">
        <f t="shared" ref="AM39" si="25">SUM(P39:T39)+SUM(W39:AL39)</f>
        <v>64794.69</v>
      </c>
      <c r="AN39" s="285">
        <f t="shared" si="18"/>
        <v>67052.990000000005</v>
      </c>
      <c r="AO39" s="285">
        <f t="shared" si="19"/>
        <v>-22861.164900000003</v>
      </c>
      <c r="AP39" s="1333" t="s">
        <v>564</v>
      </c>
      <c r="AQ39" s="262"/>
      <c r="AR39" s="1059"/>
      <c r="AS39" s="1059"/>
      <c r="AT39" s="1059"/>
      <c r="AU39" s="257"/>
      <c r="AV39" s="1059"/>
      <c r="AW39" s="1059"/>
      <c r="AX39" s="1059"/>
      <c r="AY39" s="1059"/>
      <c r="AZ39" s="1059"/>
      <c r="BA39" s="257"/>
      <c r="BB39" s="257"/>
      <c r="BC39" s="257"/>
      <c r="BD39" s="257"/>
      <c r="BE39" s="257"/>
    </row>
    <row r="40" spans="1:57" s="271" customFormat="1" ht="11.45" customHeight="1">
      <c r="A40" s="509" t="s">
        <v>556</v>
      </c>
      <c r="B40" s="227">
        <f>125.4589+0</f>
        <v>125.4589</v>
      </c>
      <c r="C40" s="227">
        <f>723.8392+18.0446</f>
        <v>741.88379999999995</v>
      </c>
      <c r="D40" s="227">
        <f>0.6186+0</f>
        <v>0.61860000000000004</v>
      </c>
      <c r="E40" s="227">
        <f>896.2482+316.0141</f>
        <v>1212.2622999999999</v>
      </c>
      <c r="F40" s="227">
        <f>135.5657+168.5789+0+0</f>
        <v>304.14459999999997</v>
      </c>
      <c r="G40" s="227">
        <f>35402.9599+4489.7223</f>
        <v>39892.682200000003</v>
      </c>
      <c r="H40" s="227">
        <v>0</v>
      </c>
      <c r="I40" s="227">
        <v>0</v>
      </c>
      <c r="J40" s="227">
        <v>0</v>
      </c>
      <c r="K40" s="227">
        <f t="shared" si="24"/>
        <v>4049.2698999999993</v>
      </c>
      <c r="L40" s="227">
        <f>40691.6458+5634.6745</f>
        <v>46326.320299999999</v>
      </c>
      <c r="M40" s="227">
        <v>1482.1</v>
      </c>
      <c r="N40" s="227">
        <v>1501</v>
      </c>
      <c r="O40" s="227">
        <f t="shared" si="16"/>
        <v>2983.1</v>
      </c>
      <c r="P40" s="227">
        <v>589.4</v>
      </c>
      <c r="Q40" s="227">
        <v>493.6</v>
      </c>
      <c r="R40" s="227">
        <v>1323.3000000000002</v>
      </c>
      <c r="S40" s="227">
        <v>3862.8</v>
      </c>
      <c r="T40" s="227">
        <v>1154.0999999999999</v>
      </c>
      <c r="U40" s="1337" t="s">
        <v>556</v>
      </c>
      <c r="V40" s="509" t="s">
        <v>556</v>
      </c>
      <c r="W40" s="227">
        <v>1450.3</v>
      </c>
      <c r="X40" s="227">
        <v>542.79999999999995</v>
      </c>
      <c r="Y40" s="227">
        <v>318.10000000000002</v>
      </c>
      <c r="Z40" s="227">
        <v>13368.300000000001</v>
      </c>
      <c r="AA40" s="227">
        <v>3439.7</v>
      </c>
      <c r="AB40" s="227">
        <v>271.2</v>
      </c>
      <c r="AC40" s="227">
        <v>2169.9</v>
      </c>
      <c r="AD40" s="227">
        <v>844.3</v>
      </c>
      <c r="AE40" s="227">
        <v>3153.9</v>
      </c>
      <c r="AF40" s="227">
        <v>3565.8</v>
      </c>
      <c r="AG40" s="227">
        <v>3454.7</v>
      </c>
      <c r="AH40" s="227">
        <v>8114</v>
      </c>
      <c r="AI40" s="227">
        <v>1643.3999999999999</v>
      </c>
      <c r="AJ40" s="227">
        <v>4704.7</v>
      </c>
      <c r="AK40" s="227">
        <v>2831.2518867255772</v>
      </c>
      <c r="AL40" s="227">
        <v>14674.899999999996</v>
      </c>
      <c r="AM40" s="227">
        <f>SUM(P40:T40)+SUM(W40:AL40)</f>
        <v>71970.451886725568</v>
      </c>
      <c r="AN40" s="227">
        <f t="shared" si="18"/>
        <v>74953.551886725574</v>
      </c>
      <c r="AO40" s="227">
        <f t="shared" si="19"/>
        <v>-28627.231586725575</v>
      </c>
      <c r="AP40" s="1337" t="s">
        <v>556</v>
      </c>
      <c r="AQ40" s="1059"/>
      <c r="AR40" s="1059"/>
      <c r="AS40" s="1059"/>
      <c r="AT40" s="1059"/>
      <c r="AU40" s="257"/>
      <c r="AV40" s="1059"/>
      <c r="AW40" s="1059"/>
      <c r="AX40" s="1059"/>
      <c r="AY40" s="1059"/>
      <c r="AZ40" s="1059"/>
      <c r="BA40" s="257"/>
      <c r="BB40" s="257"/>
      <c r="BC40" s="257"/>
      <c r="BD40" s="257"/>
      <c r="BE40" s="257"/>
    </row>
    <row r="41" spans="1:57" s="271" customFormat="1" ht="11.45" customHeight="1">
      <c r="A41" s="1257" t="s">
        <v>565</v>
      </c>
      <c r="B41" s="285">
        <f>154.0464+0</f>
        <v>154.04640000000001</v>
      </c>
      <c r="C41" s="285">
        <f>826.4705+21.4691</f>
        <v>847.93960000000004</v>
      </c>
      <c r="D41" s="285">
        <f>2.7525+0</f>
        <v>2.7524999999999999</v>
      </c>
      <c r="E41" s="285">
        <f>789.1757+376.1371</f>
        <v>1165.3127999999999</v>
      </c>
      <c r="F41" s="285">
        <f>124.0665+155.322+0+0</f>
        <v>279.38850000000002</v>
      </c>
      <c r="G41" s="285">
        <f>35052.769+4044.2588</f>
        <v>39097.027800000003</v>
      </c>
      <c r="H41" s="285">
        <v>0</v>
      </c>
      <c r="I41" s="285">
        <v>0</v>
      </c>
      <c r="J41" s="285">
        <v>0</v>
      </c>
      <c r="K41" s="285">
        <f t="shared" si="24"/>
        <v>4453.6989999999932</v>
      </c>
      <c r="L41" s="285">
        <f>40760.0389+5240.1277</f>
        <v>46000.166599999997</v>
      </c>
      <c r="M41" s="285">
        <v>2153.6</v>
      </c>
      <c r="N41" s="285">
        <v>1549.5</v>
      </c>
      <c r="O41" s="285">
        <f t="shared" si="16"/>
        <v>3703.1</v>
      </c>
      <c r="P41" s="285">
        <v>365.1</v>
      </c>
      <c r="Q41" s="285">
        <v>425.3</v>
      </c>
      <c r="R41" s="285">
        <v>1173.9000000000001</v>
      </c>
      <c r="S41" s="285">
        <v>3041.6</v>
      </c>
      <c r="T41" s="285">
        <v>631.80000000000007</v>
      </c>
      <c r="U41" s="1333" t="s">
        <v>565</v>
      </c>
      <c r="V41" s="1257" t="s">
        <v>565</v>
      </c>
      <c r="W41" s="285">
        <v>1151.8</v>
      </c>
      <c r="X41" s="285">
        <v>816.6</v>
      </c>
      <c r="Y41" s="285">
        <v>1013.2</v>
      </c>
      <c r="Z41" s="285">
        <v>12305.000000000002</v>
      </c>
      <c r="AA41" s="285">
        <v>3229.7</v>
      </c>
      <c r="AB41" s="285">
        <v>188</v>
      </c>
      <c r="AC41" s="285">
        <v>1158.0999999999999</v>
      </c>
      <c r="AD41" s="285">
        <v>828.59999999999991</v>
      </c>
      <c r="AE41" s="285">
        <v>3566.6</v>
      </c>
      <c r="AF41" s="285">
        <v>4178.5</v>
      </c>
      <c r="AG41" s="285">
        <v>3684.2999999999997</v>
      </c>
      <c r="AH41" s="285">
        <v>8816.2000000000007</v>
      </c>
      <c r="AI41" s="285">
        <v>1621.1</v>
      </c>
      <c r="AJ41" s="285">
        <v>5531.8000000000011</v>
      </c>
      <c r="AK41" s="285">
        <v>4867.51</v>
      </c>
      <c r="AL41" s="285">
        <v>15719.210000000003</v>
      </c>
      <c r="AM41" s="285">
        <f>SUM(P41:T41)+SUM(W41:AL41)</f>
        <v>74313.919999999998</v>
      </c>
      <c r="AN41" s="285">
        <f>O41+AM41</f>
        <v>78017.02</v>
      </c>
      <c r="AO41" s="285">
        <f t="shared" si="19"/>
        <v>-32016.853400000007</v>
      </c>
      <c r="AP41" s="1333" t="s">
        <v>565</v>
      </c>
      <c r="AQ41" s="262"/>
      <c r="AR41" s="1059"/>
      <c r="AS41" s="1059"/>
      <c r="AT41" s="1059"/>
      <c r="AU41" s="257"/>
      <c r="AV41" s="1059"/>
      <c r="AW41" s="1059"/>
      <c r="AX41" s="1059"/>
      <c r="AY41" s="1059"/>
      <c r="AZ41" s="1059"/>
    </row>
    <row r="42" spans="1:57" s="271" customFormat="1" ht="11.45" customHeight="1">
      <c r="A42" s="509" t="s">
        <v>566</v>
      </c>
      <c r="B42" s="227">
        <f>163.138+0</f>
        <v>163.13800000000001</v>
      </c>
      <c r="C42" s="227">
        <f>688.2866+13.187</f>
        <v>701.47360000000003</v>
      </c>
      <c r="D42" s="227">
        <f>3.1983+0</f>
        <v>3.1983000000000001</v>
      </c>
      <c r="E42" s="227">
        <f>832.35+282.64</f>
        <v>1114.99</v>
      </c>
      <c r="F42" s="227">
        <f>139.9204+212.906+0+0</f>
        <v>352.82640000000004</v>
      </c>
      <c r="G42" s="227">
        <f>32549.5158999999+4234.3088</f>
        <v>36783.824699999903</v>
      </c>
      <c r="H42" s="227">
        <v>0</v>
      </c>
      <c r="I42" s="227">
        <v>0</v>
      </c>
      <c r="J42" s="227">
        <v>0</v>
      </c>
      <c r="K42" s="227">
        <f t="shared" si="24"/>
        <v>4228.5308000001023</v>
      </c>
      <c r="L42" s="227">
        <f>37662.1051+5685.8767</f>
        <v>43347.981800000001</v>
      </c>
      <c r="M42" s="227">
        <v>464.3</v>
      </c>
      <c r="N42" s="227">
        <v>1651</v>
      </c>
      <c r="O42" s="227">
        <f t="shared" si="16"/>
        <v>2115.3000000000002</v>
      </c>
      <c r="P42" s="227">
        <v>565.20000000000005</v>
      </c>
      <c r="Q42" s="227">
        <v>516.80000000000007</v>
      </c>
      <c r="R42" s="227">
        <v>923.8</v>
      </c>
      <c r="S42" s="227">
        <v>2709.6</v>
      </c>
      <c r="T42" s="227">
        <v>407.29999999999995</v>
      </c>
      <c r="U42" s="1337" t="s">
        <v>566</v>
      </c>
      <c r="V42" s="509" t="s">
        <v>566</v>
      </c>
      <c r="W42" s="227">
        <v>880.4</v>
      </c>
      <c r="X42" s="227">
        <v>722.4</v>
      </c>
      <c r="Y42" s="227">
        <v>2238.9</v>
      </c>
      <c r="Z42" s="227">
        <v>9851.2000000000007</v>
      </c>
      <c r="AA42" s="227">
        <v>3706.7</v>
      </c>
      <c r="AB42" s="227">
        <v>264.7</v>
      </c>
      <c r="AC42" s="227">
        <v>1065.0999999999999</v>
      </c>
      <c r="AD42" s="227">
        <v>807.4</v>
      </c>
      <c r="AE42" s="227">
        <v>3329.5</v>
      </c>
      <c r="AF42" s="227">
        <v>3719.8999999999996</v>
      </c>
      <c r="AG42" s="227">
        <v>3821.8</v>
      </c>
      <c r="AH42" s="227">
        <v>8286.1</v>
      </c>
      <c r="AI42" s="227">
        <v>1279.6000000000001</v>
      </c>
      <c r="AJ42" s="227">
        <v>6151.9000000000005</v>
      </c>
      <c r="AK42" s="227">
        <v>2783.32</v>
      </c>
      <c r="AL42" s="227">
        <v>14697.900000000005</v>
      </c>
      <c r="AM42" s="227">
        <f>SUM(P42:T42)+SUM(W42:AL42)</f>
        <v>68729.52</v>
      </c>
      <c r="AN42" s="227">
        <f>O42+AM42</f>
        <v>70844.820000000007</v>
      </c>
      <c r="AO42" s="227">
        <f t="shared" si="19"/>
        <v>-27496.838200000006</v>
      </c>
      <c r="AP42" s="1337" t="s">
        <v>566</v>
      </c>
      <c r="AQ42" s="1059"/>
      <c r="AR42" s="1059"/>
      <c r="AS42" s="1059"/>
      <c r="AT42" s="1059"/>
      <c r="AU42" s="257"/>
      <c r="AV42" s="1059"/>
      <c r="AW42" s="1059"/>
      <c r="AX42" s="1059"/>
      <c r="AY42" s="1059"/>
      <c r="AZ42" s="1059"/>
    </row>
    <row r="43" spans="1:57" s="271" customFormat="1" ht="11.45" customHeight="1">
      <c r="A43" s="1257" t="s">
        <v>557</v>
      </c>
      <c r="B43" s="285">
        <f>166.4732+0</f>
        <v>166.47319999999999</v>
      </c>
      <c r="C43" s="285">
        <f>605.8492+11.8998</f>
        <v>617.74900000000002</v>
      </c>
      <c r="D43" s="285">
        <f>1.6219+0</f>
        <v>1.6218999999999999</v>
      </c>
      <c r="E43" s="285">
        <f>915.6054+418.2677</f>
        <v>1333.8731</v>
      </c>
      <c r="F43" s="285">
        <f>97.9565+241.9573+0+0</f>
        <v>339.91380000000004</v>
      </c>
      <c r="G43" s="285">
        <f>31294.8383+3656.0312</f>
        <v>34950.869500000001</v>
      </c>
      <c r="H43" s="285">
        <v>0</v>
      </c>
      <c r="I43" s="285">
        <v>0</v>
      </c>
      <c r="J43" s="285">
        <v>0</v>
      </c>
      <c r="K43" s="285">
        <f t="shared" si="24"/>
        <v>3396.7638999999981</v>
      </c>
      <c r="L43" s="285">
        <f>36128.0201+4679.2443</f>
        <v>40807.2644</v>
      </c>
      <c r="M43" s="285">
        <v>529.29999999999995</v>
      </c>
      <c r="N43" s="285">
        <v>1606.1</v>
      </c>
      <c r="O43" s="285">
        <f t="shared" si="16"/>
        <v>2135.3999999999996</v>
      </c>
      <c r="P43" s="285">
        <v>608.40000000000009</v>
      </c>
      <c r="Q43" s="285">
        <v>433.2</v>
      </c>
      <c r="R43" s="285">
        <v>794.5</v>
      </c>
      <c r="S43" s="285">
        <v>2380.5</v>
      </c>
      <c r="T43" s="285">
        <v>256.7</v>
      </c>
      <c r="U43" s="1333" t="s">
        <v>557</v>
      </c>
      <c r="V43" s="1257" t="s">
        <v>557</v>
      </c>
      <c r="W43" s="285">
        <v>1190.4000000000001</v>
      </c>
      <c r="X43" s="285">
        <v>657.2</v>
      </c>
      <c r="Y43" s="285">
        <v>194</v>
      </c>
      <c r="Z43" s="285">
        <v>8686.7000000000007</v>
      </c>
      <c r="AA43" s="285">
        <v>3007.6</v>
      </c>
      <c r="AB43" s="285">
        <v>194.1</v>
      </c>
      <c r="AC43" s="285">
        <v>1818.2</v>
      </c>
      <c r="AD43" s="285">
        <v>833.09999999999991</v>
      </c>
      <c r="AE43" s="285">
        <v>2831.1000000000004</v>
      </c>
      <c r="AF43" s="285">
        <v>2687.7</v>
      </c>
      <c r="AG43" s="285">
        <v>3434.8</v>
      </c>
      <c r="AH43" s="285">
        <v>6551.9</v>
      </c>
      <c r="AI43" s="285">
        <v>1197.1000000000001</v>
      </c>
      <c r="AJ43" s="285">
        <v>4964.8</v>
      </c>
      <c r="AK43" s="285">
        <v>2690.03</v>
      </c>
      <c r="AL43" s="285">
        <v>12377.929999999997</v>
      </c>
      <c r="AM43" s="285">
        <f>SUM(P43:T43)+SUM(W43:AL43)</f>
        <v>57789.960000000006</v>
      </c>
      <c r="AN43" s="285">
        <f>O43+AM43</f>
        <v>59925.360000000008</v>
      </c>
      <c r="AO43" s="285">
        <f t="shared" si="19"/>
        <v>-19118.095600000008</v>
      </c>
      <c r="AP43" s="1333" t="s">
        <v>557</v>
      </c>
      <c r="AQ43" s="1774"/>
      <c r="AR43" s="1059"/>
      <c r="AS43" s="1059"/>
      <c r="AT43" s="1059"/>
      <c r="AV43" s="1059"/>
      <c r="AW43" s="1059"/>
      <c r="AX43" s="1059"/>
      <c r="AY43" s="1059"/>
      <c r="AZ43" s="1059"/>
    </row>
    <row r="44" spans="1:57" s="271" customFormat="1" ht="12.75" customHeight="1">
      <c r="A44" s="1533" t="s">
        <v>2754</v>
      </c>
      <c r="B44" s="845"/>
      <c r="C44" s="845"/>
      <c r="D44" s="845"/>
      <c r="E44" s="845"/>
      <c r="F44" s="845"/>
      <c r="G44" s="845"/>
      <c r="H44" s="845"/>
      <c r="I44" s="845"/>
      <c r="J44" s="845"/>
      <c r="K44" s="845"/>
      <c r="L44" s="845"/>
      <c r="M44" s="845"/>
      <c r="N44" s="845"/>
      <c r="O44" s="845"/>
      <c r="P44" s="845"/>
      <c r="Q44" s="845"/>
      <c r="R44" s="845"/>
      <c r="S44" s="845"/>
      <c r="T44" s="845"/>
      <c r="U44" s="460" t="s">
        <v>2754</v>
      </c>
      <c r="V44" s="101" t="s">
        <v>2754</v>
      </c>
      <c r="W44" s="845"/>
      <c r="X44" s="845"/>
      <c r="Y44" s="845"/>
      <c r="Z44" s="845"/>
      <c r="AA44" s="845"/>
      <c r="AB44" s="845"/>
      <c r="AC44" s="845"/>
      <c r="AD44" s="845"/>
      <c r="AE44" s="845"/>
      <c r="AF44" s="845"/>
      <c r="AG44" s="845"/>
      <c r="AH44" s="845"/>
      <c r="AI44" s="845"/>
      <c r="AJ44" s="845"/>
      <c r="AK44" s="845"/>
      <c r="AL44" s="845"/>
      <c r="AM44" s="845"/>
      <c r="AN44" s="845"/>
      <c r="AO44" s="845"/>
      <c r="AP44" s="460" t="s">
        <v>2754</v>
      </c>
      <c r="AR44" s="1059"/>
      <c r="AS44" s="1059"/>
    </row>
    <row r="45" spans="1:57" s="271" customFormat="1" ht="11.45" customHeight="1">
      <c r="A45" s="1257" t="s">
        <v>559</v>
      </c>
      <c r="B45" s="285">
        <f>101.8442+0</f>
        <v>101.8442</v>
      </c>
      <c r="C45" s="285">
        <f>722.5624+17.4346</f>
        <v>739.99700000000007</v>
      </c>
      <c r="D45" s="285">
        <f>3.5214+0</f>
        <v>3.5213999999999999</v>
      </c>
      <c r="E45" s="285">
        <f>852.398+379.174</f>
        <v>1231.5720000000001</v>
      </c>
      <c r="F45" s="285">
        <f>301.0734+158.6468+0+0</f>
        <v>459.72019999999998</v>
      </c>
      <c r="G45" s="285">
        <f>36912.4843+4957.885</f>
        <v>41870.369299999998</v>
      </c>
      <c r="H45" s="285">
        <v>0</v>
      </c>
      <c r="I45" s="285">
        <v>0</v>
      </c>
      <c r="J45" s="285">
        <v>0</v>
      </c>
      <c r="K45" s="285">
        <f>L45-SUM(B45:J45)</f>
        <v>4066.3267000000051</v>
      </c>
      <c r="L45" s="285">
        <f>42320.7174+6152.6334</f>
        <v>48473.3508</v>
      </c>
      <c r="M45" s="285">
        <v>317.8</v>
      </c>
      <c r="N45" s="285">
        <v>1195.4000000000001</v>
      </c>
      <c r="O45" s="285">
        <f t="shared" ref="O45:O52" si="26">M45+N45</f>
        <v>1513.2</v>
      </c>
      <c r="P45" s="285">
        <v>762.3</v>
      </c>
      <c r="Q45" s="285">
        <v>412.2</v>
      </c>
      <c r="R45" s="285">
        <v>897.7</v>
      </c>
      <c r="S45" s="285">
        <v>2247</v>
      </c>
      <c r="T45" s="285">
        <v>663.3</v>
      </c>
      <c r="U45" s="1333" t="s">
        <v>559</v>
      </c>
      <c r="V45" s="1257" t="s">
        <v>559</v>
      </c>
      <c r="W45" s="285">
        <v>664.3</v>
      </c>
      <c r="X45" s="285">
        <v>831.40000000000009</v>
      </c>
      <c r="Y45" s="285">
        <v>1623.7</v>
      </c>
      <c r="Z45" s="285">
        <v>9799.2999999999993</v>
      </c>
      <c r="AA45" s="285">
        <v>4218.8</v>
      </c>
      <c r="AB45" s="285">
        <v>289</v>
      </c>
      <c r="AC45" s="285">
        <v>1635</v>
      </c>
      <c r="AD45" s="285">
        <v>888.4</v>
      </c>
      <c r="AE45" s="285">
        <v>3487</v>
      </c>
      <c r="AF45" s="285">
        <v>3610.3</v>
      </c>
      <c r="AG45" s="285">
        <v>3859.6</v>
      </c>
      <c r="AH45" s="285">
        <v>8197.7999999999993</v>
      </c>
      <c r="AI45" s="285">
        <v>1259.3</v>
      </c>
      <c r="AJ45" s="285">
        <v>5728</v>
      </c>
      <c r="AK45" s="285">
        <v>5443.6719451307654</v>
      </c>
      <c r="AL45" s="285">
        <v>14502.560083577066</v>
      </c>
      <c r="AM45" s="285">
        <f>SUM(P45:T45)+SUM(W45:AL45)</f>
        <v>71020.632028707827</v>
      </c>
      <c r="AN45" s="285">
        <f>O45+AM45</f>
        <v>72533.832028707824</v>
      </c>
      <c r="AO45" s="285">
        <f t="shared" ref="AO45:AO52" si="27">L45-AN45</f>
        <v>-24060.481228707824</v>
      </c>
      <c r="AP45" s="1333" t="s">
        <v>559</v>
      </c>
      <c r="AQ45" s="1059"/>
      <c r="AR45" s="1059"/>
      <c r="AS45" s="1059"/>
      <c r="AT45" s="1059"/>
      <c r="AV45" s="1059"/>
      <c r="AW45" s="1059"/>
      <c r="AX45" s="1059"/>
      <c r="AY45" s="1059"/>
      <c r="AZ45" s="1059"/>
    </row>
    <row r="46" spans="1:57" s="271" customFormat="1" ht="11.45" customHeight="1">
      <c r="A46" s="509" t="s">
        <v>112</v>
      </c>
      <c r="B46" s="227">
        <f>123.705+0</f>
        <v>123.705</v>
      </c>
      <c r="C46" s="227">
        <f>657.7631+19.4673</f>
        <v>677.23040000000003</v>
      </c>
      <c r="D46" s="227">
        <v>1.0553999999999999</v>
      </c>
      <c r="E46" s="227">
        <f>943.4499+384.06</f>
        <v>1327.5099</v>
      </c>
      <c r="F46" s="227">
        <f>162.5836+260.4098+0+0</f>
        <v>422.99340000000001</v>
      </c>
      <c r="G46" s="227">
        <f>35350.1834+4422.8029</f>
        <v>39772.986300000004</v>
      </c>
      <c r="H46" s="227">
        <v>0</v>
      </c>
      <c r="I46" s="227">
        <v>0</v>
      </c>
      <c r="J46" s="227">
        <v>0</v>
      </c>
      <c r="K46" s="227">
        <f>L46-SUM(B46:J46)</f>
        <v>3909.2163</v>
      </c>
      <c r="L46" s="227">
        <f>40662.5856+5572.1111</f>
        <v>46234.6967</v>
      </c>
      <c r="M46" s="227">
        <v>200.3</v>
      </c>
      <c r="N46" s="227">
        <v>800.40000000000009</v>
      </c>
      <c r="O46" s="227">
        <f t="shared" si="26"/>
        <v>1000.7</v>
      </c>
      <c r="P46" s="227">
        <v>360.20000000000005</v>
      </c>
      <c r="Q46" s="227">
        <v>366.40000000000003</v>
      </c>
      <c r="R46" s="227">
        <v>490.6</v>
      </c>
      <c r="S46" s="227">
        <v>2214.5</v>
      </c>
      <c r="T46" s="227">
        <v>277</v>
      </c>
      <c r="U46" s="1337" t="s">
        <v>112</v>
      </c>
      <c r="V46" s="509" t="s">
        <v>112</v>
      </c>
      <c r="W46" s="227">
        <v>1281.0999999999999</v>
      </c>
      <c r="X46" s="227">
        <v>499.3</v>
      </c>
      <c r="Y46" s="227">
        <v>1191.5999999999999</v>
      </c>
      <c r="Z46" s="227">
        <v>8118</v>
      </c>
      <c r="AA46" s="227">
        <v>3042.7</v>
      </c>
      <c r="AB46" s="227">
        <v>233.5</v>
      </c>
      <c r="AC46" s="227">
        <v>1775.4</v>
      </c>
      <c r="AD46" s="227">
        <v>726.9</v>
      </c>
      <c r="AE46" s="227">
        <v>2886.5</v>
      </c>
      <c r="AF46" s="227">
        <v>2842</v>
      </c>
      <c r="AG46" s="227">
        <v>3314.1</v>
      </c>
      <c r="AH46" s="227">
        <v>7268.7999999999993</v>
      </c>
      <c r="AI46" s="227">
        <v>1143.4000000000001</v>
      </c>
      <c r="AJ46" s="227">
        <v>4844.8</v>
      </c>
      <c r="AK46" s="227">
        <v>2593.6824149004315</v>
      </c>
      <c r="AL46" s="227">
        <v>11980.219154550337</v>
      </c>
      <c r="AM46" s="227">
        <f>SUM(P46:T46)+SUM(W46:AL46)</f>
        <v>57450.701569450765</v>
      </c>
      <c r="AN46" s="227">
        <f>O46+AM46</f>
        <v>58451.401569450762</v>
      </c>
      <c r="AO46" s="227">
        <f t="shared" si="27"/>
        <v>-12216.704869450761</v>
      </c>
      <c r="AP46" s="1337" t="s">
        <v>112</v>
      </c>
      <c r="AQ46" s="1059"/>
      <c r="AR46" s="1059"/>
      <c r="AS46" s="1059"/>
      <c r="AT46" s="1059"/>
      <c r="AV46" s="1059"/>
      <c r="AW46" s="1059"/>
      <c r="AX46" s="1059"/>
      <c r="AY46" s="1059"/>
      <c r="AZ46" s="1059"/>
    </row>
    <row r="47" spans="1:57" s="271" customFormat="1" ht="11.45" customHeight="1">
      <c r="A47" s="1257" t="s">
        <v>554</v>
      </c>
      <c r="B47" s="285">
        <f>203.0964+0.3119</f>
        <v>203.4083</v>
      </c>
      <c r="C47" s="285">
        <f>666.9236+25.1864</f>
        <v>692.11</v>
      </c>
      <c r="D47" s="285">
        <f>2.375+0</f>
        <v>2.375</v>
      </c>
      <c r="E47" s="285">
        <f>920.1397+458.8919</f>
        <v>1379.0316</v>
      </c>
      <c r="F47" s="285">
        <f>295.0223+164.4473+0+0</f>
        <v>459.46960000000001</v>
      </c>
      <c r="G47" s="285">
        <f>33567.2198+4251.2548</f>
        <v>37818.474600000001</v>
      </c>
      <c r="H47" s="285">
        <v>0</v>
      </c>
      <c r="I47" s="285">
        <v>5.1999999999999998E-2</v>
      </c>
      <c r="J47" s="285">
        <v>0</v>
      </c>
      <c r="K47" s="285">
        <f>L47-SUM(B47:J47)</f>
        <v>4166.2296999999962</v>
      </c>
      <c r="L47" s="285">
        <f>39320.1226+5401.0282</f>
        <v>44721.150800000003</v>
      </c>
      <c r="M47" s="285">
        <v>981.8</v>
      </c>
      <c r="N47" s="285">
        <v>826.90000000000009</v>
      </c>
      <c r="O47" s="285">
        <f t="shared" si="26"/>
        <v>1808.7</v>
      </c>
      <c r="P47" s="285">
        <v>459.9</v>
      </c>
      <c r="Q47" s="285">
        <v>378.5</v>
      </c>
      <c r="R47" s="285">
        <v>1043.4000000000001</v>
      </c>
      <c r="S47" s="285">
        <v>1924</v>
      </c>
      <c r="T47" s="285">
        <v>282.10000000000002</v>
      </c>
      <c r="U47" s="1333" t="s">
        <v>554</v>
      </c>
      <c r="V47" s="1257" t="s">
        <v>554</v>
      </c>
      <c r="W47" s="285">
        <v>473.4</v>
      </c>
      <c r="X47" s="285">
        <v>612.70000000000005</v>
      </c>
      <c r="Y47" s="285">
        <v>1575.6999999999998</v>
      </c>
      <c r="Z47" s="285">
        <v>9231.8000000000011</v>
      </c>
      <c r="AA47" s="285">
        <v>3519.1000000000004</v>
      </c>
      <c r="AB47" s="285">
        <v>245.8</v>
      </c>
      <c r="AC47" s="285">
        <v>2928.7</v>
      </c>
      <c r="AD47" s="285">
        <v>820.69999999999993</v>
      </c>
      <c r="AE47" s="285">
        <v>3078.3999999999996</v>
      </c>
      <c r="AF47" s="285">
        <v>2844.8</v>
      </c>
      <c r="AG47" s="285">
        <v>3588.7</v>
      </c>
      <c r="AH47" s="285">
        <v>7658.4</v>
      </c>
      <c r="AI47" s="285">
        <v>1249.3999999999999</v>
      </c>
      <c r="AJ47" s="285">
        <v>5050.3999999999996</v>
      </c>
      <c r="AK47" s="285">
        <v>3032.0021093544201</v>
      </c>
      <c r="AL47" s="285">
        <v>14428.881801355401</v>
      </c>
      <c r="AM47" s="285">
        <f>SUM(P47:T47)+SUM(W47:AL47)</f>
        <v>64426.783910709833</v>
      </c>
      <c r="AN47" s="285">
        <f>O47+AM47</f>
        <v>66235.483910709838</v>
      </c>
      <c r="AO47" s="285">
        <f t="shared" si="27"/>
        <v>-21514.333110709835</v>
      </c>
      <c r="AP47" s="1333" t="s">
        <v>554</v>
      </c>
      <c r="AR47" s="1059"/>
      <c r="AS47" s="1059"/>
      <c r="AW47" s="1059"/>
      <c r="AX47" s="1059"/>
      <c r="AY47" s="1059"/>
      <c r="AZ47" s="1059"/>
    </row>
    <row r="48" spans="1:57" s="271" customFormat="1" ht="11.45" customHeight="1">
      <c r="A48" s="509" t="s">
        <v>561</v>
      </c>
      <c r="B48" s="227">
        <v>65.008300000000006</v>
      </c>
      <c r="C48" s="227">
        <v>671.11680000000001</v>
      </c>
      <c r="D48" s="227">
        <v>4.5335999999999999</v>
      </c>
      <c r="E48" s="227">
        <v>1225.1213</v>
      </c>
      <c r="F48" s="227">
        <v>399.82500000000005</v>
      </c>
      <c r="G48" s="227">
        <v>35585.334999999999</v>
      </c>
      <c r="H48" s="227">
        <v>0</v>
      </c>
      <c r="I48" s="227">
        <v>0</v>
      </c>
      <c r="J48" s="227">
        <v>0</v>
      </c>
      <c r="K48" s="227">
        <f t="shared" ref="K48:K50" si="28">L48-SUM(B48:J48)</f>
        <v>4086.0598000000027</v>
      </c>
      <c r="L48" s="227">
        <v>42036.999800000005</v>
      </c>
      <c r="M48" s="227">
        <v>743.9</v>
      </c>
      <c r="N48" s="227">
        <v>2223.1999999999998</v>
      </c>
      <c r="O48" s="227">
        <f t="shared" si="26"/>
        <v>2967.1</v>
      </c>
      <c r="P48" s="227">
        <v>311.2</v>
      </c>
      <c r="Q48" s="227">
        <v>352.59999999999997</v>
      </c>
      <c r="R48" s="227">
        <v>1322.1</v>
      </c>
      <c r="S48" s="227">
        <v>2389.5</v>
      </c>
      <c r="T48" s="227">
        <v>643.29999999999995</v>
      </c>
      <c r="U48" s="1337" t="s">
        <v>561</v>
      </c>
      <c r="V48" s="509" t="s">
        <v>561</v>
      </c>
      <c r="W48" s="227">
        <v>564.20000000000005</v>
      </c>
      <c r="X48" s="227">
        <v>496.2</v>
      </c>
      <c r="Y48" s="227">
        <v>1006.5999999999999</v>
      </c>
      <c r="Z48" s="227">
        <v>9366.4999999999982</v>
      </c>
      <c r="AA48" s="227">
        <v>3134.3999999999996</v>
      </c>
      <c r="AB48" s="227">
        <v>158.9</v>
      </c>
      <c r="AC48" s="227">
        <v>3100</v>
      </c>
      <c r="AD48" s="227">
        <v>771.2</v>
      </c>
      <c r="AE48" s="227">
        <v>2840.4999999999995</v>
      </c>
      <c r="AF48" s="227">
        <v>2672.6</v>
      </c>
      <c r="AG48" s="227">
        <v>3412.1000000000004</v>
      </c>
      <c r="AH48" s="227">
        <v>6894.1</v>
      </c>
      <c r="AI48" s="227">
        <v>1127.5</v>
      </c>
      <c r="AJ48" s="227">
        <v>4204.7</v>
      </c>
      <c r="AK48" s="227">
        <v>2687.8872543085085</v>
      </c>
      <c r="AL48" s="227">
        <v>14340.748290847867</v>
      </c>
      <c r="AM48" s="227">
        <f t="shared" ref="AM48:AM49" si="29">SUM(P48:T48)+SUM(W48:AL48)</f>
        <v>61796.835545156369</v>
      </c>
      <c r="AN48" s="227">
        <f t="shared" ref="AN48:AN52" si="30">O48+AM48</f>
        <v>64763.935545156368</v>
      </c>
      <c r="AO48" s="227">
        <f t="shared" si="27"/>
        <v>-22726.935745156363</v>
      </c>
      <c r="AP48" s="1337" t="s">
        <v>561</v>
      </c>
      <c r="AQ48" s="1059"/>
      <c r="AR48" s="1059"/>
      <c r="AS48" s="1059"/>
      <c r="AT48" s="1059"/>
      <c r="AV48" s="1059"/>
      <c r="AW48" s="1059"/>
      <c r="AX48" s="1059"/>
      <c r="AY48" s="1059"/>
      <c r="AZ48" s="1059"/>
    </row>
    <row r="49" spans="1:57" s="36" customFormat="1" ht="11.25" customHeight="1">
      <c r="A49" s="1257" t="s">
        <v>562</v>
      </c>
      <c r="B49" s="285">
        <f>60.2485+0</f>
        <v>60.2485</v>
      </c>
      <c r="C49" s="285">
        <f>862.7409+17.9741</f>
        <v>880.71500000000003</v>
      </c>
      <c r="D49" s="285">
        <f>3.8956+0</f>
        <v>3.8956</v>
      </c>
      <c r="E49" s="285">
        <f>915.3418+354.0521</f>
        <v>1269.3939</v>
      </c>
      <c r="F49" s="285">
        <f>170.2541+297.304+0</f>
        <v>467.55809999999997</v>
      </c>
      <c r="G49" s="285">
        <f>31113.0843+3706.9254</f>
        <v>34820.009699999995</v>
      </c>
      <c r="H49" s="285">
        <v>0</v>
      </c>
      <c r="I49" s="285">
        <v>0</v>
      </c>
      <c r="J49" s="285">
        <v>6.6100000000000006E-2</v>
      </c>
      <c r="K49" s="285">
        <f t="shared" si="28"/>
        <v>4382.354900000013</v>
      </c>
      <c r="L49" s="285">
        <f>37147.5965+4736.6453</f>
        <v>41884.241800000003</v>
      </c>
      <c r="M49" s="285">
        <v>535</v>
      </c>
      <c r="N49" s="285">
        <v>2528</v>
      </c>
      <c r="O49" s="285">
        <f t="shared" si="26"/>
        <v>3063</v>
      </c>
      <c r="P49" s="285">
        <v>471.79999999999995</v>
      </c>
      <c r="Q49" s="285">
        <v>393.2</v>
      </c>
      <c r="R49" s="285">
        <v>1384.5</v>
      </c>
      <c r="S49" s="285">
        <v>2732.8999999999996</v>
      </c>
      <c r="T49" s="285">
        <v>476.6</v>
      </c>
      <c r="U49" s="1333" t="s">
        <v>562</v>
      </c>
      <c r="V49" s="1257" t="s">
        <v>562</v>
      </c>
      <c r="W49" s="285">
        <v>772.09999999999991</v>
      </c>
      <c r="X49" s="285">
        <v>459.8</v>
      </c>
      <c r="Y49" s="285">
        <v>777.09999999999991</v>
      </c>
      <c r="Z49" s="285">
        <v>7305.2</v>
      </c>
      <c r="AA49" s="285">
        <v>3758.2000000000003</v>
      </c>
      <c r="AB49" s="285">
        <v>190.7</v>
      </c>
      <c r="AC49" s="285">
        <v>7259.0999999999995</v>
      </c>
      <c r="AD49" s="285">
        <v>723.1</v>
      </c>
      <c r="AE49" s="285">
        <v>2698.1</v>
      </c>
      <c r="AF49" s="285">
        <v>2637.3</v>
      </c>
      <c r="AG49" s="285">
        <v>3110.1000000000004</v>
      </c>
      <c r="AH49" s="285">
        <v>6852.4</v>
      </c>
      <c r="AI49" s="285">
        <v>967.9</v>
      </c>
      <c r="AJ49" s="285">
        <v>3738.4</v>
      </c>
      <c r="AK49" s="285">
        <v>2638.7502910663916</v>
      </c>
      <c r="AL49" s="285">
        <v>13890.936986508699</v>
      </c>
      <c r="AM49" s="285">
        <f t="shared" si="29"/>
        <v>63238.187277575089</v>
      </c>
      <c r="AN49" s="285">
        <f t="shared" si="30"/>
        <v>66301.187277575082</v>
      </c>
      <c r="AO49" s="285">
        <f t="shared" si="27"/>
        <v>-24416.945477575078</v>
      </c>
      <c r="AP49" s="1333" t="s">
        <v>562</v>
      </c>
      <c r="AQ49" s="1059"/>
      <c r="AR49" s="1059"/>
      <c r="AS49" s="1059"/>
      <c r="AT49" s="1059"/>
      <c r="AU49" s="271"/>
      <c r="AV49" s="1059"/>
      <c r="AW49" s="1059"/>
      <c r="AX49" s="1059"/>
      <c r="AY49" s="1059"/>
      <c r="AZ49" s="1059"/>
      <c r="BA49" s="271"/>
      <c r="BB49" s="271"/>
      <c r="BC49" s="271"/>
      <c r="BD49" s="271"/>
      <c r="BE49" s="271"/>
    </row>
    <row r="50" spans="1:57" s="271" customFormat="1" ht="11.45" customHeight="1">
      <c r="A50" s="509" t="s">
        <v>555</v>
      </c>
      <c r="B50" s="227">
        <f>45+0</f>
        <v>45</v>
      </c>
      <c r="C50" s="227">
        <f>890+15</f>
        <v>905</v>
      </c>
      <c r="D50" s="227">
        <f>0+2</f>
        <v>2</v>
      </c>
      <c r="E50" s="227">
        <f>522+898</f>
        <v>1420</v>
      </c>
      <c r="F50" s="227">
        <f>164+270+0+0</f>
        <v>434</v>
      </c>
      <c r="G50" s="227">
        <f>5468+31109</f>
        <v>36577</v>
      </c>
      <c r="H50" s="227">
        <v>0</v>
      </c>
      <c r="I50" s="227">
        <v>0</v>
      </c>
      <c r="J50" s="227">
        <v>0</v>
      </c>
      <c r="K50" s="227">
        <f t="shared" si="28"/>
        <v>4063</v>
      </c>
      <c r="L50" s="227">
        <f>6662+36784</f>
        <v>43446</v>
      </c>
      <c r="M50" s="227">
        <v>528</v>
      </c>
      <c r="N50" s="227">
        <v>1813.8</v>
      </c>
      <c r="O50" s="227">
        <f t="shared" si="26"/>
        <v>2341.8000000000002</v>
      </c>
      <c r="P50" s="227">
        <v>555.5</v>
      </c>
      <c r="Q50" s="227">
        <v>410.7</v>
      </c>
      <c r="R50" s="227">
        <v>2152.4</v>
      </c>
      <c r="S50" s="227">
        <v>2322.6999999999998</v>
      </c>
      <c r="T50" s="227">
        <v>738</v>
      </c>
      <c r="U50" s="1337" t="s">
        <v>555</v>
      </c>
      <c r="V50" s="509" t="s">
        <v>555</v>
      </c>
      <c r="W50" s="227">
        <v>1506.4</v>
      </c>
      <c r="X50" s="227">
        <v>578.20000000000005</v>
      </c>
      <c r="Y50" s="227">
        <v>785.10000000000014</v>
      </c>
      <c r="Z50" s="227">
        <v>7935.2</v>
      </c>
      <c r="AA50" s="227">
        <v>3747.3999999999996</v>
      </c>
      <c r="AB50" s="227">
        <v>253</v>
      </c>
      <c r="AC50" s="227">
        <v>5248.3</v>
      </c>
      <c r="AD50" s="227">
        <v>816.40000000000009</v>
      </c>
      <c r="AE50" s="227">
        <v>3033.3</v>
      </c>
      <c r="AF50" s="227">
        <v>3176.2</v>
      </c>
      <c r="AG50" s="227">
        <v>3242.7</v>
      </c>
      <c r="AH50" s="227">
        <v>8077.5</v>
      </c>
      <c r="AI50" s="227">
        <v>1048.0999999999999</v>
      </c>
      <c r="AJ50" s="227">
        <v>5789.49</v>
      </c>
      <c r="AK50" s="227">
        <v>2787.3397498170552</v>
      </c>
      <c r="AL50" s="227">
        <v>15285.047087522329</v>
      </c>
      <c r="AM50" s="227">
        <f t="shared" ref="AM50" si="31">SUM(P50:T50)+SUM(W50:AL50)</f>
        <v>69488.976837339389</v>
      </c>
      <c r="AN50" s="227">
        <f t="shared" si="30"/>
        <v>71830.776837339392</v>
      </c>
      <c r="AO50" s="227">
        <f t="shared" si="27"/>
        <v>-28384.776837339392</v>
      </c>
      <c r="AP50" s="1337" t="s">
        <v>555</v>
      </c>
      <c r="AQ50" s="1059"/>
      <c r="AR50" s="1059"/>
      <c r="AS50" s="1059"/>
      <c r="AT50" s="1059"/>
      <c r="AV50" s="1059"/>
      <c r="AW50" s="1059"/>
      <c r="AX50" s="1059"/>
      <c r="AY50" s="1059"/>
      <c r="AZ50" s="1059"/>
    </row>
    <row r="51" spans="1:57" s="36" customFormat="1" ht="11.25" customHeight="1">
      <c r="A51" s="1257" t="s">
        <v>563</v>
      </c>
      <c r="B51" s="285">
        <f>35.25+0</f>
        <v>35.25</v>
      </c>
      <c r="C51" s="285">
        <f>808.72+21.66</f>
        <v>830.38</v>
      </c>
      <c r="D51" s="285">
        <f>3.38+0</f>
        <v>3.38</v>
      </c>
      <c r="E51" s="285">
        <f>863.42+318.7</f>
        <v>1182.1199999999999</v>
      </c>
      <c r="F51" s="285">
        <f>176.46+275.77+0+0</f>
        <v>452.23</v>
      </c>
      <c r="G51" s="285">
        <f>33254.87+4680.52</f>
        <v>37935.39</v>
      </c>
      <c r="H51" s="285">
        <v>0</v>
      </c>
      <c r="I51" s="285">
        <v>0</v>
      </c>
      <c r="J51" s="285">
        <v>0</v>
      </c>
      <c r="K51" s="285">
        <f>L51-SUM(B51:J51)</f>
        <v>4064.2000000000044</v>
      </c>
      <c r="L51" s="285">
        <f>38642.3+5860.65</f>
        <v>44502.950000000004</v>
      </c>
      <c r="M51" s="285">
        <v>697.2</v>
      </c>
      <c r="N51" s="285">
        <v>1426.5</v>
      </c>
      <c r="O51" s="285">
        <f t="shared" si="26"/>
        <v>2123.6999999999998</v>
      </c>
      <c r="P51" s="285">
        <v>571.59999999999991</v>
      </c>
      <c r="Q51" s="285">
        <v>463.9</v>
      </c>
      <c r="R51" s="285">
        <v>950.1</v>
      </c>
      <c r="S51" s="285">
        <v>2824</v>
      </c>
      <c r="T51" s="285">
        <v>2001.2</v>
      </c>
      <c r="U51" s="1333" t="s">
        <v>563</v>
      </c>
      <c r="V51" s="1257" t="s">
        <v>563</v>
      </c>
      <c r="W51" s="285">
        <v>789.69999999999993</v>
      </c>
      <c r="X51" s="285">
        <v>671.5</v>
      </c>
      <c r="Y51" s="285">
        <v>1343.5</v>
      </c>
      <c r="Z51" s="285">
        <v>7265.8</v>
      </c>
      <c r="AA51" s="285">
        <v>3556.9</v>
      </c>
      <c r="AB51" s="285">
        <v>243.2</v>
      </c>
      <c r="AC51" s="285">
        <v>2673.2</v>
      </c>
      <c r="AD51" s="285">
        <v>954.90000000000009</v>
      </c>
      <c r="AE51" s="285">
        <v>3329.6000000000004</v>
      </c>
      <c r="AF51" s="285">
        <v>3367.7000000000003</v>
      </c>
      <c r="AG51" s="285">
        <v>3910.4</v>
      </c>
      <c r="AH51" s="285">
        <v>9309.9</v>
      </c>
      <c r="AI51" s="285">
        <v>1703.2</v>
      </c>
      <c r="AJ51" s="285">
        <v>4489.5</v>
      </c>
      <c r="AK51" s="285">
        <v>3092.3</v>
      </c>
      <c r="AL51" s="285">
        <v>16565.829999999998</v>
      </c>
      <c r="AM51" s="285">
        <f t="shared" ref="AM51" si="32">SUM(P51:T51)+SUM(W51:AL51)</f>
        <v>70077.930000000008</v>
      </c>
      <c r="AN51" s="285">
        <f t="shared" si="30"/>
        <v>72201.63</v>
      </c>
      <c r="AO51" s="285">
        <f t="shared" si="27"/>
        <v>-27698.68</v>
      </c>
      <c r="AP51" s="1333" t="s">
        <v>563</v>
      </c>
      <c r="AQ51" s="1059"/>
      <c r="AR51" s="1059"/>
      <c r="AS51" s="1059"/>
      <c r="AT51" s="1059"/>
      <c r="AU51" s="271"/>
      <c r="AV51" s="1059"/>
      <c r="AW51" s="1059"/>
      <c r="AX51" s="1059"/>
      <c r="AY51" s="1059"/>
      <c r="AZ51" s="1059"/>
      <c r="BA51" s="271"/>
      <c r="BB51" s="271"/>
      <c r="BC51" s="271"/>
      <c r="BD51" s="271"/>
      <c r="BE51" s="271"/>
    </row>
    <row r="52" spans="1:57" s="271" customFormat="1" ht="11.45" customHeight="1" thickBot="1">
      <c r="A52" s="1890" t="s">
        <v>564</v>
      </c>
      <c r="B52" s="1891">
        <f>61.9+0</f>
        <v>61.9</v>
      </c>
      <c r="C52" s="1891">
        <f>685.71+10.58</f>
        <v>696.29000000000008</v>
      </c>
      <c r="D52" s="1891">
        <f>2.48+0</f>
        <v>2.48</v>
      </c>
      <c r="E52" s="1891">
        <f>734.21+252.55</f>
        <v>986.76</v>
      </c>
      <c r="F52" s="1891">
        <f>143.6+0+260.75+0</f>
        <v>404.35</v>
      </c>
      <c r="G52" s="1891">
        <f>29711.88+3085.35</f>
        <v>32797.230000000003</v>
      </c>
      <c r="H52" s="1891">
        <v>0</v>
      </c>
      <c r="I52" s="1891">
        <v>0</v>
      </c>
      <c r="J52" s="1891">
        <v>0</v>
      </c>
      <c r="K52" s="1891">
        <f>L52-SUM(B52:J52)</f>
        <v>3550.4799999999959</v>
      </c>
      <c r="L52" s="1891">
        <f>34481.63+4017.86</f>
        <v>38499.49</v>
      </c>
      <c r="M52" s="1891">
        <v>443.25940000000003</v>
      </c>
      <c r="N52" s="1891">
        <v>2885.7426</v>
      </c>
      <c r="O52" s="1891">
        <f t="shared" si="26"/>
        <v>3329.002</v>
      </c>
      <c r="P52" s="1891">
        <v>330.19</v>
      </c>
      <c r="Q52" s="1891">
        <v>424.1284</v>
      </c>
      <c r="R52" s="1891">
        <v>550.17629999999997</v>
      </c>
      <c r="S52" s="1891">
        <v>3576.4312</v>
      </c>
      <c r="T52" s="1891">
        <v>991.56909999999993</v>
      </c>
      <c r="U52" s="1892" t="s">
        <v>564</v>
      </c>
      <c r="V52" s="1890" t="s">
        <v>564</v>
      </c>
      <c r="W52" s="1891">
        <v>1183.8535999999999</v>
      </c>
      <c r="X52" s="1891">
        <v>685.13429999999994</v>
      </c>
      <c r="Y52" s="1891">
        <v>246.23380000000003</v>
      </c>
      <c r="Z52" s="1891">
        <v>5409.8222999999998</v>
      </c>
      <c r="AA52" s="1891">
        <v>3129.0654</v>
      </c>
      <c r="AB52" s="1891">
        <v>166.35079999999999</v>
      </c>
      <c r="AC52" s="1891">
        <v>1213.8782999999999</v>
      </c>
      <c r="AD52" s="1891">
        <v>686.06939999999997</v>
      </c>
      <c r="AE52" s="1891">
        <v>2896.7105000000001</v>
      </c>
      <c r="AF52" s="1891">
        <v>2356.7961</v>
      </c>
      <c r="AG52" s="1891">
        <v>2567.5855000000001</v>
      </c>
      <c r="AH52" s="1891">
        <v>7680.6404000000002</v>
      </c>
      <c r="AI52" s="1891">
        <v>1224.2239</v>
      </c>
      <c r="AJ52" s="1891">
        <v>3425.1849999999999</v>
      </c>
      <c r="AK52" s="1891">
        <v>2297.567</v>
      </c>
      <c r="AL52" s="1891">
        <v>13917.748813057751</v>
      </c>
      <c r="AM52" s="1891">
        <f>SUM(P52:T52)+SUM(W52:AL52)</f>
        <v>54959.360113057752</v>
      </c>
      <c r="AN52" s="1891">
        <f t="shared" si="30"/>
        <v>58288.362113057752</v>
      </c>
      <c r="AO52" s="1891">
        <f t="shared" si="27"/>
        <v>-19788.872113057754</v>
      </c>
      <c r="AP52" s="1892" t="s">
        <v>564</v>
      </c>
      <c r="AQ52" s="1059"/>
      <c r="AR52" s="1059"/>
      <c r="AS52" s="1059"/>
      <c r="AT52" s="1059"/>
      <c r="AV52" s="1059"/>
      <c r="AW52" s="1059"/>
      <c r="AX52" s="1059"/>
      <c r="AY52" s="1059"/>
      <c r="AZ52" s="1059"/>
    </row>
    <row r="53" spans="1:57" s="36" customFormat="1" ht="9" customHeight="1">
      <c r="A53" s="1347" t="s">
        <v>704</v>
      </c>
      <c r="B53" s="2287" t="s">
        <v>2720</v>
      </c>
      <c r="C53" s="2287"/>
      <c r="D53" s="2287"/>
      <c r="E53" s="2287"/>
      <c r="F53" s="2287"/>
      <c r="G53" s="2287"/>
      <c r="H53" s="2287"/>
      <c r="I53" s="2287"/>
      <c r="J53" s="2287"/>
      <c r="K53" s="2287"/>
      <c r="M53" s="1347" t="s">
        <v>1117</v>
      </c>
      <c r="N53" s="2287" t="s">
        <v>2309</v>
      </c>
      <c r="O53" s="2287"/>
      <c r="P53" s="2287"/>
      <c r="Q53" s="2287"/>
      <c r="R53" s="2287"/>
      <c r="S53" s="2287"/>
      <c r="T53" s="45"/>
      <c r="U53" s="45"/>
      <c r="V53" s="1347" t="s">
        <v>16</v>
      </c>
      <c r="W53" s="2287" t="s">
        <v>1223</v>
      </c>
      <c r="X53" s="2287"/>
      <c r="Y53" s="2287"/>
      <c r="Z53" s="2287"/>
      <c r="AA53" s="195"/>
      <c r="AB53" s="195"/>
      <c r="AC53" s="2288" t="s">
        <v>1309</v>
      </c>
      <c r="AD53" s="2288"/>
      <c r="AE53" s="40"/>
      <c r="AF53" s="194"/>
      <c r="AG53" s="194"/>
      <c r="AH53" s="133"/>
      <c r="AI53" s="133"/>
      <c r="AJ53" s="133"/>
      <c r="AK53" s="133"/>
      <c r="AL53" s="133"/>
      <c r="AM53" s="376"/>
      <c r="AN53" s="1210"/>
      <c r="AO53" s="194"/>
      <c r="AP53" s="201"/>
    </row>
    <row r="54" spans="1:57" ht="9" customHeight="1">
      <c r="A54" s="106"/>
      <c r="B54" s="2291" t="s">
        <v>3007</v>
      </c>
      <c r="C54" s="2291"/>
      <c r="D54" s="2291"/>
      <c r="E54" s="2291"/>
      <c r="F54" s="2291"/>
      <c r="G54" s="2291"/>
      <c r="H54" s="2291"/>
      <c r="I54" s="2291"/>
      <c r="J54" s="2291"/>
      <c r="K54" s="2291"/>
      <c r="L54" s="2291"/>
      <c r="M54" s="1349"/>
      <c r="N54" s="2287" t="s">
        <v>2310</v>
      </c>
      <c r="O54" s="2287"/>
      <c r="P54" s="2287"/>
      <c r="Q54" s="2287"/>
      <c r="R54" s="2287"/>
      <c r="S54" s="2287"/>
      <c r="T54" s="2287"/>
      <c r="U54" s="1348"/>
      <c r="V54" s="1348"/>
      <c r="W54" s="1348"/>
      <c r="X54" s="1348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888"/>
      <c r="AM54" s="888"/>
      <c r="AN54" s="888"/>
      <c r="AO54" s="888"/>
      <c r="AP54" s="201"/>
      <c r="AR54" s="597"/>
    </row>
    <row r="55" spans="1:57" ht="9" customHeight="1">
      <c r="A55" s="1347" t="s">
        <v>1117</v>
      </c>
      <c r="B55" s="2292" t="s">
        <v>2311</v>
      </c>
      <c r="C55" s="2292"/>
      <c r="D55" s="2292"/>
      <c r="E55" s="2292"/>
      <c r="F55" s="2292"/>
      <c r="G55" s="2292"/>
      <c r="H55" s="2292"/>
      <c r="I55" s="1559"/>
      <c r="J55" s="1559"/>
      <c r="K55" s="1559"/>
      <c r="L55" s="1559"/>
      <c r="M55" s="1350"/>
      <c r="N55" s="2287"/>
      <c r="O55" s="2287"/>
      <c r="P55" s="2287"/>
      <c r="Q55" s="2287"/>
      <c r="R55" s="2287"/>
      <c r="S55" s="2287"/>
      <c r="T55" s="2287"/>
      <c r="U55" s="1348"/>
      <c r="V55" s="1348"/>
      <c r="W55" s="1348"/>
      <c r="X55" s="1348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201"/>
    </row>
    <row r="56" spans="1:57" ht="9.75" customHeight="1">
      <c r="I56" s="597"/>
      <c r="K56" s="1221"/>
      <c r="M56" s="200"/>
      <c r="N56" s="1351"/>
      <c r="O56" s="1351"/>
      <c r="P56" s="1874"/>
      <c r="Q56" s="1352"/>
      <c r="R56" s="1352"/>
      <c r="S56" s="1352"/>
      <c r="T56" s="1353"/>
      <c r="U56" s="1352"/>
      <c r="V56" s="1874"/>
      <c r="W56" s="1354"/>
      <c r="X56" s="1355"/>
      <c r="AN56" s="597"/>
      <c r="AO56" s="597"/>
    </row>
    <row r="57" spans="1:57">
      <c r="B57" s="63"/>
      <c r="C57" s="63"/>
      <c r="D57" s="63"/>
      <c r="E57" s="1071"/>
      <c r="F57" s="63"/>
      <c r="G57" s="1071"/>
      <c r="H57" s="1071"/>
      <c r="I57" s="63"/>
      <c r="J57" s="63"/>
      <c r="K57" s="63"/>
      <c r="O57" s="1356"/>
      <c r="P57" s="200"/>
      <c r="Q57" s="200"/>
      <c r="R57" s="200"/>
      <c r="S57" s="200"/>
      <c r="T57" s="200"/>
      <c r="U57" s="200"/>
      <c r="V57" s="200"/>
      <c r="W57" s="200"/>
      <c r="X57" s="200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</row>
    <row r="58" spans="1:57">
      <c r="C58" s="597"/>
      <c r="E58" s="597"/>
      <c r="F58" s="778"/>
      <c r="G58" s="597"/>
      <c r="H58" s="597"/>
      <c r="I58" s="961"/>
      <c r="L58" s="63"/>
      <c r="O58" s="597"/>
      <c r="W58" s="597"/>
      <c r="X58" s="597"/>
      <c r="Y58" s="597"/>
      <c r="Z58" s="597"/>
      <c r="AA58" s="597"/>
      <c r="AB58" s="597"/>
      <c r="AC58" s="597"/>
      <c r="AD58" s="597"/>
      <c r="AE58" s="597"/>
      <c r="AF58" s="597"/>
      <c r="AG58" s="597"/>
      <c r="AH58" s="597"/>
      <c r="AI58" s="597"/>
      <c r="AJ58" s="597"/>
    </row>
    <row r="59" spans="1:57">
      <c r="B59" s="597"/>
      <c r="C59" s="597"/>
      <c r="D59" s="597"/>
      <c r="E59" s="597"/>
      <c r="F59" s="597"/>
      <c r="G59" s="597"/>
      <c r="H59" s="597"/>
      <c r="I59" s="597"/>
      <c r="J59" s="597"/>
      <c r="K59" s="597"/>
      <c r="L59" s="597"/>
      <c r="M59" s="1356"/>
      <c r="N59" s="200"/>
      <c r="O59" s="597"/>
      <c r="P59" s="597"/>
      <c r="Q59" s="597"/>
      <c r="R59" s="597"/>
      <c r="S59" s="597"/>
      <c r="T59" s="597"/>
      <c r="U59" s="597"/>
      <c r="V59" s="597"/>
      <c r="W59" s="597"/>
      <c r="X59" s="597"/>
      <c r="Y59" s="597"/>
      <c r="Z59" s="597"/>
      <c r="AA59" s="597"/>
      <c r="AB59" s="597"/>
      <c r="AC59" s="597"/>
      <c r="AD59" s="597"/>
      <c r="AE59" s="597"/>
      <c r="AF59" s="597"/>
      <c r="AG59" s="597"/>
      <c r="AH59" s="597"/>
      <c r="AI59" s="597"/>
      <c r="AJ59" s="597"/>
      <c r="AK59" s="597"/>
      <c r="AL59" s="597"/>
      <c r="AM59" s="597"/>
      <c r="AN59" s="597"/>
      <c r="AO59" s="597"/>
      <c r="AP59" s="597"/>
    </row>
    <row r="60" spans="1:57">
      <c r="C60" s="597"/>
      <c r="G60" s="597"/>
      <c r="H60" s="597"/>
      <c r="J60" s="597"/>
      <c r="K60" s="597"/>
      <c r="L60" s="895"/>
      <c r="W60" s="597"/>
    </row>
    <row r="61" spans="1:57">
      <c r="J61" s="597"/>
      <c r="K61" s="597"/>
      <c r="M61" s="597"/>
      <c r="N61" s="597"/>
      <c r="O61" s="597"/>
      <c r="P61" s="597"/>
      <c r="Q61" s="597"/>
      <c r="R61" s="597"/>
      <c r="S61" s="597"/>
      <c r="T61" s="597"/>
      <c r="U61" s="1071"/>
      <c r="V61" s="1071"/>
      <c r="W61" s="1071"/>
      <c r="X61" s="1071"/>
      <c r="Y61" s="1071"/>
      <c r="Z61" s="1071"/>
      <c r="AA61" s="1071"/>
      <c r="AB61" s="1071"/>
      <c r="AC61" s="1071"/>
      <c r="AD61" s="1071"/>
      <c r="AE61" s="1071"/>
      <c r="AF61" s="1071"/>
      <c r="AG61" s="1071"/>
      <c r="AH61" s="1071"/>
      <c r="AI61" s="1071"/>
      <c r="AJ61" s="1071"/>
      <c r="AK61" s="1071"/>
    </row>
    <row r="62" spans="1:57">
      <c r="G62" s="597"/>
      <c r="J62" s="597"/>
      <c r="N62" s="597"/>
      <c r="O62" s="597"/>
      <c r="P62" s="597"/>
      <c r="Q62" s="597"/>
      <c r="R62" s="597"/>
      <c r="S62" s="597"/>
      <c r="T62" s="597"/>
      <c r="U62" s="1071"/>
      <c r="V62" s="1071"/>
      <c r="W62" s="1071"/>
      <c r="X62" s="1071"/>
      <c r="Y62" s="1071"/>
      <c r="Z62" s="1071"/>
      <c r="AA62" s="1071"/>
      <c r="AB62" s="1071"/>
      <c r="AC62" s="1071"/>
      <c r="AD62" s="1071"/>
      <c r="AE62" s="1071"/>
      <c r="AF62" s="1071"/>
      <c r="AG62" s="1071"/>
      <c r="AH62" s="1071"/>
      <c r="AI62" s="1071"/>
      <c r="AJ62" s="1071"/>
    </row>
    <row r="63" spans="1:57">
      <c r="J63" s="597"/>
      <c r="W63" s="597"/>
    </row>
    <row r="64" spans="1:57">
      <c r="J64" s="597"/>
    </row>
    <row r="65" spans="2:41">
      <c r="M65" s="597"/>
      <c r="N65" s="597"/>
      <c r="O65" s="597"/>
      <c r="P65" s="597"/>
      <c r="Q65" s="597"/>
      <c r="R65" s="597"/>
      <c r="S65" s="597"/>
      <c r="T65" s="597"/>
      <c r="W65" s="597"/>
      <c r="X65" s="597"/>
      <c r="Y65" s="597"/>
      <c r="Z65" s="597"/>
      <c r="AA65" s="597"/>
      <c r="AB65" s="597"/>
      <c r="AC65" s="597"/>
      <c r="AD65" s="597"/>
      <c r="AE65" s="597"/>
      <c r="AF65" s="597"/>
      <c r="AG65" s="597"/>
      <c r="AH65" s="597"/>
      <c r="AI65" s="597"/>
      <c r="AJ65" s="597"/>
      <c r="AK65" s="597"/>
      <c r="AL65" s="597"/>
      <c r="AM65" s="597"/>
      <c r="AN65" s="597"/>
      <c r="AO65" s="597"/>
    </row>
    <row r="66" spans="2:41">
      <c r="B66" s="597"/>
      <c r="C66" s="597"/>
      <c r="D66" s="597"/>
      <c r="E66" s="597"/>
      <c r="F66" s="597"/>
      <c r="G66" s="597"/>
      <c r="H66" s="597"/>
      <c r="I66" s="597"/>
      <c r="J66" s="597"/>
      <c r="K66" s="597"/>
      <c r="M66" s="597"/>
      <c r="N66" s="597"/>
      <c r="O66" s="597"/>
      <c r="P66" s="597"/>
      <c r="Q66" s="597"/>
      <c r="R66" s="597"/>
      <c r="S66" s="597"/>
      <c r="T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  <c r="AK66" s="597"/>
      <c r="AL66" s="597"/>
      <c r="AM66" s="597"/>
      <c r="AN66" s="597"/>
      <c r="AO66" s="597"/>
    </row>
    <row r="67" spans="2:41">
      <c r="B67" s="597"/>
      <c r="C67" s="597"/>
      <c r="D67" s="597"/>
      <c r="E67" s="597"/>
      <c r="F67" s="597"/>
      <c r="G67" s="597"/>
      <c r="H67" s="597"/>
      <c r="I67" s="597"/>
      <c r="J67" s="597"/>
      <c r="K67" s="597"/>
      <c r="M67" s="597"/>
      <c r="N67" s="597"/>
      <c r="O67" s="597"/>
      <c r="P67" s="597"/>
      <c r="Q67" s="597"/>
      <c r="R67" s="597"/>
      <c r="S67" s="597"/>
      <c r="T67" s="597"/>
      <c r="W67" s="597"/>
      <c r="X67" s="597"/>
      <c r="Y67" s="597"/>
      <c r="Z67" s="597"/>
      <c r="AA67" s="597"/>
      <c r="AB67" s="597"/>
      <c r="AC67" s="597"/>
      <c r="AD67" s="597"/>
      <c r="AE67" s="597"/>
      <c r="AF67" s="597"/>
      <c r="AG67" s="597"/>
      <c r="AH67" s="597"/>
      <c r="AI67" s="597"/>
      <c r="AJ67" s="597"/>
      <c r="AK67" s="597"/>
      <c r="AL67" s="597"/>
      <c r="AM67" s="597"/>
      <c r="AN67" s="597"/>
      <c r="AO67" s="597"/>
    </row>
    <row r="68" spans="2:41">
      <c r="B68" s="597"/>
      <c r="C68" s="597"/>
      <c r="D68" s="597"/>
      <c r="E68" s="597"/>
      <c r="F68" s="597"/>
      <c r="G68" s="597"/>
      <c r="H68" s="597"/>
      <c r="I68" s="597"/>
      <c r="J68" s="597"/>
      <c r="K68" s="597"/>
      <c r="M68" s="597"/>
      <c r="N68" s="597"/>
      <c r="O68" s="597"/>
      <c r="P68" s="597"/>
      <c r="Q68" s="597"/>
      <c r="R68" s="597"/>
      <c r="S68" s="597"/>
      <c r="T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  <c r="AK68" s="597"/>
      <c r="AL68" s="597"/>
      <c r="AM68" s="597"/>
      <c r="AN68" s="597"/>
      <c r="AO68" s="597"/>
    </row>
    <row r="69" spans="2:41">
      <c r="B69" s="597"/>
      <c r="C69" s="597"/>
      <c r="D69" s="597"/>
      <c r="E69" s="597"/>
      <c r="F69" s="597"/>
      <c r="G69" s="597"/>
      <c r="H69" s="597"/>
      <c r="I69" s="597"/>
      <c r="J69" s="597"/>
      <c r="K69" s="597"/>
      <c r="M69" s="597"/>
      <c r="N69" s="597"/>
      <c r="O69" s="597"/>
      <c r="P69" s="597"/>
      <c r="Q69" s="597"/>
      <c r="R69" s="597"/>
      <c r="S69" s="597"/>
      <c r="T69" s="597"/>
      <c r="W69" s="597"/>
      <c r="X69" s="597"/>
      <c r="Y69" s="597"/>
      <c r="Z69" s="597"/>
      <c r="AA69" s="597"/>
      <c r="AB69" s="597"/>
      <c r="AC69" s="597"/>
      <c r="AD69" s="597"/>
      <c r="AE69" s="597"/>
      <c r="AF69" s="597"/>
      <c r="AG69" s="597"/>
      <c r="AH69" s="597"/>
      <c r="AI69" s="597"/>
      <c r="AJ69" s="597"/>
      <c r="AK69" s="597"/>
      <c r="AL69" s="597"/>
      <c r="AM69" s="597"/>
      <c r="AN69" s="597"/>
      <c r="AO69" s="597"/>
    </row>
    <row r="70" spans="2:41">
      <c r="B70" s="597"/>
      <c r="C70" s="597"/>
      <c r="D70" s="597"/>
      <c r="E70" s="597"/>
      <c r="F70" s="597"/>
      <c r="G70" s="597"/>
      <c r="H70" s="597"/>
      <c r="I70" s="597"/>
      <c r="J70" s="597"/>
      <c r="K70" s="597"/>
      <c r="M70" s="597"/>
      <c r="N70" s="597"/>
      <c r="O70" s="597"/>
      <c r="P70" s="597"/>
      <c r="Q70" s="597"/>
      <c r="R70" s="597"/>
      <c r="S70" s="597"/>
      <c r="T70" s="597"/>
      <c r="W70" s="597"/>
      <c r="X70" s="597"/>
      <c r="Y70" s="597"/>
      <c r="Z70" s="597"/>
      <c r="AA70" s="597"/>
      <c r="AB70" s="597"/>
      <c r="AC70" s="597"/>
      <c r="AD70" s="597"/>
      <c r="AE70" s="597"/>
      <c r="AF70" s="597"/>
      <c r="AG70" s="597"/>
      <c r="AH70" s="597"/>
      <c r="AI70" s="597"/>
      <c r="AJ70" s="597"/>
      <c r="AK70" s="597"/>
      <c r="AL70" s="597"/>
      <c r="AM70" s="597"/>
      <c r="AN70" s="597"/>
      <c r="AO70" s="597"/>
    </row>
    <row r="71" spans="2:41">
      <c r="B71" s="597"/>
      <c r="C71" s="597"/>
      <c r="D71" s="597"/>
      <c r="E71" s="597"/>
      <c r="F71" s="597"/>
      <c r="G71" s="597"/>
      <c r="H71" s="597"/>
      <c r="I71" s="597"/>
      <c r="J71" s="597"/>
      <c r="K71" s="597"/>
      <c r="W71" s="597"/>
    </row>
    <row r="72" spans="2:41">
      <c r="B72" s="597"/>
      <c r="C72" s="597"/>
      <c r="D72" s="597"/>
      <c r="E72" s="597"/>
      <c r="F72" s="597"/>
      <c r="G72" s="597"/>
      <c r="H72" s="597"/>
      <c r="I72" s="597"/>
      <c r="J72" s="597"/>
      <c r="K72" s="597"/>
      <c r="W72" s="597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54:L54"/>
    <mergeCell ref="N54:T55"/>
    <mergeCell ref="B55:H55"/>
    <mergeCell ref="F4:F5"/>
    <mergeCell ref="B53:K53"/>
    <mergeCell ref="N53:S53"/>
    <mergeCell ref="E4:E5"/>
    <mergeCell ref="I4:I5"/>
    <mergeCell ref="W53:Z53"/>
    <mergeCell ref="AC53:AD53"/>
    <mergeCell ref="AH3:AM3"/>
    <mergeCell ref="AE1:AF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W4:AM4"/>
    <mergeCell ref="H4:H5"/>
    <mergeCell ref="B3:L3"/>
    <mergeCell ref="AN3:AN5"/>
    <mergeCell ref="G4:G5"/>
    <mergeCell ref="AP3:AP6"/>
    <mergeCell ref="AN1:AP1"/>
    <mergeCell ref="S1:U1"/>
    <mergeCell ref="J1:L1"/>
    <mergeCell ref="M4:O4"/>
    <mergeCell ref="AO3:AO5"/>
    <mergeCell ref="L4:L5"/>
    <mergeCell ref="J4:J5"/>
    <mergeCell ref="K4:K5"/>
    <mergeCell ref="M1:N1"/>
    <mergeCell ref="AO2:AP2"/>
    <mergeCell ref="V3:V6"/>
    <mergeCell ref="W3:AG3"/>
    <mergeCell ref="AG1:AI1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2"/>
  <sheetViews>
    <sheetView zoomScale="140" zoomScaleNormal="140" workbookViewId="0">
      <pane xSplit="1" ySplit="6" topLeftCell="B31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W31" sqref="W31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2" customFormat="1" ht="15.75" customHeight="1">
      <c r="A1" s="2297" t="s">
        <v>118</v>
      </c>
      <c r="B1" s="2297"/>
      <c r="C1" s="2297"/>
      <c r="D1" s="2297"/>
      <c r="E1" s="2297"/>
      <c r="F1" s="2297"/>
      <c r="G1" s="2297"/>
      <c r="H1" s="2294" t="s">
        <v>119</v>
      </c>
      <c r="I1" s="2294"/>
      <c r="J1" s="2294"/>
      <c r="K1" s="2294"/>
      <c r="M1" s="2297" t="s">
        <v>228</v>
      </c>
      <c r="N1" s="2297"/>
      <c r="O1" s="2297" t="s">
        <v>118</v>
      </c>
      <c r="P1" s="2297"/>
      <c r="Q1" s="2297"/>
      <c r="R1" s="2297"/>
      <c r="S1" s="2297"/>
      <c r="T1" s="2297"/>
      <c r="U1" s="2297"/>
      <c r="V1" s="2294" t="s">
        <v>119</v>
      </c>
      <c r="W1" s="2294"/>
      <c r="X1" s="2294"/>
      <c r="Y1" s="2294"/>
      <c r="Z1" s="23"/>
      <c r="AA1" s="2301" t="s">
        <v>287</v>
      </c>
      <c r="AB1" s="2301"/>
      <c r="AC1" s="23"/>
    </row>
    <row r="2" spans="1:29" s="20" customFormat="1" ht="13.5" customHeight="1">
      <c r="A2" s="72"/>
      <c r="P2" s="73"/>
      <c r="Q2" s="73"/>
      <c r="R2" s="73"/>
      <c r="S2" s="73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29" s="109" customFormat="1" ht="20.25" customHeight="1">
      <c r="A3" s="2298" t="s">
        <v>481</v>
      </c>
      <c r="B3" s="2295" t="s">
        <v>172</v>
      </c>
      <c r="C3" s="2296"/>
      <c r="D3" s="2295" t="s">
        <v>173</v>
      </c>
      <c r="E3" s="2296"/>
      <c r="F3" s="2295" t="s">
        <v>174</v>
      </c>
      <c r="G3" s="2296"/>
      <c r="H3" s="2295" t="s">
        <v>493</v>
      </c>
      <c r="I3" s="2296"/>
      <c r="J3" s="2295" t="s">
        <v>285</v>
      </c>
      <c r="K3" s="2296"/>
      <c r="L3" s="2295" t="s">
        <v>286</v>
      </c>
      <c r="M3" s="2296"/>
      <c r="N3" s="2298" t="s">
        <v>481</v>
      </c>
      <c r="O3" s="2298" t="s">
        <v>481</v>
      </c>
      <c r="P3" s="2295" t="s">
        <v>288</v>
      </c>
      <c r="Q3" s="2296"/>
      <c r="R3" s="2295" t="s">
        <v>289</v>
      </c>
      <c r="S3" s="2296"/>
      <c r="T3" s="2295" t="s">
        <v>290</v>
      </c>
      <c r="U3" s="2296"/>
      <c r="V3" s="2295" t="s">
        <v>111</v>
      </c>
      <c r="W3" s="2296"/>
      <c r="X3" s="2295" t="s">
        <v>291</v>
      </c>
      <c r="Y3" s="2296"/>
      <c r="Z3" s="2295" t="s">
        <v>114</v>
      </c>
      <c r="AA3" s="2296"/>
      <c r="AB3" s="2298" t="s">
        <v>481</v>
      </c>
    </row>
    <row r="4" spans="1:29" s="604" customFormat="1" ht="23.25" customHeight="1">
      <c r="A4" s="2299"/>
      <c r="B4" s="2293" t="s">
        <v>1532</v>
      </c>
      <c r="C4" s="2293" t="s">
        <v>1535</v>
      </c>
      <c r="D4" s="2293" t="s">
        <v>1532</v>
      </c>
      <c r="E4" s="2293" t="s">
        <v>1794</v>
      </c>
      <c r="F4" s="2293" t="s">
        <v>1532</v>
      </c>
      <c r="G4" s="2293" t="s">
        <v>1794</v>
      </c>
      <c r="H4" s="2293" t="s">
        <v>1814</v>
      </c>
      <c r="I4" s="2293" t="s">
        <v>783</v>
      </c>
      <c r="J4" s="2293" t="s">
        <v>1813</v>
      </c>
      <c r="K4" s="2293" t="s">
        <v>783</v>
      </c>
      <c r="L4" s="2293" t="s">
        <v>1532</v>
      </c>
      <c r="M4" s="2293" t="s">
        <v>1534</v>
      </c>
      <c r="N4" s="2299"/>
      <c r="O4" s="2299"/>
      <c r="P4" s="2293" t="s">
        <v>1532</v>
      </c>
      <c r="Q4" s="2293" t="s">
        <v>783</v>
      </c>
      <c r="R4" s="2293" t="s">
        <v>1532</v>
      </c>
      <c r="S4" s="2293" t="s">
        <v>783</v>
      </c>
      <c r="T4" s="2293" t="s">
        <v>1532</v>
      </c>
      <c r="U4" s="2293" t="s">
        <v>783</v>
      </c>
      <c r="V4" s="2293" t="s">
        <v>1532</v>
      </c>
      <c r="W4" s="2293" t="s">
        <v>783</v>
      </c>
      <c r="X4" s="2293" t="s">
        <v>1533</v>
      </c>
      <c r="Y4" s="2293" t="s">
        <v>783</v>
      </c>
      <c r="Z4" s="2293" t="s">
        <v>1532</v>
      </c>
      <c r="AA4" s="2293" t="s">
        <v>783</v>
      </c>
      <c r="AB4" s="2299"/>
    </row>
    <row r="5" spans="1:29" s="604" customFormat="1" ht="21" customHeight="1">
      <c r="A5" s="2300"/>
      <c r="B5" s="2117"/>
      <c r="C5" s="2117"/>
      <c r="D5" s="2117"/>
      <c r="E5" s="2117"/>
      <c r="F5" s="2117"/>
      <c r="G5" s="2117"/>
      <c r="H5" s="2117"/>
      <c r="I5" s="2117"/>
      <c r="J5" s="2117"/>
      <c r="K5" s="2117"/>
      <c r="L5" s="2117"/>
      <c r="M5" s="2117"/>
      <c r="N5" s="2300"/>
      <c r="O5" s="2300"/>
      <c r="P5" s="2117"/>
      <c r="Q5" s="2117"/>
      <c r="R5" s="2117"/>
      <c r="S5" s="2117"/>
      <c r="T5" s="2117"/>
      <c r="U5" s="2117"/>
      <c r="V5" s="2117"/>
      <c r="W5" s="2117"/>
      <c r="X5" s="2117"/>
      <c r="Y5" s="2117"/>
      <c r="Z5" s="2117"/>
      <c r="AA5" s="2117"/>
      <c r="AB5" s="2300"/>
    </row>
    <row r="6" spans="1:29">
      <c r="A6" s="65"/>
      <c r="B6" s="66"/>
      <c r="C6" s="67"/>
      <c r="D6" s="66"/>
      <c r="E6" s="66"/>
      <c r="F6" s="66"/>
      <c r="G6" s="66"/>
      <c r="H6" s="66"/>
      <c r="I6" s="66"/>
      <c r="J6" s="66"/>
      <c r="K6" s="66"/>
      <c r="L6" s="66"/>
      <c r="M6" s="69"/>
      <c r="N6" s="66"/>
      <c r="O6" s="67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8"/>
    </row>
    <row r="7" spans="1:29" s="8" customFormat="1" ht="16.5" customHeight="1">
      <c r="A7" s="563" t="s">
        <v>543</v>
      </c>
      <c r="B7" s="683">
        <v>1791</v>
      </c>
      <c r="C7" s="683">
        <v>4111</v>
      </c>
      <c r="D7" s="683">
        <v>8509</v>
      </c>
      <c r="E7" s="683">
        <v>13824</v>
      </c>
      <c r="F7" s="683">
        <v>6538</v>
      </c>
      <c r="G7" s="683">
        <v>6582</v>
      </c>
      <c r="H7" s="683">
        <v>1245</v>
      </c>
      <c r="I7" s="683">
        <v>1580</v>
      </c>
      <c r="J7" s="683">
        <v>7446</v>
      </c>
      <c r="K7" s="683">
        <v>445</v>
      </c>
      <c r="L7" s="683">
        <v>245</v>
      </c>
      <c r="M7" s="683">
        <v>833</v>
      </c>
      <c r="N7" s="535" t="s">
        <v>543</v>
      </c>
      <c r="O7" s="1085" t="s">
        <v>543</v>
      </c>
      <c r="P7" s="683">
        <v>32</v>
      </c>
      <c r="Q7" s="683">
        <v>133</v>
      </c>
      <c r="R7" s="683">
        <v>168</v>
      </c>
      <c r="S7" s="683">
        <v>512</v>
      </c>
      <c r="T7" s="683">
        <v>38</v>
      </c>
      <c r="U7" s="683">
        <v>89</v>
      </c>
      <c r="V7" s="683">
        <v>52</v>
      </c>
      <c r="W7" s="683">
        <v>118</v>
      </c>
      <c r="X7" s="683">
        <v>964</v>
      </c>
      <c r="Y7" s="683">
        <v>1383</v>
      </c>
      <c r="Z7" s="683">
        <v>13</v>
      </c>
      <c r="AA7" s="683">
        <v>86</v>
      </c>
      <c r="AB7" s="319" t="s">
        <v>543</v>
      </c>
    </row>
    <row r="8" spans="1:29" s="8" customFormat="1" ht="16.5" customHeight="1">
      <c r="A8" s="237" t="s">
        <v>544</v>
      </c>
      <c r="B8" s="67">
        <v>1676</v>
      </c>
      <c r="C8" s="67">
        <v>3840</v>
      </c>
      <c r="D8" s="67">
        <v>8790</v>
      </c>
      <c r="E8" s="67">
        <v>13953</v>
      </c>
      <c r="F8" s="67">
        <v>7221</v>
      </c>
      <c r="G8" s="67">
        <v>6804</v>
      </c>
      <c r="H8" s="67">
        <v>1369</v>
      </c>
      <c r="I8" s="67">
        <v>1732</v>
      </c>
      <c r="J8" s="67">
        <v>7165</v>
      </c>
      <c r="K8" s="67">
        <v>431</v>
      </c>
      <c r="L8" s="67">
        <v>246</v>
      </c>
      <c r="M8" s="67">
        <v>830</v>
      </c>
      <c r="N8" s="596" t="s">
        <v>544</v>
      </c>
      <c r="O8" s="237" t="s">
        <v>544</v>
      </c>
      <c r="P8" s="67">
        <v>32</v>
      </c>
      <c r="Q8" s="67">
        <v>136</v>
      </c>
      <c r="R8" s="67">
        <v>170</v>
      </c>
      <c r="S8" s="67">
        <v>509</v>
      </c>
      <c r="T8" s="67">
        <v>39</v>
      </c>
      <c r="U8" s="67">
        <v>90</v>
      </c>
      <c r="V8" s="67">
        <v>48</v>
      </c>
      <c r="W8" s="67">
        <v>119</v>
      </c>
      <c r="X8" s="67">
        <v>739</v>
      </c>
      <c r="Y8" s="67">
        <v>1133</v>
      </c>
      <c r="Z8" s="67">
        <v>13</v>
      </c>
      <c r="AA8" s="67">
        <v>86</v>
      </c>
      <c r="AB8" s="596" t="s">
        <v>544</v>
      </c>
    </row>
    <row r="9" spans="1:29" s="8" customFormat="1" ht="16.5" customHeight="1">
      <c r="A9" s="1085" t="s">
        <v>545</v>
      </c>
      <c r="B9" s="683">
        <v>1871</v>
      </c>
      <c r="C9" s="683">
        <v>3935</v>
      </c>
      <c r="D9" s="683">
        <v>9552</v>
      </c>
      <c r="E9" s="683">
        <v>14399</v>
      </c>
      <c r="F9" s="683">
        <v>7460</v>
      </c>
      <c r="G9" s="683">
        <v>6876</v>
      </c>
      <c r="H9" s="683">
        <v>1454</v>
      </c>
      <c r="I9" s="683">
        <v>1749</v>
      </c>
      <c r="J9" s="683">
        <v>7520</v>
      </c>
      <c r="K9" s="683">
        <v>434</v>
      </c>
      <c r="L9" s="683">
        <v>249</v>
      </c>
      <c r="M9" s="683">
        <v>831</v>
      </c>
      <c r="N9" s="319" t="s">
        <v>545</v>
      </c>
      <c r="O9" s="1085" t="s">
        <v>545</v>
      </c>
      <c r="P9" s="683">
        <v>34</v>
      </c>
      <c r="Q9" s="683">
        <v>136</v>
      </c>
      <c r="R9" s="683">
        <v>171</v>
      </c>
      <c r="S9" s="683">
        <v>510</v>
      </c>
      <c r="T9" s="683">
        <v>38</v>
      </c>
      <c r="U9" s="683">
        <v>86</v>
      </c>
      <c r="V9" s="683">
        <v>53</v>
      </c>
      <c r="W9" s="683">
        <v>119</v>
      </c>
      <c r="X9" s="683">
        <v>883</v>
      </c>
      <c r="Y9" s="683">
        <v>1253</v>
      </c>
      <c r="Z9" s="683">
        <v>14</v>
      </c>
      <c r="AA9" s="683">
        <v>91</v>
      </c>
      <c r="AB9" s="319" t="s">
        <v>545</v>
      </c>
    </row>
    <row r="10" spans="1:29" s="8" customFormat="1" ht="16.5" customHeight="1">
      <c r="A10" s="237" t="s">
        <v>546</v>
      </c>
      <c r="B10" s="67">
        <v>1875</v>
      </c>
      <c r="C10" s="67">
        <v>3868</v>
      </c>
      <c r="D10" s="67">
        <v>8850</v>
      </c>
      <c r="E10" s="67">
        <v>14353</v>
      </c>
      <c r="F10" s="67">
        <v>8137</v>
      </c>
      <c r="G10" s="67">
        <v>7138</v>
      </c>
      <c r="H10" s="67">
        <v>1803</v>
      </c>
      <c r="I10" s="67">
        <v>1988</v>
      </c>
      <c r="J10" s="67">
        <v>7379</v>
      </c>
      <c r="K10" s="67">
        <v>433</v>
      </c>
      <c r="L10" s="67">
        <v>254</v>
      </c>
      <c r="M10" s="67">
        <v>849</v>
      </c>
      <c r="N10" s="596" t="s">
        <v>546</v>
      </c>
      <c r="O10" s="237" t="s">
        <v>546</v>
      </c>
      <c r="P10" s="67">
        <v>34</v>
      </c>
      <c r="Q10" s="67">
        <v>135</v>
      </c>
      <c r="R10" s="67">
        <v>163</v>
      </c>
      <c r="S10" s="67">
        <v>508</v>
      </c>
      <c r="T10" s="67">
        <v>37</v>
      </c>
      <c r="U10" s="67">
        <v>81</v>
      </c>
      <c r="V10" s="67">
        <v>51</v>
      </c>
      <c r="W10" s="67">
        <v>120</v>
      </c>
      <c r="X10" s="67">
        <v>1057</v>
      </c>
      <c r="Y10" s="67">
        <v>1427</v>
      </c>
      <c r="Z10" s="67">
        <v>14</v>
      </c>
      <c r="AA10" s="67">
        <v>86</v>
      </c>
      <c r="AB10" s="596" t="s">
        <v>546</v>
      </c>
    </row>
    <row r="11" spans="1:29" s="8" customFormat="1" ht="16.5" customHeight="1">
      <c r="A11" s="1085" t="s">
        <v>547</v>
      </c>
      <c r="B11" s="683">
        <v>1617</v>
      </c>
      <c r="C11" s="683">
        <v>3519</v>
      </c>
      <c r="D11" s="683">
        <v>7736</v>
      </c>
      <c r="E11" s="683">
        <v>12762</v>
      </c>
      <c r="F11" s="683">
        <v>10552</v>
      </c>
      <c r="G11" s="683">
        <v>8715</v>
      </c>
      <c r="H11" s="683">
        <v>1988</v>
      </c>
      <c r="I11" s="683">
        <v>2180</v>
      </c>
      <c r="J11" s="683">
        <v>6951</v>
      </c>
      <c r="K11" s="683">
        <v>430</v>
      </c>
      <c r="L11" s="683">
        <v>253</v>
      </c>
      <c r="M11" s="683">
        <v>850</v>
      </c>
      <c r="N11" s="319" t="s">
        <v>547</v>
      </c>
      <c r="O11" s="1085" t="s">
        <v>547</v>
      </c>
      <c r="P11" s="683">
        <v>34</v>
      </c>
      <c r="Q11" s="683">
        <v>137</v>
      </c>
      <c r="R11" s="683">
        <v>165</v>
      </c>
      <c r="S11" s="683">
        <v>508</v>
      </c>
      <c r="T11" s="683">
        <v>29</v>
      </c>
      <c r="U11" s="683">
        <v>78</v>
      </c>
      <c r="V11" s="683">
        <v>56</v>
      </c>
      <c r="W11" s="683">
        <v>120</v>
      </c>
      <c r="X11" s="683">
        <v>812</v>
      </c>
      <c r="Y11" s="683">
        <v>1181</v>
      </c>
      <c r="Z11" s="683" t="s">
        <v>580</v>
      </c>
      <c r="AA11" s="683" t="s">
        <v>580</v>
      </c>
      <c r="AB11" s="319" t="s">
        <v>547</v>
      </c>
    </row>
    <row r="12" spans="1:29" s="8" customFormat="1" ht="16.5" customHeight="1">
      <c r="A12" s="237" t="s">
        <v>548</v>
      </c>
      <c r="B12" s="67">
        <v>1734</v>
      </c>
      <c r="C12" s="67">
        <v>3339</v>
      </c>
      <c r="D12" s="67">
        <v>10305</v>
      </c>
      <c r="E12" s="67">
        <v>14097</v>
      </c>
      <c r="F12" s="67">
        <v>11027</v>
      </c>
      <c r="G12" s="67">
        <v>9024</v>
      </c>
      <c r="H12" s="67">
        <v>1840</v>
      </c>
      <c r="I12" s="67">
        <v>2057</v>
      </c>
      <c r="J12" s="67">
        <v>6910</v>
      </c>
      <c r="K12" s="67">
        <v>421</v>
      </c>
      <c r="L12" s="67">
        <v>249</v>
      </c>
      <c r="M12" s="67">
        <v>812</v>
      </c>
      <c r="N12" s="596" t="s">
        <v>548</v>
      </c>
      <c r="O12" s="237" t="s">
        <v>548</v>
      </c>
      <c r="P12" s="67">
        <v>36</v>
      </c>
      <c r="Q12" s="67">
        <v>136</v>
      </c>
      <c r="R12" s="67">
        <v>128</v>
      </c>
      <c r="S12" s="67">
        <v>412</v>
      </c>
      <c r="T12" s="67">
        <v>35</v>
      </c>
      <c r="U12" s="67">
        <v>88</v>
      </c>
      <c r="V12" s="67">
        <v>46</v>
      </c>
      <c r="W12" s="67">
        <v>120</v>
      </c>
      <c r="X12" s="67">
        <v>711</v>
      </c>
      <c r="Y12" s="67">
        <v>1008</v>
      </c>
      <c r="Z12" s="67" t="s">
        <v>580</v>
      </c>
      <c r="AA12" s="67" t="s">
        <v>580</v>
      </c>
      <c r="AB12" s="596" t="s">
        <v>548</v>
      </c>
    </row>
    <row r="13" spans="1:29" s="8" customFormat="1" ht="16.5" customHeight="1">
      <c r="A13" s="1085" t="s">
        <v>549</v>
      </c>
      <c r="B13" s="683">
        <v>1916</v>
      </c>
      <c r="C13" s="683">
        <v>3275</v>
      </c>
      <c r="D13" s="683">
        <v>11249</v>
      </c>
      <c r="E13" s="683">
        <v>14110</v>
      </c>
      <c r="F13" s="683">
        <v>11921</v>
      </c>
      <c r="G13" s="683">
        <v>9296</v>
      </c>
      <c r="H13" s="683">
        <v>1673</v>
      </c>
      <c r="I13" s="683">
        <v>1909</v>
      </c>
      <c r="J13" s="683">
        <v>6742</v>
      </c>
      <c r="K13" s="683">
        <v>417</v>
      </c>
      <c r="L13" s="683">
        <v>238</v>
      </c>
      <c r="M13" s="683">
        <v>785</v>
      </c>
      <c r="N13" s="319" t="s">
        <v>549</v>
      </c>
      <c r="O13" s="1085" t="s">
        <v>549</v>
      </c>
      <c r="P13" s="683">
        <v>34</v>
      </c>
      <c r="Q13" s="683">
        <v>130</v>
      </c>
      <c r="R13" s="683">
        <v>126</v>
      </c>
      <c r="S13" s="683">
        <v>406</v>
      </c>
      <c r="T13" s="683">
        <v>37</v>
      </c>
      <c r="U13" s="683">
        <v>74</v>
      </c>
      <c r="V13" s="683">
        <v>52</v>
      </c>
      <c r="W13" s="683">
        <v>120</v>
      </c>
      <c r="X13" s="683">
        <v>821</v>
      </c>
      <c r="Y13" s="683">
        <v>1107</v>
      </c>
      <c r="Z13" s="683">
        <v>27</v>
      </c>
      <c r="AA13" s="683">
        <v>40</v>
      </c>
      <c r="AB13" s="319" t="s">
        <v>549</v>
      </c>
    </row>
    <row r="14" spans="1:29" s="8" customFormat="1" ht="16.5" customHeight="1">
      <c r="A14" s="237" t="s">
        <v>550</v>
      </c>
      <c r="B14" s="67">
        <v>1808</v>
      </c>
      <c r="C14" s="67">
        <v>3069</v>
      </c>
      <c r="D14" s="67">
        <v>10726</v>
      </c>
      <c r="E14" s="67">
        <v>13955</v>
      </c>
      <c r="F14" s="67">
        <v>11766</v>
      </c>
      <c r="G14" s="67">
        <v>9319</v>
      </c>
      <c r="H14" s="67">
        <v>1606</v>
      </c>
      <c r="I14" s="67">
        <v>1833</v>
      </c>
      <c r="J14" s="67">
        <v>6502</v>
      </c>
      <c r="K14" s="67">
        <v>402</v>
      </c>
      <c r="L14" s="67">
        <v>233</v>
      </c>
      <c r="M14" s="67">
        <v>749</v>
      </c>
      <c r="N14" s="596" t="s">
        <v>550</v>
      </c>
      <c r="O14" s="237" t="s">
        <v>550</v>
      </c>
      <c r="P14" s="67">
        <v>34</v>
      </c>
      <c r="Q14" s="67">
        <v>112</v>
      </c>
      <c r="R14" s="67">
        <v>115</v>
      </c>
      <c r="S14" s="67">
        <v>388</v>
      </c>
      <c r="T14" s="67">
        <v>38</v>
      </c>
      <c r="U14" s="67">
        <v>75</v>
      </c>
      <c r="V14" s="67">
        <v>52</v>
      </c>
      <c r="W14" s="67">
        <v>122</v>
      </c>
      <c r="X14" s="67">
        <v>859</v>
      </c>
      <c r="Y14" s="67">
        <v>1128</v>
      </c>
      <c r="Z14" s="67">
        <v>30</v>
      </c>
      <c r="AA14" s="67">
        <v>42</v>
      </c>
      <c r="AB14" s="596" t="s">
        <v>550</v>
      </c>
    </row>
    <row r="15" spans="1:29" s="8" customFormat="1" ht="16.5" customHeight="1">
      <c r="A15" s="1085" t="s">
        <v>551</v>
      </c>
      <c r="B15" s="683">
        <v>1850</v>
      </c>
      <c r="C15" s="683">
        <v>3073</v>
      </c>
      <c r="D15" s="683">
        <v>11115</v>
      </c>
      <c r="E15" s="683">
        <v>14041</v>
      </c>
      <c r="F15" s="683">
        <v>12222</v>
      </c>
      <c r="G15" s="683">
        <v>9501</v>
      </c>
      <c r="H15" s="683">
        <v>1507</v>
      </c>
      <c r="I15" s="683">
        <v>1746</v>
      </c>
      <c r="J15" s="683">
        <v>6838</v>
      </c>
      <c r="K15" s="683">
        <v>410</v>
      </c>
      <c r="L15" s="683">
        <v>218</v>
      </c>
      <c r="M15" s="683">
        <v>735</v>
      </c>
      <c r="N15" s="319" t="s">
        <v>551</v>
      </c>
      <c r="O15" s="1085" t="s">
        <v>551</v>
      </c>
      <c r="P15" s="683">
        <v>30</v>
      </c>
      <c r="Q15" s="683">
        <v>109</v>
      </c>
      <c r="R15" s="683">
        <v>116</v>
      </c>
      <c r="S15" s="683">
        <v>381</v>
      </c>
      <c r="T15" s="683">
        <v>38</v>
      </c>
      <c r="U15" s="683">
        <v>75</v>
      </c>
      <c r="V15" s="683">
        <v>58</v>
      </c>
      <c r="W15" s="683">
        <v>126</v>
      </c>
      <c r="X15" s="683">
        <v>800</v>
      </c>
      <c r="Y15" s="683">
        <v>1079</v>
      </c>
      <c r="Z15" s="683">
        <v>24</v>
      </c>
      <c r="AA15" s="683">
        <v>38</v>
      </c>
      <c r="AB15" s="319" t="s">
        <v>551</v>
      </c>
    </row>
    <row r="16" spans="1:29" s="8" customFormat="1" ht="16.5" customHeight="1">
      <c r="A16" s="237" t="s">
        <v>552</v>
      </c>
      <c r="B16" s="67">
        <v>1832</v>
      </c>
      <c r="C16" s="67">
        <v>2971</v>
      </c>
      <c r="D16" s="67">
        <v>11521</v>
      </c>
      <c r="E16" s="67">
        <v>14030</v>
      </c>
      <c r="F16" s="67">
        <v>12837</v>
      </c>
      <c r="G16" s="67">
        <v>9745</v>
      </c>
      <c r="H16" s="67">
        <v>1253</v>
      </c>
      <c r="I16" s="67">
        <v>1586</v>
      </c>
      <c r="J16" s="67">
        <v>6484</v>
      </c>
      <c r="K16" s="67">
        <v>404</v>
      </c>
      <c r="L16" s="67">
        <v>211</v>
      </c>
      <c r="M16" s="67">
        <v>690</v>
      </c>
      <c r="N16" s="596" t="s">
        <v>552</v>
      </c>
      <c r="O16" s="237" t="s">
        <v>552</v>
      </c>
      <c r="P16" s="67">
        <v>30</v>
      </c>
      <c r="Q16" s="67">
        <v>108</v>
      </c>
      <c r="R16" s="67">
        <v>122</v>
      </c>
      <c r="S16" s="67">
        <v>382</v>
      </c>
      <c r="T16" s="67">
        <v>39</v>
      </c>
      <c r="U16" s="67">
        <v>75</v>
      </c>
      <c r="V16" s="67">
        <v>57</v>
      </c>
      <c r="W16" s="67">
        <v>126</v>
      </c>
      <c r="X16" s="67">
        <v>794</v>
      </c>
      <c r="Y16" s="67">
        <v>1008</v>
      </c>
      <c r="Z16" s="67">
        <v>78</v>
      </c>
      <c r="AA16" s="67">
        <v>38</v>
      </c>
      <c r="AB16" s="596" t="s">
        <v>552</v>
      </c>
    </row>
    <row r="17" spans="1:30" s="8" customFormat="1" ht="16.5" customHeight="1">
      <c r="A17" s="1085" t="s">
        <v>553</v>
      </c>
      <c r="B17" s="683">
        <v>1500</v>
      </c>
      <c r="C17" s="683">
        <v>2532</v>
      </c>
      <c r="D17" s="683">
        <v>9820</v>
      </c>
      <c r="E17" s="683">
        <v>13047</v>
      </c>
      <c r="F17" s="683">
        <v>13837</v>
      </c>
      <c r="G17" s="683">
        <v>10042</v>
      </c>
      <c r="H17" s="683">
        <v>976</v>
      </c>
      <c r="I17" s="683">
        <v>1380</v>
      </c>
      <c r="J17" s="683">
        <v>6423</v>
      </c>
      <c r="K17" s="683">
        <v>388</v>
      </c>
      <c r="L17" s="683">
        <v>191</v>
      </c>
      <c r="M17" s="683">
        <v>597</v>
      </c>
      <c r="N17" s="319" t="s">
        <v>553</v>
      </c>
      <c r="O17" s="1085" t="s">
        <v>553</v>
      </c>
      <c r="P17" s="683">
        <v>18</v>
      </c>
      <c r="Q17" s="683">
        <v>60</v>
      </c>
      <c r="R17" s="683">
        <v>121</v>
      </c>
      <c r="S17" s="683">
        <v>380</v>
      </c>
      <c r="T17" s="683">
        <v>38</v>
      </c>
      <c r="U17" s="683">
        <v>78</v>
      </c>
      <c r="V17" s="683">
        <v>58</v>
      </c>
      <c r="W17" s="683">
        <v>132</v>
      </c>
      <c r="X17" s="683">
        <v>1035</v>
      </c>
      <c r="Y17" s="683">
        <v>965</v>
      </c>
      <c r="Z17" s="683">
        <v>3</v>
      </c>
      <c r="AA17" s="683">
        <v>4</v>
      </c>
      <c r="AB17" s="319" t="s">
        <v>553</v>
      </c>
    </row>
    <row r="18" spans="1:30" s="8" customFormat="1" ht="16.5" customHeight="1">
      <c r="A18" s="237" t="s">
        <v>558</v>
      </c>
      <c r="B18" s="67">
        <v>1754</v>
      </c>
      <c r="C18" s="67">
        <v>2556</v>
      </c>
      <c r="D18" s="67">
        <v>10810</v>
      </c>
      <c r="E18" s="67">
        <v>13416</v>
      </c>
      <c r="F18" s="67">
        <v>13975</v>
      </c>
      <c r="G18" s="67">
        <v>10047</v>
      </c>
      <c r="H18" s="67">
        <v>735</v>
      </c>
      <c r="I18" s="67">
        <v>1184</v>
      </c>
      <c r="J18" s="67">
        <v>5511</v>
      </c>
      <c r="K18" s="67">
        <v>377</v>
      </c>
      <c r="L18" s="67">
        <v>183</v>
      </c>
      <c r="M18" s="67">
        <v>536</v>
      </c>
      <c r="N18" s="596" t="s">
        <v>558</v>
      </c>
      <c r="O18" s="1084" t="s">
        <v>558</v>
      </c>
      <c r="P18" s="213">
        <v>17</v>
      </c>
      <c r="Q18" s="213">
        <v>55</v>
      </c>
      <c r="R18" s="213">
        <v>115</v>
      </c>
      <c r="S18" s="213">
        <v>333</v>
      </c>
      <c r="T18" s="213">
        <v>43</v>
      </c>
      <c r="U18" s="213">
        <v>78</v>
      </c>
      <c r="V18" s="213">
        <v>58</v>
      </c>
      <c r="W18" s="213">
        <v>130</v>
      </c>
      <c r="X18" s="214">
        <v>838</v>
      </c>
      <c r="Y18" s="214">
        <v>993</v>
      </c>
      <c r="Z18" s="213">
        <v>18</v>
      </c>
      <c r="AA18" s="213">
        <v>26</v>
      </c>
      <c r="AB18" s="252" t="s">
        <v>558</v>
      </c>
    </row>
    <row r="19" spans="1:30" s="8" customFormat="1" ht="16.5" customHeight="1">
      <c r="A19" s="1085" t="s">
        <v>567</v>
      </c>
      <c r="B19" s="683">
        <v>1512</v>
      </c>
      <c r="C19" s="683">
        <v>2238</v>
      </c>
      <c r="D19" s="683">
        <v>10841</v>
      </c>
      <c r="E19" s="683">
        <v>13382</v>
      </c>
      <c r="F19" s="683">
        <v>14965</v>
      </c>
      <c r="G19" s="683">
        <v>10522</v>
      </c>
      <c r="H19" s="683">
        <v>737</v>
      </c>
      <c r="I19" s="683">
        <v>988</v>
      </c>
      <c r="J19" s="683">
        <v>5770</v>
      </c>
      <c r="K19" s="683">
        <v>371</v>
      </c>
      <c r="L19" s="683">
        <v>189</v>
      </c>
      <c r="M19" s="683">
        <v>520</v>
      </c>
      <c r="N19" s="319" t="s">
        <v>567</v>
      </c>
      <c r="O19" s="1085" t="s">
        <v>567</v>
      </c>
      <c r="P19" s="683">
        <v>19</v>
      </c>
      <c r="Q19" s="683">
        <v>60</v>
      </c>
      <c r="R19" s="683">
        <v>117</v>
      </c>
      <c r="S19" s="683">
        <v>340</v>
      </c>
      <c r="T19" s="683">
        <v>39</v>
      </c>
      <c r="U19" s="683">
        <v>76</v>
      </c>
      <c r="V19" s="288">
        <v>58</v>
      </c>
      <c r="W19" s="288">
        <v>129</v>
      </c>
      <c r="X19" s="683">
        <v>879</v>
      </c>
      <c r="Y19" s="683">
        <v>1034</v>
      </c>
      <c r="Z19" s="683">
        <v>18</v>
      </c>
      <c r="AA19" s="683">
        <v>25</v>
      </c>
      <c r="AB19" s="319" t="s">
        <v>567</v>
      </c>
    </row>
    <row r="20" spans="1:30" s="9" customFormat="1" ht="16.5" customHeight="1">
      <c r="A20" s="1084" t="s">
        <v>330</v>
      </c>
      <c r="B20" s="213">
        <v>1507</v>
      </c>
      <c r="C20" s="213">
        <v>2270</v>
      </c>
      <c r="D20" s="213">
        <v>9662</v>
      </c>
      <c r="E20" s="213">
        <v>12474</v>
      </c>
      <c r="F20" s="213">
        <v>17762</v>
      </c>
      <c r="G20" s="213">
        <v>11386</v>
      </c>
      <c r="H20" s="213">
        <v>844</v>
      </c>
      <c r="I20" s="213">
        <v>958</v>
      </c>
      <c r="J20" s="213">
        <v>4984</v>
      </c>
      <c r="K20" s="213">
        <v>320</v>
      </c>
      <c r="L20" s="214">
        <v>228</v>
      </c>
      <c r="M20" s="214">
        <v>577</v>
      </c>
      <c r="N20" s="252" t="s">
        <v>330</v>
      </c>
      <c r="O20" s="1084" t="s">
        <v>330</v>
      </c>
      <c r="P20" s="213">
        <v>21</v>
      </c>
      <c r="Q20" s="213">
        <v>60</v>
      </c>
      <c r="R20" s="214">
        <v>72</v>
      </c>
      <c r="S20" s="214">
        <v>179</v>
      </c>
      <c r="T20" s="213">
        <v>40</v>
      </c>
      <c r="U20" s="213">
        <v>72</v>
      </c>
      <c r="V20" s="214">
        <v>59</v>
      </c>
      <c r="W20" s="214">
        <v>133</v>
      </c>
      <c r="X20" s="213">
        <v>832</v>
      </c>
      <c r="Y20" s="213">
        <v>1089</v>
      </c>
      <c r="Z20" s="214">
        <v>15</v>
      </c>
      <c r="AA20" s="214">
        <v>22</v>
      </c>
      <c r="AB20" s="252" t="s">
        <v>330</v>
      </c>
    </row>
    <row r="21" spans="1:30" s="9" customFormat="1" ht="16.5" customHeight="1">
      <c r="A21" s="1085" t="s">
        <v>85</v>
      </c>
      <c r="B21" s="683">
        <v>1895</v>
      </c>
      <c r="C21" s="683">
        <v>2633</v>
      </c>
      <c r="D21" s="683">
        <v>11613</v>
      </c>
      <c r="E21" s="683">
        <v>13585</v>
      </c>
      <c r="F21" s="683">
        <v>17809</v>
      </c>
      <c r="G21" s="683">
        <v>11654</v>
      </c>
      <c r="H21" s="683">
        <v>849</v>
      </c>
      <c r="I21" s="683">
        <v>975</v>
      </c>
      <c r="J21" s="683">
        <v>5232</v>
      </c>
      <c r="K21" s="683">
        <v>312</v>
      </c>
      <c r="L21" s="683">
        <v>228</v>
      </c>
      <c r="M21" s="683">
        <v>578</v>
      </c>
      <c r="N21" s="319" t="s">
        <v>85</v>
      </c>
      <c r="O21" s="1085" t="s">
        <v>85</v>
      </c>
      <c r="P21" s="683">
        <v>18</v>
      </c>
      <c r="Q21" s="683">
        <v>54</v>
      </c>
      <c r="R21" s="683">
        <v>61</v>
      </c>
      <c r="S21" s="683">
        <v>175</v>
      </c>
      <c r="T21" s="683">
        <v>40</v>
      </c>
      <c r="U21" s="683">
        <v>74</v>
      </c>
      <c r="V21" s="683">
        <v>59</v>
      </c>
      <c r="W21" s="683">
        <v>134</v>
      </c>
      <c r="X21" s="683">
        <v>842</v>
      </c>
      <c r="Y21" s="683">
        <v>1039</v>
      </c>
      <c r="Z21" s="683">
        <v>12</v>
      </c>
      <c r="AA21" s="683">
        <v>18</v>
      </c>
      <c r="AB21" s="319" t="s">
        <v>85</v>
      </c>
    </row>
    <row r="22" spans="1:30" s="9" customFormat="1" ht="16.5" customHeight="1">
      <c r="A22" s="1084" t="s">
        <v>81</v>
      </c>
      <c r="B22" s="213">
        <v>1709</v>
      </c>
      <c r="C22" s="213">
        <v>2431</v>
      </c>
      <c r="D22" s="213">
        <v>12207</v>
      </c>
      <c r="E22" s="213">
        <v>13993</v>
      </c>
      <c r="F22" s="213">
        <v>18059</v>
      </c>
      <c r="G22" s="213">
        <v>11631</v>
      </c>
      <c r="H22" s="213">
        <v>901</v>
      </c>
      <c r="I22" s="213">
        <v>930</v>
      </c>
      <c r="J22" s="213">
        <v>4491</v>
      </c>
      <c r="K22" s="213">
        <v>290</v>
      </c>
      <c r="L22" s="213">
        <v>222</v>
      </c>
      <c r="M22" s="213">
        <v>608</v>
      </c>
      <c r="N22" s="252" t="s">
        <v>81</v>
      </c>
      <c r="O22" s="1084" t="s">
        <v>81</v>
      </c>
      <c r="P22" s="213">
        <v>20</v>
      </c>
      <c r="Q22" s="213">
        <v>57</v>
      </c>
      <c r="R22" s="213">
        <v>71</v>
      </c>
      <c r="S22" s="213">
        <v>191</v>
      </c>
      <c r="T22" s="213">
        <v>55</v>
      </c>
      <c r="U22" s="213">
        <v>95</v>
      </c>
      <c r="V22" s="213">
        <v>68</v>
      </c>
      <c r="W22" s="213">
        <v>136</v>
      </c>
      <c r="X22" s="213">
        <v>916</v>
      </c>
      <c r="Y22" s="213">
        <v>1029</v>
      </c>
      <c r="Z22" s="213">
        <v>20</v>
      </c>
      <c r="AA22" s="213">
        <v>24</v>
      </c>
      <c r="AB22" s="252" t="s">
        <v>81</v>
      </c>
    </row>
    <row r="23" spans="1:30" s="8" customFormat="1" ht="16.5" customHeight="1">
      <c r="A23" s="1085" t="s">
        <v>189</v>
      </c>
      <c r="B23" s="683">
        <v>2133</v>
      </c>
      <c r="C23" s="683">
        <v>2750</v>
      </c>
      <c r="D23" s="288">
        <v>12792</v>
      </c>
      <c r="E23" s="288">
        <v>13951</v>
      </c>
      <c r="F23" s="288">
        <v>18617</v>
      </c>
      <c r="G23" s="288">
        <v>11788</v>
      </c>
      <c r="H23" s="288">
        <v>972</v>
      </c>
      <c r="I23" s="288">
        <v>923</v>
      </c>
      <c r="J23" s="288">
        <v>4671</v>
      </c>
      <c r="K23" s="288">
        <v>287</v>
      </c>
      <c r="L23" s="288">
        <v>246</v>
      </c>
      <c r="M23" s="288">
        <v>623</v>
      </c>
      <c r="N23" s="349" t="s">
        <v>189</v>
      </c>
      <c r="O23" s="320" t="s">
        <v>189</v>
      </c>
      <c r="P23" s="288">
        <v>19</v>
      </c>
      <c r="Q23" s="288">
        <v>68</v>
      </c>
      <c r="R23" s="288">
        <v>80</v>
      </c>
      <c r="S23" s="288">
        <v>205</v>
      </c>
      <c r="T23" s="288">
        <v>79</v>
      </c>
      <c r="U23" s="288">
        <v>121</v>
      </c>
      <c r="V23" s="288">
        <v>61</v>
      </c>
      <c r="W23" s="288">
        <v>140</v>
      </c>
      <c r="X23" s="288">
        <v>1511</v>
      </c>
      <c r="Y23" s="288">
        <v>1751</v>
      </c>
      <c r="Z23" s="288">
        <v>14</v>
      </c>
      <c r="AA23" s="288">
        <v>24</v>
      </c>
      <c r="AB23" s="349" t="s">
        <v>189</v>
      </c>
    </row>
    <row r="24" spans="1:30" s="8" customFormat="1" ht="16.5" customHeight="1">
      <c r="A24" s="1084" t="s">
        <v>705</v>
      </c>
      <c r="B24" s="213">
        <v>2332</v>
      </c>
      <c r="C24" s="213">
        <v>2812</v>
      </c>
      <c r="D24" s="249">
        <v>12798</v>
      </c>
      <c r="E24" s="249">
        <v>13789</v>
      </c>
      <c r="F24" s="249">
        <v>18759</v>
      </c>
      <c r="G24" s="249">
        <v>11886</v>
      </c>
      <c r="H24" s="249">
        <v>995</v>
      </c>
      <c r="I24" s="249">
        <v>885</v>
      </c>
      <c r="J24" s="249">
        <v>4603</v>
      </c>
      <c r="K24" s="249">
        <v>279</v>
      </c>
      <c r="L24" s="249">
        <v>262</v>
      </c>
      <c r="M24" s="249">
        <v>682</v>
      </c>
      <c r="N24" s="373" t="s">
        <v>705</v>
      </c>
      <c r="O24" s="247" t="s">
        <v>705</v>
      </c>
      <c r="P24" s="249">
        <v>26</v>
      </c>
      <c r="Q24" s="249">
        <v>91</v>
      </c>
      <c r="R24" s="249">
        <v>80</v>
      </c>
      <c r="S24" s="249">
        <v>213</v>
      </c>
      <c r="T24" s="249">
        <v>85</v>
      </c>
      <c r="U24" s="249">
        <v>126</v>
      </c>
      <c r="V24" s="249">
        <v>61</v>
      </c>
      <c r="W24" s="249">
        <v>143</v>
      </c>
      <c r="X24" s="249">
        <v>1441</v>
      </c>
      <c r="Y24" s="249">
        <v>1878</v>
      </c>
      <c r="Z24" s="249">
        <v>16</v>
      </c>
      <c r="AA24" s="249">
        <v>25</v>
      </c>
      <c r="AB24" s="373" t="s">
        <v>705</v>
      </c>
    </row>
    <row r="25" spans="1:30" s="8" customFormat="1" ht="16.5" customHeight="1">
      <c r="A25" s="1085" t="s">
        <v>814</v>
      </c>
      <c r="B25" s="683">
        <v>2158</v>
      </c>
      <c r="C25" s="683">
        <v>2602</v>
      </c>
      <c r="D25" s="288">
        <v>12897</v>
      </c>
      <c r="E25" s="288">
        <v>13863</v>
      </c>
      <c r="F25" s="288">
        <v>18778</v>
      </c>
      <c r="G25" s="288">
        <v>11763</v>
      </c>
      <c r="H25" s="288">
        <v>1255</v>
      </c>
      <c r="I25" s="288">
        <v>1029</v>
      </c>
      <c r="J25" s="288">
        <v>4469</v>
      </c>
      <c r="K25" s="288">
        <v>270</v>
      </c>
      <c r="L25" s="288">
        <v>294</v>
      </c>
      <c r="M25" s="288">
        <v>728</v>
      </c>
      <c r="N25" s="349" t="s">
        <v>814</v>
      </c>
      <c r="O25" s="320" t="s">
        <v>814</v>
      </c>
      <c r="P25" s="288">
        <v>25</v>
      </c>
      <c r="Q25" s="288">
        <v>87</v>
      </c>
      <c r="R25" s="288">
        <v>93</v>
      </c>
      <c r="S25" s="288">
        <v>222</v>
      </c>
      <c r="T25" s="288">
        <v>79</v>
      </c>
      <c r="U25" s="288">
        <v>119</v>
      </c>
      <c r="V25" s="288">
        <v>63</v>
      </c>
      <c r="W25" s="288">
        <v>144</v>
      </c>
      <c r="X25" s="288">
        <v>1370</v>
      </c>
      <c r="Y25" s="288">
        <v>1683</v>
      </c>
      <c r="Z25" s="288">
        <v>20</v>
      </c>
      <c r="AA25" s="288">
        <v>31</v>
      </c>
      <c r="AB25" s="349" t="s">
        <v>814</v>
      </c>
    </row>
    <row r="26" spans="1:30" s="8" customFormat="1" ht="16.5" customHeight="1">
      <c r="A26" s="1084" t="s">
        <v>991</v>
      </c>
      <c r="B26" s="213">
        <v>2326</v>
      </c>
      <c r="C26" s="213">
        <v>2598</v>
      </c>
      <c r="D26" s="249">
        <v>13023</v>
      </c>
      <c r="E26" s="249">
        <v>13666</v>
      </c>
      <c r="F26" s="249">
        <v>19007</v>
      </c>
      <c r="G26" s="249">
        <v>11837</v>
      </c>
      <c r="H26" s="249">
        <v>1303</v>
      </c>
      <c r="I26" s="249">
        <v>1062</v>
      </c>
      <c r="J26" s="249">
        <v>4508</v>
      </c>
      <c r="K26" s="249">
        <v>265</v>
      </c>
      <c r="L26" s="249">
        <v>296</v>
      </c>
      <c r="M26" s="249">
        <v>724</v>
      </c>
      <c r="N26" s="373" t="s">
        <v>991</v>
      </c>
      <c r="O26" s="247" t="s">
        <v>991</v>
      </c>
      <c r="P26" s="249">
        <v>32</v>
      </c>
      <c r="Q26" s="249">
        <v>97</v>
      </c>
      <c r="R26" s="249">
        <v>157</v>
      </c>
      <c r="S26" s="249">
        <v>308</v>
      </c>
      <c r="T26" s="249">
        <v>85</v>
      </c>
      <c r="U26" s="249">
        <v>124</v>
      </c>
      <c r="V26" s="249">
        <v>67</v>
      </c>
      <c r="W26" s="249">
        <v>148</v>
      </c>
      <c r="X26" s="249">
        <v>1338</v>
      </c>
      <c r="Y26" s="249">
        <v>1645</v>
      </c>
      <c r="Z26" s="249">
        <v>19</v>
      </c>
      <c r="AA26" s="249">
        <v>28</v>
      </c>
      <c r="AB26" s="373" t="s">
        <v>991</v>
      </c>
    </row>
    <row r="27" spans="1:30" s="8" customFormat="1" ht="16.5" customHeight="1">
      <c r="A27" s="1085" t="s">
        <v>1042</v>
      </c>
      <c r="B27" s="683">
        <v>2328</v>
      </c>
      <c r="C27" s="683">
        <v>2583</v>
      </c>
      <c r="D27" s="288">
        <v>13190</v>
      </c>
      <c r="E27" s="288">
        <v>13665</v>
      </c>
      <c r="F27" s="288">
        <v>19192</v>
      </c>
      <c r="G27" s="288">
        <v>11961</v>
      </c>
      <c r="H27" s="288">
        <v>1348</v>
      </c>
      <c r="I27" s="288">
        <v>1079</v>
      </c>
      <c r="J27" s="288">
        <v>4434</v>
      </c>
      <c r="K27" s="288">
        <v>257</v>
      </c>
      <c r="L27" s="288">
        <v>359</v>
      </c>
      <c r="M27" s="288">
        <v>803</v>
      </c>
      <c r="N27" s="319" t="s">
        <v>1042</v>
      </c>
      <c r="O27" s="1085" t="s">
        <v>1042</v>
      </c>
      <c r="P27" s="288">
        <v>33</v>
      </c>
      <c r="Q27" s="288">
        <v>96</v>
      </c>
      <c r="R27" s="288">
        <v>167</v>
      </c>
      <c r="S27" s="288">
        <v>359</v>
      </c>
      <c r="T27" s="288">
        <v>94</v>
      </c>
      <c r="U27" s="288">
        <v>127</v>
      </c>
      <c r="V27" s="288">
        <v>66</v>
      </c>
      <c r="W27" s="288">
        <v>149</v>
      </c>
      <c r="X27" s="288">
        <v>1350</v>
      </c>
      <c r="Y27" s="288">
        <v>1662</v>
      </c>
      <c r="Z27" s="288">
        <v>30</v>
      </c>
      <c r="AA27" s="288">
        <v>33</v>
      </c>
      <c r="AB27" s="319" t="s">
        <v>1042</v>
      </c>
    </row>
    <row r="28" spans="1:30" s="8" customFormat="1" ht="16.5" customHeight="1">
      <c r="A28" s="1084" t="s">
        <v>1163</v>
      </c>
      <c r="B28" s="213">
        <v>2289</v>
      </c>
      <c r="C28" s="213">
        <v>2516</v>
      </c>
      <c r="D28" s="249">
        <v>13483</v>
      </c>
      <c r="E28" s="249">
        <v>13814</v>
      </c>
      <c r="F28" s="249">
        <v>18938</v>
      </c>
      <c r="G28" s="249">
        <v>11794</v>
      </c>
      <c r="H28" s="249">
        <v>1348</v>
      </c>
      <c r="I28" s="249">
        <v>1099</v>
      </c>
      <c r="J28" s="213">
        <v>4207</v>
      </c>
      <c r="K28" s="213">
        <v>243</v>
      </c>
      <c r="L28" s="213">
        <v>362</v>
      </c>
      <c r="M28" s="213">
        <v>787</v>
      </c>
      <c r="N28" s="252" t="s">
        <v>1163</v>
      </c>
      <c r="O28" s="1084" t="s">
        <v>1163</v>
      </c>
      <c r="P28" s="213">
        <v>37</v>
      </c>
      <c r="Q28" s="213">
        <v>101</v>
      </c>
      <c r="R28" s="213">
        <v>158</v>
      </c>
      <c r="S28" s="213">
        <v>382</v>
      </c>
      <c r="T28" s="213">
        <v>88</v>
      </c>
      <c r="U28" s="213">
        <v>115</v>
      </c>
      <c r="V28" s="213">
        <v>64</v>
      </c>
      <c r="W28" s="213">
        <v>148</v>
      </c>
      <c r="X28" s="249">
        <v>1361</v>
      </c>
      <c r="Y28" s="249">
        <v>1675</v>
      </c>
      <c r="Z28" s="213">
        <v>33</v>
      </c>
      <c r="AA28" s="213">
        <v>34</v>
      </c>
      <c r="AB28" s="252" t="s">
        <v>1163</v>
      </c>
    </row>
    <row r="29" spans="1:30" s="8" customFormat="1" ht="16.5" customHeight="1">
      <c r="A29" s="1085" t="s">
        <v>1187</v>
      </c>
      <c r="B29" s="683">
        <v>2134</v>
      </c>
      <c r="C29" s="683">
        <v>2327</v>
      </c>
      <c r="D29" s="288">
        <v>13656</v>
      </c>
      <c r="E29" s="288">
        <v>13797</v>
      </c>
      <c r="F29" s="288">
        <v>18014</v>
      </c>
      <c r="G29" s="288">
        <v>11060</v>
      </c>
      <c r="H29" s="288">
        <v>1311</v>
      </c>
      <c r="I29" s="288">
        <v>1026</v>
      </c>
      <c r="J29" s="683">
        <v>3862</v>
      </c>
      <c r="K29" s="683">
        <v>227</v>
      </c>
      <c r="L29" s="683">
        <v>363</v>
      </c>
      <c r="M29" s="683">
        <v>831</v>
      </c>
      <c r="N29" s="319" t="s">
        <v>1187</v>
      </c>
      <c r="O29" s="1085" t="s">
        <v>1187</v>
      </c>
      <c r="P29" s="683">
        <v>35</v>
      </c>
      <c r="Q29" s="683">
        <v>102</v>
      </c>
      <c r="R29" s="683">
        <v>169</v>
      </c>
      <c r="S29" s="683">
        <v>382</v>
      </c>
      <c r="T29" s="683">
        <v>91</v>
      </c>
      <c r="U29" s="683">
        <v>113</v>
      </c>
      <c r="V29" s="683">
        <v>82</v>
      </c>
      <c r="W29" s="683">
        <v>133</v>
      </c>
      <c r="X29" s="288">
        <v>1484</v>
      </c>
      <c r="Y29" s="288">
        <v>1823</v>
      </c>
      <c r="Z29" s="683">
        <v>31</v>
      </c>
      <c r="AA29" s="683">
        <v>32</v>
      </c>
      <c r="AB29" s="319" t="s">
        <v>1187</v>
      </c>
    </row>
    <row r="30" spans="1:30" s="160" customFormat="1" ht="16.5" customHeight="1">
      <c r="A30" s="1084" t="s">
        <v>1311</v>
      </c>
      <c r="B30" s="213">
        <v>2710</v>
      </c>
      <c r="C30" s="213">
        <v>2657</v>
      </c>
      <c r="D30" s="249">
        <v>13993</v>
      </c>
      <c r="E30" s="249">
        <v>14035</v>
      </c>
      <c r="F30" s="249">
        <v>19576</v>
      </c>
      <c r="G30" s="249">
        <v>12008</v>
      </c>
      <c r="H30" s="249">
        <v>1099</v>
      </c>
      <c r="I30" s="249">
        <v>868</v>
      </c>
      <c r="J30" s="213">
        <v>3639</v>
      </c>
      <c r="K30" s="213">
        <v>223</v>
      </c>
      <c r="L30" s="213">
        <v>352</v>
      </c>
      <c r="M30" s="213">
        <v>760</v>
      </c>
      <c r="N30" s="252" t="s">
        <v>1311</v>
      </c>
      <c r="O30" s="1084" t="s">
        <v>1311</v>
      </c>
      <c r="P30" s="213">
        <v>34</v>
      </c>
      <c r="Q30" s="213">
        <v>93</v>
      </c>
      <c r="R30" s="213">
        <v>177</v>
      </c>
      <c r="S30" s="213">
        <v>386</v>
      </c>
      <c r="T30" s="213">
        <v>89</v>
      </c>
      <c r="U30" s="213">
        <v>105</v>
      </c>
      <c r="V30" s="213">
        <v>78</v>
      </c>
      <c r="W30" s="213">
        <v>133</v>
      </c>
      <c r="X30" s="249">
        <v>1601</v>
      </c>
      <c r="Y30" s="249">
        <v>1874</v>
      </c>
      <c r="Z30" s="213">
        <v>31</v>
      </c>
      <c r="AA30" s="213">
        <v>32</v>
      </c>
      <c r="AB30" s="252" t="s">
        <v>1311</v>
      </c>
    </row>
    <row r="31" spans="1:30" s="160" customFormat="1" ht="16.5" customHeight="1">
      <c r="A31" s="1085" t="s">
        <v>1420</v>
      </c>
      <c r="B31" s="683">
        <v>2775</v>
      </c>
      <c r="C31" s="683">
        <v>2731</v>
      </c>
      <c r="D31" s="288">
        <v>14055</v>
      </c>
      <c r="E31" s="288">
        <v>13892</v>
      </c>
      <c r="F31" s="288">
        <v>19561</v>
      </c>
      <c r="G31" s="288">
        <v>11832</v>
      </c>
      <c r="H31" s="288">
        <v>1017</v>
      </c>
      <c r="I31" s="288">
        <v>816</v>
      </c>
      <c r="J31" s="683">
        <v>3142</v>
      </c>
      <c r="K31" s="683">
        <v>200</v>
      </c>
      <c r="L31" s="683">
        <v>312</v>
      </c>
      <c r="M31" s="683">
        <v>667</v>
      </c>
      <c r="N31" s="319" t="s">
        <v>1420</v>
      </c>
      <c r="O31" s="1085" t="s">
        <v>1420</v>
      </c>
      <c r="P31" s="683">
        <v>34</v>
      </c>
      <c r="Q31" s="683">
        <v>102</v>
      </c>
      <c r="R31" s="683">
        <v>175</v>
      </c>
      <c r="S31" s="683">
        <v>352</v>
      </c>
      <c r="T31" s="683">
        <v>129</v>
      </c>
      <c r="U31" s="683">
        <v>147</v>
      </c>
      <c r="V31" s="683">
        <v>91</v>
      </c>
      <c r="W31" s="683">
        <v>133</v>
      </c>
      <c r="X31" s="288">
        <v>1544</v>
      </c>
      <c r="Y31" s="288">
        <v>1852</v>
      </c>
      <c r="Z31" s="683">
        <v>100</v>
      </c>
      <c r="AA31" s="683">
        <v>31</v>
      </c>
      <c r="AB31" s="319" t="s">
        <v>1420</v>
      </c>
    </row>
    <row r="32" spans="1:30" s="160" customFormat="1" ht="16.5" customHeight="1">
      <c r="A32" s="1084" t="s">
        <v>1502</v>
      </c>
      <c r="B32" s="213">
        <v>2755</v>
      </c>
      <c r="C32" s="213">
        <v>2706</v>
      </c>
      <c r="D32" s="249">
        <v>14203</v>
      </c>
      <c r="E32" s="249">
        <v>13739</v>
      </c>
      <c r="F32" s="249">
        <v>19646</v>
      </c>
      <c r="G32" s="249">
        <v>11767</v>
      </c>
      <c r="H32" s="249">
        <v>1029</v>
      </c>
      <c r="I32" s="249">
        <v>821</v>
      </c>
      <c r="J32" s="213">
        <v>3683</v>
      </c>
      <c r="K32" s="213">
        <v>213</v>
      </c>
      <c r="L32" s="213">
        <v>358</v>
      </c>
      <c r="M32" s="213">
        <v>763</v>
      </c>
      <c r="N32" s="252" t="s">
        <v>1502</v>
      </c>
      <c r="O32" s="1084" t="s">
        <v>1502</v>
      </c>
      <c r="P32" s="213">
        <v>37</v>
      </c>
      <c r="Q32" s="213">
        <v>109</v>
      </c>
      <c r="R32" s="213">
        <v>177</v>
      </c>
      <c r="S32" s="213">
        <v>349</v>
      </c>
      <c r="T32" s="213">
        <v>86</v>
      </c>
      <c r="U32" s="213">
        <v>100</v>
      </c>
      <c r="V32" s="213">
        <v>90</v>
      </c>
      <c r="W32" s="213">
        <v>147</v>
      </c>
      <c r="X32" s="249">
        <v>1448</v>
      </c>
      <c r="Y32" s="249">
        <v>1679</v>
      </c>
      <c r="Z32" s="213">
        <v>98</v>
      </c>
      <c r="AA32" s="213">
        <v>30</v>
      </c>
      <c r="AB32" s="252" t="s">
        <v>1502</v>
      </c>
      <c r="AD32" s="779"/>
    </row>
    <row r="33" spans="1:30" s="160" customFormat="1" ht="16.5" customHeight="1">
      <c r="A33" s="1088" t="s">
        <v>1555</v>
      </c>
      <c r="B33" s="683">
        <v>3285</v>
      </c>
      <c r="C33" s="683">
        <v>3225</v>
      </c>
      <c r="D33" s="288">
        <v>14438</v>
      </c>
      <c r="E33" s="288">
        <v>13854</v>
      </c>
      <c r="F33" s="288">
        <v>19885</v>
      </c>
      <c r="G33" s="288">
        <v>11828</v>
      </c>
      <c r="H33" s="288">
        <v>1085</v>
      </c>
      <c r="I33" s="288">
        <v>813</v>
      </c>
      <c r="J33" s="683">
        <v>3333</v>
      </c>
      <c r="K33" s="683">
        <v>192</v>
      </c>
      <c r="L33" s="683">
        <v>397</v>
      </c>
      <c r="M33" s="683">
        <v>814</v>
      </c>
      <c r="N33" s="319" t="s">
        <v>1555</v>
      </c>
      <c r="O33" s="1088" t="s">
        <v>1555</v>
      </c>
      <c r="P33" s="683">
        <v>41</v>
      </c>
      <c r="Q33" s="683">
        <v>109</v>
      </c>
      <c r="R33" s="683">
        <v>186</v>
      </c>
      <c r="S33" s="683">
        <v>361</v>
      </c>
      <c r="T33" s="683">
        <v>89</v>
      </c>
      <c r="U33" s="683">
        <v>100</v>
      </c>
      <c r="V33" s="683">
        <v>90</v>
      </c>
      <c r="W33" s="683">
        <v>136</v>
      </c>
      <c r="X33" s="288">
        <v>1391</v>
      </c>
      <c r="Y33" s="288">
        <v>1686</v>
      </c>
      <c r="Z33" s="683">
        <v>72</v>
      </c>
      <c r="AA33" s="683">
        <v>31</v>
      </c>
      <c r="AB33" s="319" t="s">
        <v>1555</v>
      </c>
      <c r="AC33" s="779"/>
    </row>
    <row r="34" spans="1:30" s="160" customFormat="1" ht="16.5" customHeight="1">
      <c r="A34" s="1339" t="s">
        <v>1836</v>
      </c>
      <c r="B34" s="213">
        <v>3001</v>
      </c>
      <c r="C34" s="213">
        <v>2864</v>
      </c>
      <c r="D34" s="249">
        <v>14958</v>
      </c>
      <c r="E34" s="249">
        <v>14132</v>
      </c>
      <c r="F34" s="249">
        <v>20186</v>
      </c>
      <c r="G34" s="249">
        <v>11896</v>
      </c>
      <c r="H34" s="249">
        <v>1086</v>
      </c>
      <c r="I34" s="249">
        <v>778</v>
      </c>
      <c r="J34" s="213">
        <v>3087</v>
      </c>
      <c r="K34" s="213">
        <v>179</v>
      </c>
      <c r="L34" s="213">
        <v>410</v>
      </c>
      <c r="M34" s="213">
        <v>817</v>
      </c>
      <c r="N34" s="252" t="s">
        <v>1836</v>
      </c>
      <c r="O34" s="1339" t="s">
        <v>1836</v>
      </c>
      <c r="P34" s="213">
        <v>42</v>
      </c>
      <c r="Q34" s="213">
        <v>114</v>
      </c>
      <c r="R34" s="213">
        <v>191</v>
      </c>
      <c r="S34" s="213">
        <v>357</v>
      </c>
      <c r="T34" s="213">
        <v>92</v>
      </c>
      <c r="U34" s="213">
        <v>100</v>
      </c>
      <c r="V34" s="213">
        <v>98</v>
      </c>
      <c r="W34" s="213">
        <v>140</v>
      </c>
      <c r="X34" s="249">
        <v>1518</v>
      </c>
      <c r="Y34" s="249">
        <v>1783</v>
      </c>
      <c r="Z34" s="213">
        <v>71</v>
      </c>
      <c r="AA34" s="213">
        <v>30</v>
      </c>
      <c r="AB34" s="252" t="s">
        <v>1836</v>
      </c>
      <c r="AC34" s="779"/>
    </row>
    <row r="35" spans="1:30" s="160" customFormat="1" ht="16.5" customHeight="1">
      <c r="A35" s="1431" t="s">
        <v>2088</v>
      </c>
      <c r="B35" s="683">
        <v>2901</v>
      </c>
      <c r="C35" s="683">
        <v>2622</v>
      </c>
      <c r="D35" s="288">
        <v>15426</v>
      </c>
      <c r="E35" s="288">
        <v>14143</v>
      </c>
      <c r="F35" s="288">
        <v>20768</v>
      </c>
      <c r="G35" s="288">
        <v>11989</v>
      </c>
      <c r="H35" s="288">
        <v>1170</v>
      </c>
      <c r="I35" s="288">
        <v>783</v>
      </c>
      <c r="J35" s="683">
        <v>2983</v>
      </c>
      <c r="K35" s="683">
        <v>172</v>
      </c>
      <c r="L35" s="683">
        <v>547</v>
      </c>
      <c r="M35" s="683">
        <v>947</v>
      </c>
      <c r="N35" s="319" t="s">
        <v>2088</v>
      </c>
      <c r="O35" s="1431" t="s">
        <v>2088</v>
      </c>
      <c r="P35" s="683">
        <v>46</v>
      </c>
      <c r="Q35" s="683">
        <v>113</v>
      </c>
      <c r="R35" s="683">
        <v>197</v>
      </c>
      <c r="S35" s="683">
        <v>334</v>
      </c>
      <c r="T35" s="683">
        <v>87</v>
      </c>
      <c r="U35" s="683">
        <v>93</v>
      </c>
      <c r="V35" s="683">
        <v>93</v>
      </c>
      <c r="W35" s="683">
        <v>141</v>
      </c>
      <c r="X35" s="288">
        <v>1522</v>
      </c>
      <c r="Y35" s="288">
        <v>1804</v>
      </c>
      <c r="Z35" s="683">
        <v>66</v>
      </c>
      <c r="AA35" s="683">
        <v>29</v>
      </c>
      <c r="AB35" s="319" t="s">
        <v>2088</v>
      </c>
      <c r="AC35" s="779"/>
    </row>
    <row r="36" spans="1:30" s="160" customFormat="1" ht="16.5" customHeight="1">
      <c r="A36" s="1758" t="s">
        <v>2228</v>
      </c>
      <c r="B36" s="213">
        <v>2973</v>
      </c>
      <c r="C36" s="213">
        <v>2557</v>
      </c>
      <c r="D36" s="249">
        <v>16656</v>
      </c>
      <c r="E36" s="249">
        <v>14210</v>
      </c>
      <c r="F36" s="249">
        <v>21068</v>
      </c>
      <c r="G36" s="249">
        <v>12053</v>
      </c>
      <c r="H36" s="249">
        <v>1172</v>
      </c>
      <c r="I36" s="249">
        <v>770</v>
      </c>
      <c r="J36" s="213">
        <v>2934</v>
      </c>
      <c r="K36" s="213">
        <v>167</v>
      </c>
      <c r="L36" s="213">
        <v>638</v>
      </c>
      <c r="M36" s="213">
        <v>1144</v>
      </c>
      <c r="N36" s="252" t="s">
        <v>2228</v>
      </c>
      <c r="O36" s="1758" t="s">
        <v>2228</v>
      </c>
      <c r="P36" s="213">
        <v>45</v>
      </c>
      <c r="Q36" s="213">
        <v>121</v>
      </c>
      <c r="R36" s="213">
        <v>185</v>
      </c>
      <c r="S36" s="213">
        <v>309</v>
      </c>
      <c r="T36" s="213">
        <v>98</v>
      </c>
      <c r="U36" s="213">
        <v>101</v>
      </c>
      <c r="V36" s="213">
        <v>101</v>
      </c>
      <c r="W36" s="213">
        <v>145</v>
      </c>
      <c r="X36" s="249">
        <v>1725</v>
      </c>
      <c r="Y36" s="249">
        <v>1788</v>
      </c>
      <c r="Z36" s="213">
        <v>67</v>
      </c>
      <c r="AA36" s="213">
        <v>29</v>
      </c>
      <c r="AB36" s="252" t="s">
        <v>2228</v>
      </c>
      <c r="AC36" s="779"/>
    </row>
    <row r="37" spans="1:30" ht="12.75" customHeight="1" thickBot="1">
      <c r="A37" s="922" t="s">
        <v>2876</v>
      </c>
      <c r="B37" s="1732">
        <v>2794</v>
      </c>
      <c r="C37" s="1732">
        <v>2370</v>
      </c>
      <c r="D37" s="753">
        <v>16514</v>
      </c>
      <c r="E37" s="753">
        <v>13867</v>
      </c>
      <c r="F37" s="753">
        <v>21322</v>
      </c>
      <c r="G37" s="753">
        <v>12081</v>
      </c>
      <c r="H37" s="753">
        <v>1041</v>
      </c>
      <c r="I37" s="753">
        <v>694</v>
      </c>
      <c r="J37" s="1732">
        <v>2923</v>
      </c>
      <c r="K37" s="1732">
        <v>165</v>
      </c>
      <c r="L37" s="1732">
        <v>644</v>
      </c>
      <c r="M37" s="1732">
        <v>1126</v>
      </c>
      <c r="N37" s="1733" t="s">
        <v>2876</v>
      </c>
      <c r="O37" s="922" t="s">
        <v>2876</v>
      </c>
      <c r="P37" s="1732">
        <v>138</v>
      </c>
      <c r="Q37" s="1732">
        <v>311</v>
      </c>
      <c r="R37" s="1732">
        <v>168</v>
      </c>
      <c r="S37" s="1732">
        <v>299</v>
      </c>
      <c r="T37" s="1732">
        <v>104</v>
      </c>
      <c r="U37" s="1732">
        <v>107</v>
      </c>
      <c r="V37" s="1732">
        <v>91</v>
      </c>
      <c r="W37" s="1732">
        <v>148</v>
      </c>
      <c r="X37" s="753">
        <v>1612</v>
      </c>
      <c r="Y37" s="753">
        <v>1715</v>
      </c>
      <c r="Z37" s="1732">
        <v>72</v>
      </c>
      <c r="AA37" s="1732">
        <v>27</v>
      </c>
      <c r="AB37" s="1733" t="s">
        <v>2876</v>
      </c>
      <c r="AD37" s="881"/>
    </row>
    <row r="38" spans="1:30">
      <c r="A38" s="2303" t="s">
        <v>1224</v>
      </c>
      <c r="B38" s="2303"/>
      <c r="C38" s="2303"/>
      <c r="D38" s="2303"/>
      <c r="E38" s="2303"/>
      <c r="F38" s="2304"/>
      <c r="G38" s="2304"/>
      <c r="H38" s="2304" t="s">
        <v>1799</v>
      </c>
      <c r="I38" s="2304"/>
      <c r="J38" s="2304"/>
      <c r="K38" s="2304"/>
      <c r="L38" s="2304"/>
      <c r="M38" s="2304"/>
      <c r="O38" s="2302" t="s">
        <v>1225</v>
      </c>
      <c r="P38" s="2302"/>
      <c r="Q38" s="2302"/>
      <c r="R38" s="2302"/>
      <c r="S38" s="2302"/>
      <c r="T38" s="2302"/>
      <c r="U38" s="2302"/>
      <c r="V38" s="2302" t="s">
        <v>1799</v>
      </c>
      <c r="W38" s="2302"/>
      <c r="X38" s="2302"/>
      <c r="Y38" s="2302"/>
      <c r="Z38" s="2302"/>
      <c r="AA38" s="2302"/>
    </row>
    <row r="39" spans="1:30" ht="12.75" hidden="1" customHeight="1">
      <c r="A39" s="236"/>
      <c r="B39" s="7" t="s">
        <v>1559</v>
      </c>
      <c r="C39" s="7"/>
      <c r="E39" s="1090"/>
      <c r="F39" s="881"/>
      <c r="H39" s="881"/>
      <c r="R39" s="881"/>
      <c r="S39" s="881"/>
      <c r="T39" s="881"/>
      <c r="U39" s="991"/>
      <c r="W39" s="881"/>
    </row>
    <row r="40" spans="1:30" ht="12.75" hidden="1" customHeight="1"/>
    <row r="41" spans="1:30" ht="12.75" hidden="1" customHeight="1">
      <c r="X41" s="2">
        <v>7501011</v>
      </c>
    </row>
    <row r="42" spans="1:30" ht="12.75" hidden="1" customHeight="1">
      <c r="X42" s="2">
        <v>7558934</v>
      </c>
    </row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8" spans="1:30">
      <c r="B48" s="52"/>
      <c r="F48" s="881"/>
      <c r="G48" s="881"/>
      <c r="P48" s="881"/>
      <c r="Q48" s="881"/>
      <c r="R48" s="881"/>
      <c r="S48" s="881"/>
      <c r="T48" s="881"/>
      <c r="U48" s="881"/>
      <c r="V48" s="881"/>
      <c r="W48" s="881"/>
      <c r="AA48" s="881"/>
      <c r="AB48" s="881"/>
    </row>
    <row r="49" spans="3:28">
      <c r="F49" s="881"/>
      <c r="H49" s="881"/>
      <c r="I49" s="881"/>
      <c r="K49" s="881"/>
      <c r="M49" s="881"/>
      <c r="P49" s="881"/>
      <c r="Q49" s="881"/>
      <c r="T49" s="881"/>
      <c r="W49" s="881"/>
      <c r="Y49" s="881"/>
    </row>
    <row r="50" spans="3:28">
      <c r="C50" s="881"/>
      <c r="E50" s="881"/>
    </row>
    <row r="52" spans="3:28">
      <c r="AB52" s="881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8:AA38"/>
    <mergeCell ref="A38:E38"/>
    <mergeCell ref="F38:G38"/>
    <mergeCell ref="H38:J38"/>
    <mergeCell ref="K38:M38"/>
    <mergeCell ref="O38:U38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O62"/>
  <sheetViews>
    <sheetView topLeftCell="A34" zoomScale="160" zoomScaleNormal="160" zoomScaleSheetLayoutView="200" workbookViewId="0">
      <selection activeCell="L57" sqref="L57"/>
    </sheetView>
  </sheetViews>
  <sheetFormatPr defaultColWidth="5.85546875" defaultRowHeight="9"/>
  <cols>
    <col min="1" max="1" width="7" style="218" customWidth="1"/>
    <col min="2" max="2" width="8.5703125" style="218" customWidth="1"/>
    <col min="3" max="3" width="6.140625" style="218" customWidth="1"/>
    <col min="4" max="5" width="6.85546875" style="218" customWidth="1"/>
    <col min="6" max="6" width="7.42578125" style="218" customWidth="1"/>
    <col min="7" max="7" width="6.140625" style="218" customWidth="1"/>
    <col min="8" max="8" width="6.5703125" style="218" customWidth="1"/>
    <col min="9" max="9" width="6.85546875" style="218" customWidth="1"/>
    <col min="10" max="10" width="7.5703125" style="218" customWidth="1"/>
    <col min="11" max="11" width="7.42578125" style="218" customWidth="1"/>
    <col min="12" max="17" width="5.85546875" style="218"/>
    <col min="18" max="18" width="6.140625" style="218" bestFit="1" customWidth="1"/>
    <col min="19" max="16384" width="5.85546875" style="218"/>
  </cols>
  <sheetData>
    <row r="1" spans="1:11" s="162" customFormat="1" ht="14.25" customHeight="1">
      <c r="A1" s="2306" t="s">
        <v>2196</v>
      </c>
      <c r="B1" s="2306"/>
      <c r="C1" s="2306"/>
      <c r="D1" s="2306"/>
      <c r="E1" s="2306"/>
      <c r="F1" s="2306"/>
      <c r="G1" s="2306"/>
      <c r="H1" s="2306"/>
      <c r="I1" s="2306"/>
      <c r="J1" s="2307" t="s">
        <v>2187</v>
      </c>
      <c r="K1" s="2307"/>
    </row>
    <row r="2" spans="1:11" s="165" customFormat="1" ht="12.75" customHeight="1">
      <c r="A2" s="1541"/>
      <c r="B2" s="1541"/>
      <c r="C2" s="2310" t="s">
        <v>2195</v>
      </c>
      <c r="D2" s="2310"/>
      <c r="E2" s="2310"/>
      <c r="F2" s="1683"/>
      <c r="G2" s="2308"/>
      <c r="H2" s="2308"/>
      <c r="I2" s="2308"/>
    </row>
    <row r="3" spans="1:11" s="167" customFormat="1" ht="26.25" customHeight="1">
      <c r="A3" s="2309" t="s">
        <v>481</v>
      </c>
      <c r="B3" s="1681" t="s">
        <v>573</v>
      </c>
      <c r="C3" s="1681" t="s">
        <v>574</v>
      </c>
      <c r="D3" s="1682" t="s">
        <v>496</v>
      </c>
      <c r="E3" s="1682" t="s">
        <v>497</v>
      </c>
      <c r="F3" s="1681" t="s">
        <v>244</v>
      </c>
      <c r="G3" s="1680" t="s">
        <v>243</v>
      </c>
      <c r="H3" s="1682" t="s">
        <v>585</v>
      </c>
      <c r="I3" s="1682" t="s">
        <v>575</v>
      </c>
      <c r="J3" s="1681" t="s">
        <v>2151</v>
      </c>
      <c r="K3" s="1682" t="s">
        <v>499</v>
      </c>
    </row>
    <row r="4" spans="1:11" s="167" customFormat="1" ht="25.5" customHeight="1">
      <c r="A4" s="2239"/>
      <c r="B4" s="1681" t="s">
        <v>915</v>
      </c>
      <c r="C4" s="1681" t="s">
        <v>914</v>
      </c>
      <c r="D4" s="1681" t="s">
        <v>916</v>
      </c>
      <c r="E4" s="1681" t="s">
        <v>917</v>
      </c>
      <c r="F4" s="1681" t="s">
        <v>918</v>
      </c>
      <c r="G4" s="1680" t="s">
        <v>920</v>
      </c>
      <c r="H4" s="1681" t="s">
        <v>918</v>
      </c>
      <c r="I4" s="1681" t="s">
        <v>918</v>
      </c>
      <c r="J4" s="459" t="s">
        <v>232</v>
      </c>
      <c r="K4" s="1681" t="s">
        <v>919</v>
      </c>
    </row>
    <row r="5" spans="1:11" s="160" customFormat="1" ht="11.45" customHeight="1">
      <c r="A5" s="159" t="s">
        <v>81</v>
      </c>
      <c r="B5" s="140">
        <v>1006.35</v>
      </c>
      <c r="C5" s="26">
        <v>52975</v>
      </c>
      <c r="D5" s="26">
        <v>18676</v>
      </c>
      <c r="E5" s="26">
        <v>236790</v>
      </c>
      <c r="F5" s="26">
        <v>76918</v>
      </c>
      <c r="G5" s="249">
        <v>156528</v>
      </c>
      <c r="H5" s="249">
        <v>62203</v>
      </c>
      <c r="I5" s="249">
        <v>1138644</v>
      </c>
      <c r="J5" s="249">
        <v>2021</v>
      </c>
      <c r="K5" s="249">
        <v>13330</v>
      </c>
    </row>
    <row r="6" spans="1:11" s="159" customFormat="1" ht="11.45" customHeight="1">
      <c r="A6" s="298" t="s">
        <v>189</v>
      </c>
      <c r="B6" s="295">
        <v>1030</v>
      </c>
      <c r="C6" s="295">
        <v>56181</v>
      </c>
      <c r="D6" s="295">
        <v>20241</v>
      </c>
      <c r="E6" s="295">
        <v>234510</v>
      </c>
      <c r="F6" s="295">
        <v>76970</v>
      </c>
      <c r="G6" s="290">
        <v>154384</v>
      </c>
      <c r="H6" s="290">
        <v>100963</v>
      </c>
      <c r="I6" s="290">
        <v>1011941</v>
      </c>
      <c r="J6" s="290">
        <v>1898</v>
      </c>
      <c r="K6" s="290">
        <v>14143</v>
      </c>
    </row>
    <row r="7" spans="1:11" s="159" customFormat="1" ht="11.45" customHeight="1">
      <c r="A7" s="159" t="s">
        <v>705</v>
      </c>
      <c r="B7" s="140">
        <v>955.09444444444443</v>
      </c>
      <c r="C7" s="140">
        <v>56546</v>
      </c>
      <c r="D7" s="140">
        <v>20740</v>
      </c>
      <c r="E7" s="140">
        <v>315050</v>
      </c>
      <c r="F7" s="140">
        <v>113765</v>
      </c>
      <c r="G7" s="376">
        <v>162407</v>
      </c>
      <c r="H7" s="376">
        <v>63309</v>
      </c>
      <c r="I7" s="376">
        <v>1036947</v>
      </c>
      <c r="J7" s="376">
        <v>1442</v>
      </c>
      <c r="K7" s="376">
        <v>18148</v>
      </c>
    </row>
    <row r="8" spans="1:11" s="159" customFormat="1" ht="11.45" customHeight="1">
      <c r="A8" s="298" t="s">
        <v>814</v>
      </c>
      <c r="B8" s="295">
        <v>970.12777777777774</v>
      </c>
      <c r="C8" s="295">
        <v>56949</v>
      </c>
      <c r="D8" s="295">
        <v>17774</v>
      </c>
      <c r="E8" s="295">
        <v>262620</v>
      </c>
      <c r="F8" s="295">
        <v>313265</v>
      </c>
      <c r="G8" s="290">
        <v>194048</v>
      </c>
      <c r="H8" s="290">
        <v>107133</v>
      </c>
      <c r="I8" s="290">
        <v>1074791</v>
      </c>
      <c r="J8" s="290">
        <v>2364</v>
      </c>
      <c r="K8" s="290">
        <v>20989</v>
      </c>
    </row>
    <row r="9" spans="1:11" s="159" customFormat="1" ht="11.45" customHeight="1">
      <c r="A9" s="159" t="s">
        <v>991</v>
      </c>
      <c r="B9" s="140">
        <v>974.33888888888885</v>
      </c>
      <c r="C9" s="140">
        <v>57386</v>
      </c>
      <c r="D9" s="140">
        <v>13098</v>
      </c>
      <c r="E9" s="140">
        <v>283130</v>
      </c>
      <c r="F9" s="140">
        <v>352115</v>
      </c>
      <c r="G9" s="376">
        <v>209106</v>
      </c>
      <c r="H9" s="376">
        <v>128268</v>
      </c>
      <c r="I9" s="376">
        <v>976691</v>
      </c>
      <c r="J9" s="376">
        <v>2009</v>
      </c>
      <c r="K9" s="376">
        <v>20813</v>
      </c>
    </row>
    <row r="10" spans="1:11" s="159" customFormat="1" ht="11.45" customHeight="1">
      <c r="A10" s="298" t="s">
        <v>1042</v>
      </c>
      <c r="B10" s="290">
        <v>780.2166666666667</v>
      </c>
      <c r="C10" s="290">
        <v>44692</v>
      </c>
      <c r="D10" s="290">
        <v>12660</v>
      </c>
      <c r="E10" s="290">
        <v>264850</v>
      </c>
      <c r="F10" s="290">
        <v>609045</v>
      </c>
      <c r="G10" s="290">
        <v>298939</v>
      </c>
      <c r="H10" s="290">
        <v>77450</v>
      </c>
      <c r="I10" s="290">
        <v>1028157</v>
      </c>
      <c r="J10" s="290">
        <v>1529</v>
      </c>
      <c r="K10" s="290">
        <v>18935</v>
      </c>
    </row>
    <row r="11" spans="1:11" s="159" customFormat="1" ht="11.45" customHeight="1">
      <c r="A11" s="159" t="s">
        <v>1163</v>
      </c>
      <c r="B11" s="376">
        <v>892</v>
      </c>
      <c r="C11" s="376">
        <v>47444</v>
      </c>
      <c r="D11" s="376">
        <v>10577</v>
      </c>
      <c r="E11" s="376">
        <v>224210</v>
      </c>
      <c r="F11" s="376">
        <v>728260</v>
      </c>
      <c r="G11" s="376">
        <v>278952</v>
      </c>
      <c r="H11" s="376">
        <v>58219.3</v>
      </c>
      <c r="I11" s="376">
        <v>1010446</v>
      </c>
      <c r="J11" s="376">
        <v>1363</v>
      </c>
      <c r="K11" s="376">
        <v>19506</v>
      </c>
    </row>
    <row r="12" spans="1:11" s="159" customFormat="1" ht="11.45" customHeight="1">
      <c r="A12" s="298" t="s">
        <v>1187</v>
      </c>
      <c r="B12" s="290">
        <v>898</v>
      </c>
      <c r="C12" s="290">
        <v>47060</v>
      </c>
      <c r="D12" s="290">
        <v>6777</v>
      </c>
      <c r="E12" s="290">
        <v>175730</v>
      </c>
      <c r="F12" s="290">
        <v>657966</v>
      </c>
      <c r="G12" s="290">
        <v>348931</v>
      </c>
      <c r="H12" s="290">
        <v>59984.55</v>
      </c>
      <c r="I12" s="290">
        <v>1089418.05</v>
      </c>
      <c r="J12" s="290">
        <v>1333</v>
      </c>
      <c r="K12" s="290">
        <v>22827</v>
      </c>
    </row>
    <row r="13" spans="1:11" s="159" customFormat="1" ht="11.45" customHeight="1">
      <c r="A13" s="159" t="s">
        <v>1311</v>
      </c>
      <c r="B13" s="376">
        <v>932</v>
      </c>
      <c r="C13" s="376">
        <v>42447</v>
      </c>
      <c r="D13" s="376">
        <v>3182</v>
      </c>
      <c r="E13" s="376">
        <v>156600</v>
      </c>
      <c r="F13" s="376">
        <v>1001358</v>
      </c>
      <c r="G13" s="376">
        <v>408516</v>
      </c>
      <c r="H13" s="376">
        <v>68602.5</v>
      </c>
      <c r="I13" s="376">
        <v>913965</v>
      </c>
      <c r="J13" s="376">
        <v>1629</v>
      </c>
      <c r="K13" s="376">
        <v>25124</v>
      </c>
    </row>
    <row r="14" spans="1:11" s="159" customFormat="1" ht="11.45" customHeight="1">
      <c r="A14" s="298" t="s">
        <v>1420</v>
      </c>
      <c r="B14" s="290">
        <v>1004</v>
      </c>
      <c r="C14" s="290">
        <v>41744</v>
      </c>
      <c r="D14" s="290">
        <v>5635</v>
      </c>
      <c r="E14" s="290">
        <v>152810</v>
      </c>
      <c r="F14" s="290">
        <v>1082720</v>
      </c>
      <c r="G14" s="290">
        <v>359883</v>
      </c>
      <c r="H14" s="290">
        <v>68953.100000000006</v>
      </c>
      <c r="I14" s="290">
        <v>923425</v>
      </c>
      <c r="J14" s="290">
        <v>1431</v>
      </c>
      <c r="K14" s="290">
        <v>34653</v>
      </c>
    </row>
    <row r="15" spans="1:11" s="159" customFormat="1" ht="11.45" customHeight="1">
      <c r="A15" s="159" t="s">
        <v>1502</v>
      </c>
      <c r="B15" s="376">
        <v>1241</v>
      </c>
      <c r="C15" s="376">
        <v>35782</v>
      </c>
      <c r="D15" s="376">
        <v>7220</v>
      </c>
      <c r="E15" s="376">
        <v>161860</v>
      </c>
      <c r="F15" s="376">
        <v>1088705</v>
      </c>
      <c r="G15" s="376">
        <v>430242</v>
      </c>
      <c r="H15" s="376">
        <v>82140.45</v>
      </c>
      <c r="I15" s="376">
        <v>1100799</v>
      </c>
      <c r="J15" s="376">
        <v>1021</v>
      </c>
      <c r="K15" s="376">
        <v>44264</v>
      </c>
    </row>
    <row r="16" spans="1:11" s="159" customFormat="1" ht="11.45" customHeight="1">
      <c r="A16" s="298" t="s">
        <v>1555</v>
      </c>
      <c r="B16" s="290">
        <v>1472</v>
      </c>
      <c r="C16" s="290">
        <v>39495</v>
      </c>
      <c r="D16" s="288">
        <v>6027</v>
      </c>
      <c r="E16" s="290">
        <v>154030</v>
      </c>
      <c r="F16" s="290">
        <v>987319</v>
      </c>
      <c r="G16" s="290">
        <v>332939</v>
      </c>
      <c r="H16" s="290">
        <v>48134</v>
      </c>
      <c r="I16" s="290">
        <v>1205833</v>
      </c>
      <c r="J16" s="288">
        <v>100</v>
      </c>
      <c r="K16" s="290">
        <v>45323</v>
      </c>
    </row>
    <row r="17" spans="1:11" s="159" customFormat="1" ht="11.45" customHeight="1">
      <c r="A17" s="159" t="s">
        <v>1836</v>
      </c>
      <c r="B17" s="376">
        <v>1479</v>
      </c>
      <c r="C17" s="376">
        <v>51854</v>
      </c>
      <c r="D17" s="249">
        <v>2277</v>
      </c>
      <c r="E17" s="376">
        <v>149500</v>
      </c>
      <c r="F17" s="376">
        <v>888610</v>
      </c>
      <c r="G17" s="376">
        <v>429542</v>
      </c>
      <c r="H17" s="376">
        <v>21486</v>
      </c>
      <c r="I17" s="376">
        <v>1197117</v>
      </c>
      <c r="J17" s="249">
        <v>1368</v>
      </c>
      <c r="K17" s="376">
        <v>41441</v>
      </c>
    </row>
    <row r="18" spans="1:11" s="159" customFormat="1" ht="11.45" customHeight="1">
      <c r="A18" s="300" t="s">
        <v>2088</v>
      </c>
      <c r="B18" s="476">
        <v>1449.1173547777778</v>
      </c>
      <c r="C18" s="476">
        <v>17419.431326802038</v>
      </c>
      <c r="D18" s="476">
        <v>1541</v>
      </c>
      <c r="E18" s="476">
        <v>6546866.4124000007</v>
      </c>
      <c r="F18" s="476">
        <v>4145117.8317926526</v>
      </c>
      <c r="G18" s="476">
        <v>113367.93831088001</v>
      </c>
      <c r="H18" s="476">
        <v>20753.25</v>
      </c>
      <c r="I18" s="476">
        <v>947827.05</v>
      </c>
      <c r="J18" s="476">
        <v>1257</v>
      </c>
      <c r="K18" s="476">
        <v>52526.531239999997</v>
      </c>
    </row>
    <row r="19" spans="1:11" s="159" customFormat="1" ht="11.45" customHeight="1">
      <c r="A19" s="186" t="s">
        <v>2228</v>
      </c>
      <c r="B19" s="340">
        <f t="shared" ref="B19:K19" si="0">SUM(B20:B31)</f>
        <v>1450.0592955318409</v>
      </c>
      <c r="C19" s="340">
        <f t="shared" si="0"/>
        <v>19194.115441284597</v>
      </c>
      <c r="D19" s="340">
        <f t="shared" si="0"/>
        <v>2509.77</v>
      </c>
      <c r="E19" s="340">
        <f t="shared" si="0"/>
        <v>7121421.9889320862</v>
      </c>
      <c r="F19" s="340">
        <f t="shared" si="0"/>
        <v>3963435.8664715746</v>
      </c>
      <c r="G19" s="340">
        <f t="shared" si="0"/>
        <v>92987.88413691087</v>
      </c>
      <c r="H19" s="340">
        <f t="shared" si="0"/>
        <v>30819</v>
      </c>
      <c r="I19" s="340">
        <f t="shared" si="0"/>
        <v>663247.75</v>
      </c>
      <c r="J19" s="481">
        <f t="shared" si="0"/>
        <v>53</v>
      </c>
      <c r="K19" s="340">
        <f t="shared" si="0"/>
        <v>56424.042765559592</v>
      </c>
    </row>
    <row r="20" spans="1:11" s="159" customFormat="1" ht="11.45" customHeight="1">
      <c r="A20" s="1335" t="s">
        <v>559</v>
      </c>
      <c r="B20" s="996">
        <v>118.77621777777777</v>
      </c>
      <c r="C20" s="996">
        <v>1410.5935671799998</v>
      </c>
      <c r="D20" s="1336">
        <v>330</v>
      </c>
      <c r="E20" s="996">
        <v>496003.37</v>
      </c>
      <c r="F20" s="996">
        <v>350141.8544093126</v>
      </c>
      <c r="G20" s="1336">
        <v>7785</v>
      </c>
      <c r="H20" s="996">
        <v>0</v>
      </c>
      <c r="I20" s="996">
        <f>3402+5705+58877</f>
        <v>67984</v>
      </c>
      <c r="J20" s="996">
        <v>38</v>
      </c>
      <c r="K20" s="996">
        <v>4642.6895000000004</v>
      </c>
    </row>
    <row r="21" spans="1:11" s="159" customFormat="1" ht="11.45" customHeight="1">
      <c r="A21" s="1256" t="s">
        <v>560</v>
      </c>
      <c r="B21" s="1334">
        <v>121.49070813333334</v>
      </c>
      <c r="C21" s="1334">
        <v>1448.1245770773126</v>
      </c>
      <c r="D21" s="1334">
        <v>79.33</v>
      </c>
      <c r="E21" s="1334">
        <v>494010.22000000003</v>
      </c>
      <c r="F21" s="1334">
        <v>272342.33255196962</v>
      </c>
      <c r="G21" s="1334">
        <v>7572.6</v>
      </c>
      <c r="H21" s="1334">
        <v>0</v>
      </c>
      <c r="I21" s="1334">
        <f>4838+6880+79156</f>
        <v>90874</v>
      </c>
      <c r="J21" s="1334">
        <v>15</v>
      </c>
      <c r="K21" s="1334">
        <v>5187.8999999999996</v>
      </c>
    </row>
    <row r="22" spans="1:11" s="159" customFormat="1" ht="11.45" customHeight="1">
      <c r="A22" s="1335" t="s">
        <v>554</v>
      </c>
      <c r="B22" s="996">
        <v>119.89664422222221</v>
      </c>
      <c r="C22" s="996">
        <v>1684.0030053768724</v>
      </c>
      <c r="D22" s="996">
        <v>408</v>
      </c>
      <c r="E22" s="996">
        <v>496715.30108</v>
      </c>
      <c r="F22" s="996">
        <v>280082.41003337654</v>
      </c>
      <c r="G22" s="996">
        <v>7491.8308500000003</v>
      </c>
      <c r="H22" s="996">
        <v>0</v>
      </c>
      <c r="I22" s="996">
        <f>30814+9066+6908</f>
        <v>46788</v>
      </c>
      <c r="J22" s="996">
        <v>0</v>
      </c>
      <c r="K22" s="996">
        <v>5162.6303869999992</v>
      </c>
    </row>
    <row r="23" spans="1:11" s="159" customFormat="1" ht="11.45" customHeight="1">
      <c r="A23" s="1256" t="s">
        <v>561</v>
      </c>
      <c r="B23" s="1334">
        <v>117.28494901111111</v>
      </c>
      <c r="C23" s="1334">
        <v>1789.112250061959</v>
      </c>
      <c r="D23" s="1334">
        <v>227</v>
      </c>
      <c r="E23" s="1334">
        <v>574629.54495113331</v>
      </c>
      <c r="F23" s="1334">
        <v>293857.41934957646</v>
      </c>
      <c r="G23" s="1334">
        <v>7702.8235002189995</v>
      </c>
      <c r="H23" s="1334">
        <v>0</v>
      </c>
      <c r="I23" s="1334">
        <f>4589+6765+8624</f>
        <v>19978</v>
      </c>
      <c r="J23" s="1334">
        <v>0</v>
      </c>
      <c r="K23" s="1334">
        <v>5315.8153712499998</v>
      </c>
    </row>
    <row r="24" spans="1:11" s="159" customFormat="1" ht="11.45" customHeight="1">
      <c r="A24" s="1335" t="s">
        <v>562</v>
      </c>
      <c r="B24" s="996">
        <v>125.88772922555555</v>
      </c>
      <c r="C24" s="996">
        <v>1668.511819380866</v>
      </c>
      <c r="D24" s="996">
        <v>331</v>
      </c>
      <c r="E24" s="996">
        <v>575258.23333333328</v>
      </c>
      <c r="F24" s="996">
        <v>402040.87809082778</v>
      </c>
      <c r="G24" s="996">
        <v>8061.17238</v>
      </c>
      <c r="H24" s="996">
        <v>1941</v>
      </c>
      <c r="I24" s="996">
        <f>61870+11865+3283</f>
        <v>77018</v>
      </c>
      <c r="J24" s="996">
        <v>0</v>
      </c>
      <c r="K24" s="996">
        <v>4403.2036434943748</v>
      </c>
    </row>
    <row r="25" spans="1:11" s="159" customFormat="1" ht="11.45" customHeight="1">
      <c r="A25" s="1256" t="s">
        <v>555</v>
      </c>
      <c r="B25" s="1334">
        <v>122.52091012222223</v>
      </c>
      <c r="C25" s="1334">
        <v>1654.9350163548636</v>
      </c>
      <c r="D25" s="1334">
        <v>210</v>
      </c>
      <c r="E25" s="1334">
        <v>572718.73333333328</v>
      </c>
      <c r="F25" s="1334">
        <v>304633.47112559999</v>
      </c>
      <c r="G25" s="1334">
        <v>7828.1440855999999</v>
      </c>
      <c r="H25" s="1334">
        <v>8970</v>
      </c>
      <c r="I25" s="1334">
        <v>101010</v>
      </c>
      <c r="J25" s="1334">
        <v>0</v>
      </c>
      <c r="K25" s="1334">
        <v>4676.8221689517723</v>
      </c>
    </row>
    <row r="26" spans="1:11" s="159" customFormat="1" ht="11.45" customHeight="1">
      <c r="A26" s="1335" t="s">
        <v>563</v>
      </c>
      <c r="B26" s="996">
        <v>117.82483982399998</v>
      </c>
      <c r="C26" s="996">
        <v>1614.478090113379</v>
      </c>
      <c r="D26" s="996">
        <v>53</v>
      </c>
      <c r="E26" s="996">
        <v>652928.41999999993</v>
      </c>
      <c r="F26" s="996">
        <v>377587.72223946091</v>
      </c>
      <c r="G26" s="996">
        <v>7936.0501704279995</v>
      </c>
      <c r="H26" s="996">
        <v>14569</v>
      </c>
      <c r="I26" s="996">
        <v>118635</v>
      </c>
      <c r="J26" s="996">
        <v>0</v>
      </c>
      <c r="K26" s="996">
        <v>4559.6257059312502</v>
      </c>
    </row>
    <row r="27" spans="1:11" s="159" customFormat="1" ht="11.45" customHeight="1">
      <c r="A27" s="1256" t="s">
        <v>564</v>
      </c>
      <c r="B27" s="1334">
        <v>120.41843450250794</v>
      </c>
      <c r="C27" s="1334">
        <v>1752.7438335241598</v>
      </c>
      <c r="D27" s="1334">
        <v>254.64</v>
      </c>
      <c r="E27" s="1334">
        <v>652711.91571428603</v>
      </c>
      <c r="F27" s="1334">
        <v>332720.18330137373</v>
      </c>
      <c r="G27" s="1334">
        <v>8022.1524689386633</v>
      </c>
      <c r="H27" s="1334">
        <v>5116</v>
      </c>
      <c r="I27" s="1334">
        <v>57503</v>
      </c>
      <c r="J27" s="1334">
        <v>0</v>
      </c>
      <c r="K27" s="1334">
        <v>4546.6773009859671</v>
      </c>
    </row>
    <row r="28" spans="1:11" s="159" customFormat="1" ht="11.45" customHeight="1">
      <c r="A28" s="1335" t="s">
        <v>556</v>
      </c>
      <c r="B28" s="996">
        <v>120.4135205917859</v>
      </c>
      <c r="C28" s="996">
        <v>1706.5587002601321</v>
      </c>
      <c r="D28" s="996">
        <v>189.69</v>
      </c>
      <c r="E28" s="996">
        <v>642528.35</v>
      </c>
      <c r="F28" s="996">
        <v>351969.29615690617</v>
      </c>
      <c r="G28" s="996">
        <v>7855.4140975324271</v>
      </c>
      <c r="H28" s="996">
        <v>223</v>
      </c>
      <c r="I28" s="996">
        <v>30614</v>
      </c>
      <c r="J28" s="996">
        <v>0</v>
      </c>
      <c r="K28" s="996">
        <v>4548.9186181136656</v>
      </c>
    </row>
    <row r="29" spans="1:11" s="159" customFormat="1" ht="11.45" customHeight="1">
      <c r="A29" s="1256" t="s">
        <v>565</v>
      </c>
      <c r="B29" s="1334">
        <v>122.52825121826022</v>
      </c>
      <c r="C29" s="1334">
        <v>1466.2322847682537</v>
      </c>
      <c r="D29" s="1334">
        <v>208.71</v>
      </c>
      <c r="E29" s="1334">
        <v>662558.62344</v>
      </c>
      <c r="F29" s="1334">
        <v>353561.98337923491</v>
      </c>
      <c r="G29" s="1334">
        <v>7485.1393023670898</v>
      </c>
      <c r="H29" s="1334">
        <v>0</v>
      </c>
      <c r="I29" s="1334">
        <v>10858</v>
      </c>
      <c r="J29" s="1334">
        <v>0</v>
      </c>
      <c r="K29" s="1334">
        <v>4492.215761705148</v>
      </c>
    </row>
    <row r="30" spans="1:11" s="159" customFormat="1" ht="11.45" customHeight="1">
      <c r="A30" s="1335" t="s">
        <v>566</v>
      </c>
      <c r="B30" s="996">
        <v>121.74126931751465</v>
      </c>
      <c r="C30" s="996">
        <v>1588.9940881859927</v>
      </c>
      <c r="D30" s="996">
        <v>128</v>
      </c>
      <c r="E30" s="996">
        <v>658759.62354000006</v>
      </c>
      <c r="F30" s="996">
        <v>389612.51619263092</v>
      </c>
      <c r="G30" s="996">
        <v>7689.0369246442579</v>
      </c>
      <c r="H30" s="996">
        <v>0</v>
      </c>
      <c r="I30" s="996">
        <v>20948</v>
      </c>
      <c r="J30" s="996">
        <v>0</v>
      </c>
      <c r="K30" s="996">
        <v>4491.8992619005185</v>
      </c>
    </row>
    <row r="31" spans="1:11" s="159" customFormat="1" ht="11.45" customHeight="1">
      <c r="A31" s="1256" t="s">
        <v>557</v>
      </c>
      <c r="B31" s="1334">
        <v>121.27582158554985</v>
      </c>
      <c r="C31" s="1334">
        <v>1409.8282090008076</v>
      </c>
      <c r="D31" s="1334">
        <v>90.4</v>
      </c>
      <c r="E31" s="1334">
        <v>642599.65353999997</v>
      </c>
      <c r="F31" s="1334">
        <v>254885.79964130497</v>
      </c>
      <c r="G31" s="1334">
        <v>7558.5203571814345</v>
      </c>
      <c r="H31" s="1334">
        <v>0</v>
      </c>
      <c r="I31" s="1334">
        <v>21037.75</v>
      </c>
      <c r="J31" s="1334">
        <v>0</v>
      </c>
      <c r="K31" s="1334">
        <v>4395.6450462268895</v>
      </c>
    </row>
    <row r="32" spans="1:11" s="159" customFormat="1" ht="11.45" customHeight="1">
      <c r="A32" s="300" t="s">
        <v>2501</v>
      </c>
      <c r="B32" s="476">
        <f t="shared" ref="B32:K32" si="1">SUM(B33:B44)</f>
        <v>1509.770236806602</v>
      </c>
      <c r="C32" s="476">
        <f t="shared" si="1"/>
        <v>18282.20293308602</v>
      </c>
      <c r="D32" s="476">
        <f t="shared" si="1"/>
        <v>1618.91</v>
      </c>
      <c r="E32" s="476">
        <f t="shared" si="1"/>
        <v>7407439.0144781107</v>
      </c>
      <c r="F32" s="476">
        <f t="shared" si="1"/>
        <v>3896942.0674752626</v>
      </c>
      <c r="G32" s="476">
        <f t="shared" si="1"/>
        <v>91562.280292991811</v>
      </c>
      <c r="H32" s="476">
        <f t="shared" si="1"/>
        <v>46195.05</v>
      </c>
      <c r="I32" s="476">
        <f t="shared" si="1"/>
        <v>1245456.6000000001</v>
      </c>
      <c r="J32" s="476">
        <f t="shared" si="1"/>
        <v>0</v>
      </c>
      <c r="K32" s="476">
        <f t="shared" si="1"/>
        <v>55843.961452021395</v>
      </c>
    </row>
    <row r="33" spans="1:15" s="159" customFormat="1" ht="11.45" customHeight="1">
      <c r="A33" s="247" t="s">
        <v>559</v>
      </c>
      <c r="B33" s="376">
        <v>119.12035032231157</v>
      </c>
      <c r="C33" s="376">
        <v>1348.3458316071699</v>
      </c>
      <c r="D33" s="376">
        <v>217.96</v>
      </c>
      <c r="E33" s="376">
        <v>661270.15354000009</v>
      </c>
      <c r="F33" s="376">
        <v>297797.21000000002</v>
      </c>
      <c r="G33" s="376">
        <v>7553.7992033700239</v>
      </c>
      <c r="H33" s="376">
        <v>0</v>
      </c>
      <c r="I33" s="376">
        <f>4275+75291+6602</f>
        <v>86168</v>
      </c>
      <c r="J33" s="376">
        <v>0</v>
      </c>
      <c r="K33" s="376">
        <v>4439.5331730247308</v>
      </c>
    </row>
    <row r="34" spans="1:15" s="159" customFormat="1" ht="11.45" customHeight="1">
      <c r="A34" s="320" t="s">
        <v>560</v>
      </c>
      <c r="B34" s="290">
        <v>120.2889243220646</v>
      </c>
      <c r="C34" s="290">
        <v>1334.8248090358413</v>
      </c>
      <c r="D34" s="290">
        <v>0</v>
      </c>
      <c r="E34" s="290">
        <v>652020.19212659495</v>
      </c>
      <c r="F34" s="290">
        <v>297532.0872092637</v>
      </c>
      <c r="G34" s="290">
        <v>7558.2896966705639</v>
      </c>
      <c r="H34" s="290">
        <v>0</v>
      </c>
      <c r="I34" s="290">
        <f>5990+111056+5702</f>
        <v>122748</v>
      </c>
      <c r="J34" s="290">
        <v>0</v>
      </c>
      <c r="K34" s="290">
        <v>4556.1442342581877</v>
      </c>
    </row>
    <row r="35" spans="1:15" s="159" customFormat="1" ht="11.45" customHeight="1">
      <c r="A35" s="247" t="s">
        <v>554</v>
      </c>
      <c r="B35" s="376">
        <v>122.56248235794244</v>
      </c>
      <c r="C35" s="376">
        <v>1361.1285127697322</v>
      </c>
      <c r="D35" s="376">
        <v>132.18</v>
      </c>
      <c r="E35" s="376">
        <v>662521.49857545644</v>
      </c>
      <c r="F35" s="376">
        <v>299014.20665886434</v>
      </c>
      <c r="G35" s="376">
        <v>7535.9070988355916</v>
      </c>
      <c r="H35" s="376">
        <v>0</v>
      </c>
      <c r="I35" s="376">
        <f>3335+93976+9574</f>
        <v>106885</v>
      </c>
      <c r="J35" s="376">
        <v>0</v>
      </c>
      <c r="K35" s="376">
        <v>4502.5063974117147</v>
      </c>
    </row>
    <row r="36" spans="1:15" s="159" customFormat="1" ht="11.45" customHeight="1">
      <c r="A36" s="320" t="s">
        <v>561</v>
      </c>
      <c r="B36" s="290">
        <v>123.66328888888889</v>
      </c>
      <c r="C36" s="290">
        <v>1763.9683763354828</v>
      </c>
      <c r="D36" s="290">
        <v>132.63999999999999</v>
      </c>
      <c r="E36" s="290">
        <v>586121.56944752915</v>
      </c>
      <c r="F36" s="290">
        <v>297774.506638753</v>
      </c>
      <c r="G36" s="290">
        <v>7788.6093357424643</v>
      </c>
      <c r="H36" s="290">
        <v>0</v>
      </c>
      <c r="I36" s="290">
        <f>3125+124132+2152</f>
        <v>129409</v>
      </c>
      <c r="J36" s="290">
        <v>0</v>
      </c>
      <c r="K36" s="290">
        <v>4560.3104573651462</v>
      </c>
    </row>
    <row r="37" spans="1:15" s="159" customFormat="1" ht="11.45" customHeight="1">
      <c r="A37" s="247" t="s">
        <v>562</v>
      </c>
      <c r="B37" s="376">
        <v>121.13161111111113</v>
      </c>
      <c r="C37" s="376">
        <v>1648.7710200459758</v>
      </c>
      <c r="D37" s="376">
        <v>0</v>
      </c>
      <c r="E37" s="376">
        <v>515022.9</v>
      </c>
      <c r="F37" s="376">
        <v>387043.70258493564</v>
      </c>
      <c r="G37" s="376">
        <v>8233.48</v>
      </c>
      <c r="H37" s="376">
        <v>1340</v>
      </c>
      <c r="I37" s="376">
        <f>2425+112632.5+4736</f>
        <v>119793.5</v>
      </c>
      <c r="J37" s="376">
        <v>0</v>
      </c>
      <c r="K37" s="376">
        <v>4684.1229329999996</v>
      </c>
    </row>
    <row r="38" spans="1:15" s="159" customFormat="1" ht="11.45" customHeight="1">
      <c r="A38" s="320" t="s">
        <v>555</v>
      </c>
      <c r="B38" s="290">
        <v>122.60593333333333</v>
      </c>
      <c r="C38" s="290">
        <v>1645.6335127537998</v>
      </c>
      <c r="D38" s="290">
        <v>0</v>
      </c>
      <c r="E38" s="290">
        <v>501132.20422221662</v>
      </c>
      <c r="F38" s="290">
        <v>321742.4649353</v>
      </c>
      <c r="G38" s="290">
        <v>8041.9801478134277</v>
      </c>
      <c r="H38" s="290">
        <v>12463</v>
      </c>
      <c r="I38" s="290">
        <f>1540+125955+1191</f>
        <v>128686</v>
      </c>
      <c r="J38" s="290">
        <v>0</v>
      </c>
      <c r="K38" s="290">
        <v>4792.3977575914796</v>
      </c>
    </row>
    <row r="39" spans="1:15" s="159" customFormat="1" ht="11.45" customHeight="1">
      <c r="A39" s="247" t="s">
        <v>563</v>
      </c>
      <c r="B39" s="376">
        <v>126.57178542059204</v>
      </c>
      <c r="C39" s="376">
        <v>1705.7715863038161</v>
      </c>
      <c r="D39" s="376">
        <v>203.13</v>
      </c>
      <c r="E39" s="376">
        <v>666838.48300000001</v>
      </c>
      <c r="F39" s="376">
        <v>364292.62</v>
      </c>
      <c r="G39" s="376">
        <v>7866</v>
      </c>
      <c r="H39" s="376">
        <v>19128.5</v>
      </c>
      <c r="I39" s="376">
        <f>9690+125901+0</f>
        <v>135591</v>
      </c>
      <c r="J39" s="376">
        <v>0</v>
      </c>
      <c r="K39" s="376">
        <v>4884.2784242410016</v>
      </c>
      <c r="O39" s="247"/>
    </row>
    <row r="40" spans="1:15" s="159" customFormat="1" ht="11.45" customHeight="1">
      <c r="A40" s="320" t="s">
        <v>564</v>
      </c>
      <c r="B40" s="290">
        <v>124.99629097614759</v>
      </c>
      <c r="C40" s="290">
        <v>1814.9906271364498</v>
      </c>
      <c r="D40" s="290">
        <v>149.36000000000001</v>
      </c>
      <c r="E40" s="290">
        <v>666838.5830000001</v>
      </c>
      <c r="F40" s="290">
        <v>354274.93948155351</v>
      </c>
      <c r="G40" s="290">
        <v>7870.6943557575023</v>
      </c>
      <c r="H40" s="290">
        <v>10767.05</v>
      </c>
      <c r="I40" s="290">
        <f>0+5420+34886</f>
        <v>40306</v>
      </c>
      <c r="J40" s="290">
        <v>0</v>
      </c>
      <c r="K40" s="290">
        <v>4768.561424241002</v>
      </c>
    </row>
    <row r="41" spans="1:15" s="159" customFormat="1" ht="11.45" customHeight="1">
      <c r="A41" s="1256" t="s">
        <v>556</v>
      </c>
      <c r="B41" s="1334">
        <v>125.37791768999188</v>
      </c>
      <c r="C41" s="1334">
        <v>1609.5413431640277</v>
      </c>
      <c r="D41" s="1334">
        <v>221.21</v>
      </c>
      <c r="E41" s="1334">
        <v>661941.0678711012</v>
      </c>
      <c r="F41" s="1334">
        <v>338370.40209313919</v>
      </c>
      <c r="G41" s="1334">
        <v>7831.5204546261839</v>
      </c>
      <c r="H41" s="1334">
        <v>2496.5</v>
      </c>
      <c r="I41" s="1334">
        <f>0+7350+76182.8</f>
        <v>83532.800000000003</v>
      </c>
      <c r="J41" s="1334">
        <v>0</v>
      </c>
      <c r="K41" s="1334">
        <v>4869.2232456195579</v>
      </c>
    </row>
    <row r="42" spans="1:15" s="159" customFormat="1" ht="11.45" customHeight="1">
      <c r="A42" s="1335" t="s">
        <v>565</v>
      </c>
      <c r="B42" s="996">
        <v>134.16441238421834</v>
      </c>
      <c r="C42" s="996">
        <v>1449.8869629337273</v>
      </c>
      <c r="D42" s="996">
        <v>0</v>
      </c>
      <c r="E42" s="996">
        <v>676695.79139521276</v>
      </c>
      <c r="F42" s="996">
        <v>322988.33387345297</v>
      </c>
      <c r="G42" s="996">
        <v>7491.3514171760398</v>
      </c>
      <c r="H42" s="996">
        <v>0</v>
      </c>
      <c r="I42" s="996">
        <f>93231+9549+6005</f>
        <v>108785</v>
      </c>
      <c r="J42" s="996">
        <v>0</v>
      </c>
      <c r="K42" s="996">
        <v>4605.9133352685731</v>
      </c>
    </row>
    <row r="43" spans="1:15" s="159" customFormat="1" ht="11.45" customHeight="1">
      <c r="A43" s="1256" t="s">
        <v>566</v>
      </c>
      <c r="B43" s="1334">
        <v>133.48307639999999</v>
      </c>
      <c r="C43" s="1334">
        <v>1295.274588</v>
      </c>
      <c r="D43" s="1334">
        <v>478.48</v>
      </c>
      <c r="E43" s="1334">
        <v>675071.5</v>
      </c>
      <c r="F43" s="1334">
        <v>414855.36489999999</v>
      </c>
      <c r="G43" s="1334">
        <v>7812</v>
      </c>
      <c r="H43" s="1334">
        <v>0</v>
      </c>
      <c r="I43" s="1334">
        <f>70870+14775+9310</f>
        <v>94955</v>
      </c>
      <c r="J43" s="1334">
        <v>0</v>
      </c>
      <c r="K43" s="1334">
        <v>4680.8315229999998</v>
      </c>
    </row>
    <row r="44" spans="1:15" s="159" customFormat="1" ht="11.45" customHeight="1">
      <c r="A44" s="1335" t="s">
        <v>557</v>
      </c>
      <c r="B44" s="996">
        <v>135.80416360000001</v>
      </c>
      <c r="C44" s="996">
        <v>1304.0657630000001</v>
      </c>
      <c r="D44" s="996">
        <v>83.95</v>
      </c>
      <c r="E44" s="996">
        <v>481965.07130000001</v>
      </c>
      <c r="F44" s="996">
        <v>201256.2291</v>
      </c>
      <c r="G44" s="996">
        <v>5978.6485830000001</v>
      </c>
      <c r="H44" s="996">
        <v>0</v>
      </c>
      <c r="I44" s="996">
        <f>79807.3+4530+4260</f>
        <v>88597.3</v>
      </c>
      <c r="J44" s="996">
        <v>0</v>
      </c>
      <c r="K44" s="996">
        <v>4500.1385469999996</v>
      </c>
    </row>
    <row r="45" spans="1:15" s="159" customFormat="1" ht="11.45" customHeight="1">
      <c r="A45" s="186" t="s">
        <v>2755</v>
      </c>
      <c r="B45" s="1334"/>
      <c r="C45" s="1334"/>
      <c r="D45" s="1334"/>
      <c r="E45" s="1334"/>
      <c r="F45" s="1334"/>
      <c r="G45" s="1334"/>
      <c r="H45" s="1334"/>
      <c r="I45" s="1334"/>
      <c r="J45" s="1334"/>
      <c r="K45" s="1334"/>
    </row>
    <row r="46" spans="1:15" s="159" customFormat="1" ht="11.45" customHeight="1">
      <c r="A46" s="1335" t="s">
        <v>559</v>
      </c>
      <c r="B46" s="996">
        <v>112.38386795098259</v>
      </c>
      <c r="C46" s="996">
        <v>1067.7322716406693</v>
      </c>
      <c r="D46" s="996">
        <v>0</v>
      </c>
      <c r="E46" s="996">
        <v>359272.71389071271</v>
      </c>
      <c r="F46" s="996">
        <v>369577.00545705558</v>
      </c>
      <c r="G46" s="996">
        <v>4262.6595746290232</v>
      </c>
      <c r="H46" s="996">
        <v>0</v>
      </c>
      <c r="I46" s="996">
        <f>53448+2960+8421</f>
        <v>64829</v>
      </c>
      <c r="J46" s="996">
        <v>0</v>
      </c>
      <c r="K46" s="996">
        <v>4367.7310726606711</v>
      </c>
    </row>
    <row r="47" spans="1:15" s="159" customFormat="1" ht="11.45" customHeight="1">
      <c r="A47" s="1256" t="s">
        <v>560</v>
      </c>
      <c r="B47" s="1334">
        <v>120.4654682921157</v>
      </c>
      <c r="C47" s="1334">
        <v>1344.7890790043107</v>
      </c>
      <c r="D47" s="1334">
        <v>172.98</v>
      </c>
      <c r="E47" s="1334">
        <v>366396.78006262402</v>
      </c>
      <c r="F47" s="1334">
        <v>310782.47806843586</v>
      </c>
      <c r="G47" s="1334">
        <v>7927.3641225734664</v>
      </c>
      <c r="H47" s="1334">
        <v>0</v>
      </c>
      <c r="I47" s="1334">
        <f>0+8099+5124</f>
        <v>13223</v>
      </c>
      <c r="J47" s="1334">
        <v>0</v>
      </c>
      <c r="K47" s="1334">
        <v>4462.0527034370389</v>
      </c>
    </row>
    <row r="48" spans="1:15" s="159" customFormat="1" ht="11.45" customHeight="1">
      <c r="A48" s="1335" t="s">
        <v>554</v>
      </c>
      <c r="B48" s="996">
        <v>124.38221761463768</v>
      </c>
      <c r="C48" s="996">
        <v>1263.8151984024003</v>
      </c>
      <c r="D48" s="996">
        <v>348.76</v>
      </c>
      <c r="E48" s="996">
        <v>430694.48321854114</v>
      </c>
      <c r="F48" s="996">
        <v>330957.36802690249</v>
      </c>
      <c r="G48" s="996">
        <v>8162.7121473431962</v>
      </c>
      <c r="H48" s="996">
        <v>0</v>
      </c>
      <c r="I48" s="996">
        <f>80829+11269.9+720</f>
        <v>92818.9</v>
      </c>
      <c r="J48" s="996">
        <v>0</v>
      </c>
      <c r="K48" s="996">
        <v>4385.5818998150153</v>
      </c>
    </row>
    <row r="49" spans="1:11" s="159" customFormat="1" ht="9.9499999999999993" customHeight="1">
      <c r="A49" s="1256" t="s">
        <v>561</v>
      </c>
      <c r="B49" s="1334" t="s">
        <v>292</v>
      </c>
      <c r="C49" s="1334" t="s">
        <v>292</v>
      </c>
      <c r="D49" s="1334">
        <v>413</v>
      </c>
      <c r="E49" s="1334" t="s">
        <v>292</v>
      </c>
      <c r="F49" s="1334" t="s">
        <v>292</v>
      </c>
      <c r="G49" s="1334" t="s">
        <v>292</v>
      </c>
      <c r="H49" s="1334">
        <v>2645</v>
      </c>
      <c r="I49" s="1334">
        <v>107209</v>
      </c>
      <c r="J49" s="1334">
        <v>0</v>
      </c>
      <c r="K49" s="1334" t="s">
        <v>292</v>
      </c>
    </row>
    <row r="50" spans="1:11" s="277" customFormat="1" ht="9.9499999999999993" customHeight="1" thickBot="1">
      <c r="A50" s="1734" t="s">
        <v>562</v>
      </c>
      <c r="B50" s="1735" t="s">
        <v>292</v>
      </c>
      <c r="C50" s="1735" t="s">
        <v>292</v>
      </c>
      <c r="D50" s="1735">
        <v>469</v>
      </c>
      <c r="E50" s="1735" t="s">
        <v>292</v>
      </c>
      <c r="F50" s="1735" t="s">
        <v>292</v>
      </c>
      <c r="G50" s="1735" t="s">
        <v>292</v>
      </c>
      <c r="H50" s="1735" t="s">
        <v>292</v>
      </c>
      <c r="I50" s="1735">
        <v>115099</v>
      </c>
      <c r="J50" s="1735">
        <v>0</v>
      </c>
      <c r="K50" s="1735" t="s">
        <v>292</v>
      </c>
    </row>
    <row r="51" spans="1:11" s="277" customFormat="1" ht="9.9499999999999993" customHeight="1">
      <c r="A51" s="461" t="s">
        <v>679</v>
      </c>
      <c r="B51" s="2312" t="s">
        <v>1356</v>
      </c>
      <c r="C51" s="2312"/>
      <c r="D51" s="2312"/>
      <c r="E51" s="2312"/>
      <c r="F51" s="254"/>
      <c r="G51" s="462" t="s">
        <v>233</v>
      </c>
      <c r="H51" s="2313" t="s">
        <v>2213</v>
      </c>
      <c r="I51" s="2313"/>
      <c r="J51" s="2313"/>
      <c r="K51" s="2313"/>
    </row>
    <row r="52" spans="1:11" s="277" customFormat="1" ht="9.9499999999999993" customHeight="1">
      <c r="A52" s="158" t="s">
        <v>629</v>
      </c>
      <c r="B52" s="271" t="s">
        <v>1357</v>
      </c>
      <c r="C52" s="1689"/>
      <c r="D52" s="1689"/>
      <c r="E52" s="1400"/>
      <c r="F52" s="1400"/>
      <c r="G52" s="1401"/>
      <c r="H52" s="1634" t="s">
        <v>2188</v>
      </c>
      <c r="I52" s="1634"/>
      <c r="J52" s="1634"/>
      <c r="K52" s="1634"/>
    </row>
    <row r="53" spans="1:11" s="277" customFormat="1" ht="9.9499999999999993" customHeight="1">
      <c r="A53" s="463" t="s">
        <v>234</v>
      </c>
      <c r="B53" s="2305" t="s">
        <v>2212</v>
      </c>
      <c r="C53" s="2305"/>
      <c r="D53" s="2305"/>
      <c r="E53" s="1400"/>
      <c r="F53" s="1402"/>
      <c r="G53" s="463"/>
      <c r="H53" s="2311" t="s">
        <v>2189</v>
      </c>
      <c r="I53" s="2311"/>
      <c r="J53" s="2311"/>
      <c r="K53" s="2311"/>
    </row>
    <row r="54" spans="1:11" s="277" customFormat="1" ht="9.9499999999999993" customHeight="1">
      <c r="A54" s="463" t="s">
        <v>235</v>
      </c>
      <c r="E54" s="808"/>
      <c r="F54" s="218"/>
      <c r="G54" s="463"/>
      <c r="H54" s="2305" t="s">
        <v>1372</v>
      </c>
      <c r="I54" s="2305"/>
      <c r="J54" s="2305"/>
      <c r="K54" s="2305"/>
    </row>
    <row r="55" spans="1:11" ht="9.9499999999999993" customHeight="1">
      <c r="A55" s="463" t="s">
        <v>236</v>
      </c>
      <c r="B55" s="808"/>
      <c r="C55" s="808"/>
      <c r="G55" s="463"/>
      <c r="H55" s="2305" t="s">
        <v>1553</v>
      </c>
      <c r="I55" s="2305"/>
      <c r="J55" s="1689"/>
      <c r="K55" s="1689"/>
    </row>
    <row r="56" spans="1:11" ht="9.9499999999999993" customHeight="1">
      <c r="F56" s="808"/>
    </row>
    <row r="57" spans="1:11" ht="9.9499999999999993" customHeight="1">
      <c r="B57" s="808"/>
      <c r="C57" s="808"/>
      <c r="D57" s="808"/>
      <c r="E57" s="808"/>
      <c r="F57" s="808"/>
    </row>
    <row r="58" spans="1:11" ht="9.9499999999999993" customHeight="1">
      <c r="B58" s="808"/>
      <c r="C58" s="808"/>
      <c r="D58" s="808"/>
      <c r="E58" s="808"/>
    </row>
    <row r="59" spans="1:11" ht="9.9499999999999993" customHeight="1">
      <c r="B59" s="808"/>
      <c r="C59" s="808"/>
      <c r="D59" s="808"/>
      <c r="E59" s="808"/>
    </row>
    <row r="60" spans="1:11" ht="9.9499999999999993" customHeight="1">
      <c r="B60" s="808"/>
      <c r="C60" s="808"/>
    </row>
    <row r="61" spans="1:11" ht="9" customHeight="1"/>
    <row r="62" spans="1:11">
      <c r="B62" s="808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5:I55"/>
    <mergeCell ref="A1:I1"/>
    <mergeCell ref="J1:K1"/>
    <mergeCell ref="G2:I2"/>
    <mergeCell ref="A3:A4"/>
    <mergeCell ref="C2:E2"/>
    <mergeCell ref="H53:K53"/>
    <mergeCell ref="B51:E51"/>
    <mergeCell ref="H51:K51"/>
    <mergeCell ref="B53:D53"/>
    <mergeCell ref="H54:K54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62"/>
  <sheetViews>
    <sheetView topLeftCell="A37" zoomScale="160" zoomScaleNormal="160" workbookViewId="0">
      <selection activeCell="G45" sqref="G45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2" customFormat="1" ht="15.75" customHeight="1">
      <c r="A1" s="2316" t="s">
        <v>2190</v>
      </c>
      <c r="B1" s="2316"/>
      <c r="C1" s="2316"/>
      <c r="D1" s="2316"/>
      <c r="E1" s="2316"/>
      <c r="F1" s="2316"/>
      <c r="G1" s="2314" t="s">
        <v>2214</v>
      </c>
      <c r="H1" s="2314"/>
    </row>
    <row r="2" spans="1:8" s="32" customFormat="1" ht="8.25" customHeight="1">
      <c r="A2" s="1542"/>
      <c r="B2" s="1542"/>
      <c r="C2" s="1542"/>
      <c r="D2" s="1542"/>
      <c r="E2" s="1542"/>
      <c r="F2" s="1542"/>
      <c r="G2" s="1543"/>
      <c r="H2" s="1543"/>
    </row>
    <row r="3" spans="1:8" s="892" customFormat="1" ht="9.75" customHeight="1">
      <c r="A3" s="2235" t="s">
        <v>481</v>
      </c>
      <c r="B3" s="2315" t="s">
        <v>1287</v>
      </c>
      <c r="C3" s="2315"/>
      <c r="D3" s="2315" t="s">
        <v>91</v>
      </c>
      <c r="E3" s="2315"/>
      <c r="F3" s="1992" t="s">
        <v>2078</v>
      </c>
      <c r="G3" s="2315" t="s">
        <v>1254</v>
      </c>
      <c r="H3" s="2315"/>
    </row>
    <row r="4" spans="1:8" s="892" customFormat="1" ht="19.5" customHeight="1">
      <c r="A4" s="2235"/>
      <c r="B4" s="1993" t="s">
        <v>2077</v>
      </c>
      <c r="C4" s="1993" t="s">
        <v>2191</v>
      </c>
      <c r="D4" s="1993" t="s">
        <v>1376</v>
      </c>
      <c r="E4" s="1993" t="s">
        <v>1377</v>
      </c>
      <c r="F4" s="1993"/>
      <c r="G4" s="1993" t="s">
        <v>2170</v>
      </c>
      <c r="H4" s="1993" t="s">
        <v>1378</v>
      </c>
    </row>
    <row r="5" spans="1:8" s="892" customFormat="1" ht="12.75" customHeight="1">
      <c r="A5" s="2235"/>
      <c r="B5" s="1993"/>
      <c r="C5" s="1993"/>
      <c r="D5" s="1993"/>
      <c r="E5" s="1993"/>
      <c r="F5" s="1993"/>
      <c r="G5" s="1993"/>
      <c r="H5" s="1993"/>
    </row>
    <row r="6" spans="1:8" s="892" customFormat="1" ht="12.75" customHeight="1">
      <c r="A6" s="2236"/>
      <c r="B6" s="1993"/>
      <c r="C6" s="1993"/>
      <c r="D6" s="1993"/>
      <c r="E6" s="1993"/>
      <c r="F6" s="1993"/>
      <c r="G6" s="1993"/>
      <c r="H6" s="1993"/>
    </row>
    <row r="7" spans="1:8" s="160" customFormat="1" ht="10.35" customHeight="1">
      <c r="A7" s="849">
        <v>2012</v>
      </c>
      <c r="B7" s="851">
        <v>5833.333333333333</v>
      </c>
      <c r="C7" s="851">
        <v>13600</v>
      </c>
      <c r="D7" s="681">
        <v>32.875</v>
      </c>
      <c r="E7" s="851">
        <v>54033.333333333336</v>
      </c>
      <c r="F7" s="681">
        <v>172.94416666666669</v>
      </c>
      <c r="G7" s="851">
        <v>1053.125</v>
      </c>
      <c r="H7" s="851">
        <v>112.77777777777777</v>
      </c>
    </row>
    <row r="8" spans="1:8" s="214" customFormat="1" ht="10.35" customHeight="1">
      <c r="A8" s="1692">
        <v>2013</v>
      </c>
      <c r="B8" s="852">
        <v>5375</v>
      </c>
      <c r="C8" s="852">
        <v>12500</v>
      </c>
      <c r="D8" s="732">
        <v>37.041666666666664</v>
      </c>
      <c r="E8" s="852">
        <v>51868.181818181816</v>
      </c>
      <c r="F8" s="732">
        <v>199.83166666666662</v>
      </c>
      <c r="G8" s="852">
        <v>680</v>
      </c>
      <c r="H8" s="852">
        <v>79.833333333333329</v>
      </c>
    </row>
    <row r="9" spans="1:8" s="214" customFormat="1" ht="10.35" customHeight="1">
      <c r="A9" s="849">
        <v>2014</v>
      </c>
      <c r="B9" s="851">
        <v>5375</v>
      </c>
      <c r="C9" s="851">
        <v>12500</v>
      </c>
      <c r="D9" s="681">
        <v>40</v>
      </c>
      <c r="E9" s="851">
        <v>48600</v>
      </c>
      <c r="F9" s="681">
        <v>185.97166666666666</v>
      </c>
      <c r="G9" s="851">
        <v>1078.75</v>
      </c>
      <c r="H9" s="851">
        <v>109.33333333333333</v>
      </c>
    </row>
    <row r="10" spans="1:8" s="214" customFormat="1" ht="10.35" customHeight="1">
      <c r="A10" s="850">
        <v>2015</v>
      </c>
      <c r="B10" s="852">
        <v>5770.833333333333</v>
      </c>
      <c r="C10" s="852">
        <v>13650</v>
      </c>
      <c r="D10" s="732">
        <v>37.666666666666664</v>
      </c>
      <c r="E10" s="852">
        <v>44166.666666666664</v>
      </c>
      <c r="F10" s="732">
        <v>166.07666666666668</v>
      </c>
      <c r="G10" s="852">
        <v>1287.5</v>
      </c>
      <c r="H10" s="852">
        <v>96.416666666666671</v>
      </c>
    </row>
    <row r="11" spans="1:8" s="863" customFormat="1" ht="10.35" customHeight="1">
      <c r="A11" s="849">
        <v>2016</v>
      </c>
      <c r="B11" s="806">
        <v>6375</v>
      </c>
      <c r="C11" s="806">
        <v>15100</v>
      </c>
      <c r="D11" s="681">
        <v>38.416666666666664</v>
      </c>
      <c r="E11" s="851">
        <v>44000</v>
      </c>
      <c r="F11" s="681">
        <v>161.27999999999997</v>
      </c>
      <c r="G11" s="851">
        <v>1009.1666666666666</v>
      </c>
      <c r="H11" s="851">
        <v>87</v>
      </c>
    </row>
    <row r="12" spans="1:8" s="863" customFormat="1" ht="10.35" customHeight="1">
      <c r="A12" s="850">
        <v>2017</v>
      </c>
      <c r="B12" s="794">
        <v>6375</v>
      </c>
      <c r="C12" s="794">
        <v>15100</v>
      </c>
      <c r="D12" s="732">
        <v>45.166666666666664</v>
      </c>
      <c r="E12" s="852">
        <v>43173.333333333336</v>
      </c>
      <c r="F12" s="732">
        <v>164.67</v>
      </c>
      <c r="G12" s="852">
        <v>778.75</v>
      </c>
      <c r="H12" s="852">
        <v>67.666666666666671</v>
      </c>
    </row>
    <row r="13" spans="1:8" s="863" customFormat="1" ht="10.35" customHeight="1">
      <c r="A13" s="849">
        <v>2018</v>
      </c>
      <c r="B13" s="806">
        <v>6375</v>
      </c>
      <c r="C13" s="806">
        <v>15100</v>
      </c>
      <c r="D13" s="681">
        <v>44.666666666666664</v>
      </c>
      <c r="E13" s="851">
        <v>41401.666666666664</v>
      </c>
      <c r="F13" s="681">
        <v>171.87749999999997</v>
      </c>
      <c r="G13" s="851">
        <v>690.83333333333337</v>
      </c>
      <c r="H13" s="851">
        <v>59.166666666666664</v>
      </c>
    </row>
    <row r="14" spans="1:8" s="257" customFormat="1" ht="10.35" customHeight="1">
      <c r="A14" s="1248">
        <v>2019</v>
      </c>
      <c r="B14" s="852">
        <v>6385.416666666667</v>
      </c>
      <c r="C14" s="852">
        <v>15125</v>
      </c>
      <c r="D14" s="732">
        <v>35.583333333333336</v>
      </c>
      <c r="E14" s="852">
        <v>41673.333333333336</v>
      </c>
      <c r="F14" s="732">
        <v>172.48000000000002</v>
      </c>
      <c r="G14" s="852">
        <v>500.33333333333331</v>
      </c>
      <c r="H14" s="852">
        <v>45.75</v>
      </c>
    </row>
    <row r="15" spans="1:8" s="257" customFormat="1" ht="10.35" customHeight="1">
      <c r="A15" s="1249">
        <v>2020</v>
      </c>
      <c r="B15" s="851">
        <v>6677.083333333333</v>
      </c>
      <c r="C15" s="851">
        <v>15812.5</v>
      </c>
      <c r="D15" s="681">
        <v>43.75</v>
      </c>
      <c r="E15" s="851">
        <v>66450.416666666672</v>
      </c>
      <c r="F15" s="681">
        <v>180.03</v>
      </c>
      <c r="G15" s="851">
        <v>299.75</v>
      </c>
      <c r="H15" s="851">
        <v>22.75</v>
      </c>
    </row>
    <row r="16" spans="1:8" s="257" customFormat="1" ht="10.35" customHeight="1">
      <c r="A16" s="1248">
        <v>2021</v>
      </c>
      <c r="B16" s="794">
        <v>14750</v>
      </c>
      <c r="C16" s="794">
        <v>31700</v>
      </c>
      <c r="D16" s="732">
        <v>52</v>
      </c>
      <c r="E16" s="852">
        <v>64838.400000000001</v>
      </c>
      <c r="F16" s="732">
        <v>212.56583333333336</v>
      </c>
      <c r="G16" s="852">
        <v>311.5</v>
      </c>
      <c r="H16" s="852">
        <v>26.75</v>
      </c>
    </row>
    <row r="17" spans="1:14" s="257" customFormat="1" ht="10.35" customHeight="1">
      <c r="A17" s="1251">
        <v>2022</v>
      </c>
      <c r="B17" s="854">
        <v>12208.333333333334</v>
      </c>
      <c r="C17" s="854">
        <v>26283.333333333332</v>
      </c>
      <c r="D17" s="853">
        <v>52.916666666666664</v>
      </c>
      <c r="E17" s="854">
        <v>68920.833333333328</v>
      </c>
      <c r="F17" s="853">
        <v>224.35833333333335</v>
      </c>
      <c r="G17" s="854">
        <v>449</v>
      </c>
      <c r="H17" s="854">
        <v>25.166666666666668</v>
      </c>
      <c r="L17" s="8"/>
    </row>
    <row r="18" spans="1:14" s="257" customFormat="1" ht="10.35" customHeight="1">
      <c r="A18" s="1250">
        <v>2023</v>
      </c>
      <c r="B18" s="1057">
        <f>AVERAGE(B19:B30)</f>
        <v>11700</v>
      </c>
      <c r="C18" s="1057">
        <f t="shared" ref="C18:D18" si="0">AVERAGE(C19:C30)</f>
        <v>24975</v>
      </c>
      <c r="D18" s="855">
        <f t="shared" si="0"/>
        <v>54.5</v>
      </c>
      <c r="E18" s="856">
        <f>AVERAGE(E19:E30)</f>
        <v>84539.166666666672</v>
      </c>
      <c r="F18" s="855">
        <f>AVERAGE(F19:F30)</f>
        <v>202.33083333333335</v>
      </c>
      <c r="G18" s="856">
        <f t="shared" ref="G18:H18" si="1">AVERAGE(G19:G30)</f>
        <v>531.41666666666663</v>
      </c>
      <c r="H18" s="856">
        <f t="shared" si="1"/>
        <v>34.5</v>
      </c>
      <c r="L18" s="160"/>
    </row>
    <row r="19" spans="1:14" s="257" customFormat="1" ht="10.35" customHeight="1">
      <c r="A19" s="1249" t="s">
        <v>563</v>
      </c>
      <c r="B19" s="806">
        <v>11700</v>
      </c>
      <c r="C19" s="806">
        <v>25200</v>
      </c>
      <c r="D19" s="681">
        <v>54</v>
      </c>
      <c r="E19" s="806">
        <v>80100</v>
      </c>
      <c r="F19" s="857">
        <v>206.95</v>
      </c>
      <c r="G19" s="867">
        <v>450</v>
      </c>
      <c r="H19" s="867">
        <v>17</v>
      </c>
      <c r="L19" s="160"/>
      <c r="N19" s="160"/>
    </row>
    <row r="20" spans="1:14" s="257" customFormat="1" ht="10.35" customHeight="1">
      <c r="A20" s="1248" t="s">
        <v>564</v>
      </c>
      <c r="B20" s="794">
        <v>11700</v>
      </c>
      <c r="C20" s="794">
        <v>25200</v>
      </c>
      <c r="D20" s="732">
        <v>55</v>
      </c>
      <c r="E20" s="794">
        <v>79100</v>
      </c>
      <c r="F20" s="858">
        <v>203.04</v>
      </c>
      <c r="G20" s="866">
        <v>466</v>
      </c>
      <c r="H20" s="866">
        <v>21</v>
      </c>
      <c r="K20" s="32"/>
      <c r="L20" s="214"/>
      <c r="N20" s="160"/>
    </row>
    <row r="21" spans="1:14" s="257" customFormat="1" ht="10.35" customHeight="1">
      <c r="A21" s="1249" t="s">
        <v>556</v>
      </c>
      <c r="B21" s="806">
        <v>11700</v>
      </c>
      <c r="C21" s="806">
        <v>25200</v>
      </c>
      <c r="D21" s="681">
        <v>55</v>
      </c>
      <c r="E21" s="806">
        <v>82700</v>
      </c>
      <c r="F21" s="857">
        <v>209.53</v>
      </c>
      <c r="G21" s="867">
        <v>484</v>
      </c>
      <c r="H21" s="867">
        <v>22</v>
      </c>
      <c r="K21" s="32"/>
      <c r="N21" s="214"/>
    </row>
    <row r="22" spans="1:14" s="257" customFormat="1" ht="10.35" customHeight="1">
      <c r="A22" s="1248" t="s">
        <v>565</v>
      </c>
      <c r="B22" s="794">
        <v>11700</v>
      </c>
      <c r="C22" s="794">
        <v>25200</v>
      </c>
      <c r="D22" s="732">
        <v>55</v>
      </c>
      <c r="E22" s="794">
        <v>82700</v>
      </c>
      <c r="F22" s="858">
        <v>199.24</v>
      </c>
      <c r="G22" s="866">
        <v>481</v>
      </c>
      <c r="H22" s="866">
        <v>20</v>
      </c>
      <c r="K22" s="892"/>
      <c r="N22" s="214"/>
    </row>
    <row r="23" spans="1:14" s="257" customFormat="1" ht="10.35" customHeight="1">
      <c r="A23" s="1249" t="s">
        <v>566</v>
      </c>
      <c r="B23" s="806">
        <v>11700</v>
      </c>
      <c r="C23" s="806">
        <v>25200</v>
      </c>
      <c r="D23" s="681">
        <v>54</v>
      </c>
      <c r="E23" s="806">
        <v>84400</v>
      </c>
      <c r="F23" s="857">
        <v>202.63</v>
      </c>
      <c r="G23" s="867">
        <v>483</v>
      </c>
      <c r="H23" s="867">
        <v>21</v>
      </c>
    </row>
    <row r="24" spans="1:14" s="257" customFormat="1" ht="10.35" customHeight="1">
      <c r="A24" s="1248" t="s">
        <v>557</v>
      </c>
      <c r="B24" s="794">
        <v>11700</v>
      </c>
      <c r="C24" s="794">
        <v>25200</v>
      </c>
      <c r="D24" s="732">
        <v>54</v>
      </c>
      <c r="E24" s="794">
        <v>84400</v>
      </c>
      <c r="F24" s="858">
        <v>211.93</v>
      </c>
      <c r="G24" s="866">
        <v>468</v>
      </c>
      <c r="H24" s="866">
        <v>21</v>
      </c>
    </row>
    <row r="25" spans="1:14" s="257" customFormat="1" ht="10.35" customHeight="1">
      <c r="A25" s="1249" t="s">
        <v>559</v>
      </c>
      <c r="B25" s="806">
        <v>11700</v>
      </c>
      <c r="C25" s="806">
        <v>25200</v>
      </c>
      <c r="D25" s="681">
        <v>54</v>
      </c>
      <c r="E25" s="806">
        <v>86400</v>
      </c>
      <c r="F25" s="857">
        <v>208.59</v>
      </c>
      <c r="G25" s="867">
        <v>550</v>
      </c>
      <c r="H25" s="867">
        <v>22</v>
      </c>
    </row>
    <row r="26" spans="1:14" s="257" customFormat="1" ht="10.35" customHeight="1">
      <c r="A26" s="1248" t="s">
        <v>560</v>
      </c>
      <c r="B26" s="794">
        <v>11700</v>
      </c>
      <c r="C26" s="794">
        <v>25200</v>
      </c>
      <c r="D26" s="732">
        <v>55</v>
      </c>
      <c r="E26" s="794">
        <v>87500</v>
      </c>
      <c r="F26" s="858">
        <v>193.48</v>
      </c>
      <c r="G26" s="866">
        <v>543</v>
      </c>
      <c r="H26" s="866">
        <v>21</v>
      </c>
    </row>
    <row r="27" spans="1:14" s="257" customFormat="1" ht="10.35" customHeight="1">
      <c r="A27" s="1249" t="s">
        <v>554</v>
      </c>
      <c r="B27" s="806">
        <v>11700</v>
      </c>
      <c r="C27" s="806">
        <v>25200</v>
      </c>
      <c r="D27" s="681">
        <v>55</v>
      </c>
      <c r="E27" s="806">
        <v>86620</v>
      </c>
      <c r="F27" s="857">
        <v>171.91</v>
      </c>
      <c r="G27" s="867">
        <v>591</v>
      </c>
      <c r="H27" s="867">
        <v>73</v>
      </c>
    </row>
    <row r="28" spans="1:14" s="257" customFormat="1" ht="10.35" customHeight="1">
      <c r="A28" s="1248" t="s">
        <v>561</v>
      </c>
      <c r="B28" s="794">
        <v>11700</v>
      </c>
      <c r="C28" s="794">
        <v>22500</v>
      </c>
      <c r="D28" s="732">
        <v>55</v>
      </c>
      <c r="E28" s="794">
        <v>86700</v>
      </c>
      <c r="F28" s="858">
        <v>203.5</v>
      </c>
      <c r="G28" s="866">
        <v>612</v>
      </c>
      <c r="H28" s="866">
        <v>78</v>
      </c>
    </row>
    <row r="29" spans="1:14" s="257" customFormat="1" ht="10.35" customHeight="1">
      <c r="A29" s="1249" t="s">
        <v>562</v>
      </c>
      <c r="B29" s="806">
        <v>11700</v>
      </c>
      <c r="C29" s="806">
        <v>25200</v>
      </c>
      <c r="D29" s="681">
        <v>55</v>
      </c>
      <c r="E29" s="806">
        <v>87000</v>
      </c>
      <c r="F29" s="857">
        <v>206</v>
      </c>
      <c r="G29" s="867">
        <v>618</v>
      </c>
      <c r="H29" s="867">
        <v>50</v>
      </c>
    </row>
    <row r="30" spans="1:14" s="257" customFormat="1" ht="10.35" customHeight="1">
      <c r="A30" s="1248" t="s">
        <v>555</v>
      </c>
      <c r="B30" s="852">
        <v>11700</v>
      </c>
      <c r="C30" s="852">
        <v>25200</v>
      </c>
      <c r="D30" s="732">
        <v>53</v>
      </c>
      <c r="E30" s="794">
        <v>86850</v>
      </c>
      <c r="F30" s="858">
        <v>211.17</v>
      </c>
      <c r="G30" s="866">
        <v>631</v>
      </c>
      <c r="H30" s="866">
        <v>48</v>
      </c>
    </row>
    <row r="31" spans="1:14" s="257" customFormat="1" ht="10.35" customHeight="1">
      <c r="A31" s="1251">
        <v>2024</v>
      </c>
      <c r="B31" s="854">
        <f>AVERAGE(B32:B43)</f>
        <v>12308.333333333334</v>
      </c>
      <c r="C31" s="1485">
        <f t="shared" ref="C31:D31" si="2">AVERAGE(C32:C43)</f>
        <v>26350</v>
      </c>
      <c r="D31" s="853">
        <f t="shared" si="2"/>
        <v>58</v>
      </c>
      <c r="E31" s="854">
        <f>AVERAGE(E32:E43)</f>
        <v>106997.33333333333</v>
      </c>
      <c r="F31" s="853">
        <f>AVERAGE(F32:F43)</f>
        <v>186.54666666666665</v>
      </c>
      <c r="G31" s="854">
        <f t="shared" ref="G31:H31" si="3">AVERAGE(G32:G43)</f>
        <v>647.33333333333337</v>
      </c>
      <c r="H31" s="854">
        <f t="shared" si="3"/>
        <v>13.847500000000002</v>
      </c>
    </row>
    <row r="32" spans="1:14" s="257" customFormat="1" ht="10.35" customHeight="1">
      <c r="A32" s="1248" t="s">
        <v>563</v>
      </c>
      <c r="B32" s="852">
        <v>11700</v>
      </c>
      <c r="C32" s="852">
        <v>25200</v>
      </c>
      <c r="D32" s="732">
        <v>54</v>
      </c>
      <c r="E32" s="794">
        <v>95090</v>
      </c>
      <c r="F32" s="858">
        <v>191.05</v>
      </c>
      <c r="G32" s="866">
        <v>778</v>
      </c>
      <c r="H32" s="866">
        <v>34</v>
      </c>
    </row>
    <row r="33" spans="1:9" s="257" customFormat="1" ht="10.35" customHeight="1">
      <c r="A33" s="1249" t="s">
        <v>564</v>
      </c>
      <c r="B33" s="806">
        <v>11700</v>
      </c>
      <c r="C33" s="806">
        <v>25200</v>
      </c>
      <c r="D33" s="681">
        <v>55</v>
      </c>
      <c r="E33" s="806">
        <v>95540</v>
      </c>
      <c r="F33" s="857">
        <v>187.11</v>
      </c>
      <c r="G33" s="806">
        <v>1100</v>
      </c>
      <c r="H33" s="867">
        <v>13</v>
      </c>
    </row>
    <row r="34" spans="1:9" s="257" customFormat="1" ht="10.35" customHeight="1">
      <c r="A34" s="1248" t="s">
        <v>556</v>
      </c>
      <c r="B34" s="852">
        <v>11700</v>
      </c>
      <c r="C34" s="852">
        <v>25200</v>
      </c>
      <c r="D34" s="732">
        <v>55</v>
      </c>
      <c r="E34" s="794">
        <v>97800</v>
      </c>
      <c r="F34" s="858">
        <v>162.69</v>
      </c>
      <c r="G34" s="866">
        <v>917</v>
      </c>
      <c r="H34" s="866">
        <v>11</v>
      </c>
    </row>
    <row r="35" spans="1:9" s="257" customFormat="1" ht="10.35" customHeight="1">
      <c r="A35" s="1249" t="s">
        <v>565</v>
      </c>
      <c r="B35" s="806">
        <v>11700</v>
      </c>
      <c r="C35" s="806">
        <v>25200</v>
      </c>
      <c r="D35" s="681">
        <v>55</v>
      </c>
      <c r="E35" s="806">
        <v>96550</v>
      </c>
      <c r="F35" s="857">
        <v>175.58</v>
      </c>
      <c r="G35" s="806">
        <v>869</v>
      </c>
      <c r="H35" s="867">
        <v>11</v>
      </c>
    </row>
    <row r="36" spans="1:9" s="257" customFormat="1" ht="10.35" customHeight="1">
      <c r="A36" s="1248" t="s">
        <v>566</v>
      </c>
      <c r="B36" s="794">
        <v>11700</v>
      </c>
      <c r="C36" s="794">
        <v>25200</v>
      </c>
      <c r="D36" s="732">
        <v>56</v>
      </c>
      <c r="E36" s="794">
        <v>102910</v>
      </c>
      <c r="F36" s="858">
        <v>147.36000000000001</v>
      </c>
      <c r="G36" s="794">
        <v>830</v>
      </c>
      <c r="H36" s="866">
        <v>20</v>
      </c>
    </row>
    <row r="37" spans="1:9" s="257" customFormat="1" ht="10.35" customHeight="1">
      <c r="A37" s="1249" t="s">
        <v>557</v>
      </c>
      <c r="B37" s="806">
        <v>11700</v>
      </c>
      <c r="C37" s="806">
        <v>25200</v>
      </c>
      <c r="D37" s="681">
        <v>57</v>
      </c>
      <c r="E37" s="806">
        <v>102910</v>
      </c>
      <c r="F37" s="857">
        <v>168.59</v>
      </c>
      <c r="G37" s="806">
        <v>827</v>
      </c>
      <c r="H37" s="867">
        <v>20</v>
      </c>
    </row>
    <row r="38" spans="1:9" s="257" customFormat="1" ht="10.35" customHeight="1">
      <c r="A38" s="1248" t="s">
        <v>559</v>
      </c>
      <c r="B38" s="794">
        <v>13000</v>
      </c>
      <c r="C38" s="794">
        <v>27700</v>
      </c>
      <c r="D38" s="732">
        <v>58</v>
      </c>
      <c r="E38" s="794">
        <v>109120</v>
      </c>
      <c r="F38" s="858">
        <v>191.1</v>
      </c>
      <c r="G38" s="794">
        <v>759</v>
      </c>
      <c r="H38" s="866">
        <v>35</v>
      </c>
    </row>
    <row r="39" spans="1:9" s="257" customFormat="1" ht="10.35" customHeight="1">
      <c r="A39" s="1249" t="s">
        <v>560</v>
      </c>
      <c r="B39" s="806">
        <v>13000</v>
      </c>
      <c r="C39" s="806">
        <v>27700</v>
      </c>
      <c r="D39" s="681">
        <v>60</v>
      </c>
      <c r="E39" s="806">
        <v>105500</v>
      </c>
      <c r="F39" s="857">
        <v>192.28</v>
      </c>
      <c r="G39" s="806">
        <v>560</v>
      </c>
      <c r="H39" s="867">
        <v>6.68</v>
      </c>
    </row>
    <row r="40" spans="1:9" s="257" customFormat="1" ht="10.35" customHeight="1">
      <c r="A40" s="1248" t="s">
        <v>554</v>
      </c>
      <c r="B40" s="794">
        <v>13000</v>
      </c>
      <c r="C40" s="794">
        <v>27700</v>
      </c>
      <c r="D40" s="732">
        <v>61</v>
      </c>
      <c r="E40" s="794">
        <v>120068</v>
      </c>
      <c r="F40" s="858">
        <v>199.45</v>
      </c>
      <c r="G40" s="794">
        <v>550</v>
      </c>
      <c r="H40" s="866">
        <v>6.25</v>
      </c>
    </row>
    <row r="41" spans="1:9" s="257" customFormat="1" ht="10.35" customHeight="1">
      <c r="A41" s="1249" t="s">
        <v>561</v>
      </c>
      <c r="B41" s="806">
        <v>13000</v>
      </c>
      <c r="C41" s="806">
        <v>27700</v>
      </c>
      <c r="D41" s="681">
        <v>62</v>
      </c>
      <c r="E41" s="806">
        <v>119210</v>
      </c>
      <c r="F41" s="857">
        <v>223.8</v>
      </c>
      <c r="G41" s="806">
        <v>578</v>
      </c>
      <c r="H41" s="867">
        <v>9.24</v>
      </c>
    </row>
    <row r="42" spans="1:9" s="257" customFormat="1" ht="10.35" customHeight="1">
      <c r="A42" s="1248" t="s">
        <v>562</v>
      </c>
      <c r="B42" s="794">
        <v>13000</v>
      </c>
      <c r="C42" s="794">
        <v>27700</v>
      </c>
      <c r="D42" s="732">
        <v>62</v>
      </c>
      <c r="E42" s="794">
        <v>118350</v>
      </c>
      <c r="F42" s="858">
        <v>190.96</v>
      </c>
      <c r="G42" s="794">
        <v>0</v>
      </c>
      <c r="H42" s="866">
        <v>0</v>
      </c>
    </row>
    <row r="43" spans="1:9" s="257" customFormat="1" ht="10.35" customHeight="1">
      <c r="A43" s="1249" t="s">
        <v>555</v>
      </c>
      <c r="B43" s="806">
        <v>12500</v>
      </c>
      <c r="C43" s="806">
        <v>26500</v>
      </c>
      <c r="D43" s="681">
        <v>61</v>
      </c>
      <c r="E43" s="806">
        <v>120920</v>
      </c>
      <c r="F43" s="857">
        <v>208.59</v>
      </c>
      <c r="G43" s="806">
        <v>0</v>
      </c>
      <c r="H43" s="867">
        <v>0</v>
      </c>
    </row>
    <row r="44" spans="1:9" s="257" customFormat="1" ht="10.35" customHeight="1">
      <c r="A44" s="1250">
        <v>2025</v>
      </c>
      <c r="B44" s="856">
        <f>AVERAGE(B45:B56)</f>
        <v>12520.833333333334</v>
      </c>
      <c r="C44" s="856">
        <f t="shared" ref="C44:D44" si="4">AVERAGE(C45:C56)</f>
        <v>26541.666666666668</v>
      </c>
      <c r="D44" s="855">
        <f t="shared" si="4"/>
        <v>61.75</v>
      </c>
      <c r="E44" s="856"/>
      <c r="F44" s="855">
        <f>AVERAGE(F45:F56)</f>
        <v>223.41333333333338</v>
      </c>
      <c r="G44" s="856"/>
      <c r="H44" s="856"/>
    </row>
    <row r="45" spans="1:9" s="257" customFormat="1" ht="10.35" customHeight="1">
      <c r="A45" s="1249" t="s">
        <v>563</v>
      </c>
      <c r="B45" s="806">
        <v>12500</v>
      </c>
      <c r="C45" s="806">
        <v>26500</v>
      </c>
      <c r="D45" s="681">
        <v>63</v>
      </c>
      <c r="E45" s="851">
        <v>118543.2</v>
      </c>
      <c r="F45" s="857">
        <v>186.73</v>
      </c>
      <c r="G45" s="806" t="s">
        <v>292</v>
      </c>
      <c r="H45" s="867" t="s">
        <v>292</v>
      </c>
    </row>
    <row r="46" spans="1:9" s="257" customFormat="1" ht="10.35" customHeight="1">
      <c r="A46" s="1248" t="s">
        <v>564</v>
      </c>
      <c r="B46" s="794">
        <v>12500</v>
      </c>
      <c r="C46" s="794">
        <v>26500</v>
      </c>
      <c r="D46" s="732">
        <v>63</v>
      </c>
      <c r="E46" s="852">
        <v>123053.5</v>
      </c>
      <c r="F46" s="858">
        <v>184.24</v>
      </c>
      <c r="G46" s="794" t="s">
        <v>292</v>
      </c>
      <c r="H46" s="866" t="s">
        <v>292</v>
      </c>
      <c r="I46" s="1059"/>
    </row>
    <row r="47" spans="1:9" s="257" customFormat="1" ht="10.35" customHeight="1">
      <c r="A47" s="1249" t="s">
        <v>556</v>
      </c>
      <c r="B47" s="806">
        <v>12500</v>
      </c>
      <c r="C47" s="806">
        <v>26500</v>
      </c>
      <c r="D47" s="681">
        <v>59</v>
      </c>
      <c r="E47" s="851">
        <v>132885.9</v>
      </c>
      <c r="F47" s="857">
        <v>337.79</v>
      </c>
      <c r="G47" s="806" t="s">
        <v>292</v>
      </c>
      <c r="H47" s="806" t="s">
        <v>292</v>
      </c>
    </row>
    <row r="48" spans="1:9" s="257" customFormat="1" ht="10.35" customHeight="1">
      <c r="A48" s="1248" t="s">
        <v>565</v>
      </c>
      <c r="B48" s="794">
        <v>12500</v>
      </c>
      <c r="C48" s="794">
        <v>26500</v>
      </c>
      <c r="D48" s="732">
        <v>62</v>
      </c>
      <c r="E48" s="852">
        <v>141688.6</v>
      </c>
      <c r="F48" s="794">
        <v>188.19</v>
      </c>
      <c r="G48" s="794" t="s">
        <v>292</v>
      </c>
      <c r="H48" s="794" t="s">
        <v>292</v>
      </c>
    </row>
    <row r="49" spans="1:11" s="257" customFormat="1" ht="10.35" customHeight="1">
      <c r="A49" s="1249" t="s">
        <v>566</v>
      </c>
      <c r="B49" s="806">
        <v>12500</v>
      </c>
      <c r="C49" s="806">
        <v>26500</v>
      </c>
      <c r="D49" s="681">
        <v>62</v>
      </c>
      <c r="E49" s="851">
        <v>145680</v>
      </c>
      <c r="F49" s="857">
        <v>186.17</v>
      </c>
      <c r="G49" s="806" t="s">
        <v>292</v>
      </c>
      <c r="H49" s="806" t="s">
        <v>292</v>
      </c>
    </row>
    <row r="50" spans="1:11" s="257" customFormat="1" ht="10.35" customHeight="1">
      <c r="A50" s="1248" t="s">
        <v>557</v>
      </c>
      <c r="B50" s="794">
        <v>12500</v>
      </c>
      <c r="C50" s="794">
        <v>26500</v>
      </c>
      <c r="D50" s="732">
        <v>62</v>
      </c>
      <c r="E50" s="852">
        <v>145950</v>
      </c>
      <c r="F50" s="858">
        <v>221.68</v>
      </c>
      <c r="G50" s="794" t="s">
        <v>292</v>
      </c>
      <c r="H50" s="794" t="s">
        <v>292</v>
      </c>
    </row>
    <row r="51" spans="1:11" s="257" customFormat="1" ht="10.35" customHeight="1">
      <c r="A51" s="1249" t="s">
        <v>559</v>
      </c>
      <c r="B51" s="806">
        <v>12500</v>
      </c>
      <c r="C51" s="806">
        <v>26500</v>
      </c>
      <c r="D51" s="681">
        <v>63</v>
      </c>
      <c r="E51" s="806">
        <v>147120</v>
      </c>
      <c r="F51" s="857">
        <v>232.71</v>
      </c>
      <c r="G51" s="806" t="s">
        <v>292</v>
      </c>
      <c r="H51" s="806" t="s">
        <v>292</v>
      </c>
    </row>
    <row r="52" spans="1:11" s="257" customFormat="1" ht="10.35" customHeight="1">
      <c r="A52" s="1248" t="s">
        <v>560</v>
      </c>
      <c r="B52" s="794">
        <v>12500</v>
      </c>
      <c r="C52" s="794">
        <v>26500</v>
      </c>
      <c r="D52" s="732">
        <v>63</v>
      </c>
      <c r="E52" s="794">
        <v>148020</v>
      </c>
      <c r="F52" s="858">
        <v>203.74</v>
      </c>
      <c r="G52" s="794" t="s">
        <v>292</v>
      </c>
      <c r="H52" s="794" t="s">
        <v>292</v>
      </c>
    </row>
    <row r="53" spans="1:11" s="257" customFormat="1" ht="10.35" customHeight="1">
      <c r="A53" s="1249" t="s">
        <v>554</v>
      </c>
      <c r="B53" s="806">
        <v>12500</v>
      </c>
      <c r="C53" s="806">
        <v>26500</v>
      </c>
      <c r="D53" s="681">
        <v>64</v>
      </c>
      <c r="E53" s="806">
        <v>162350</v>
      </c>
      <c r="F53" s="857">
        <v>232.98</v>
      </c>
      <c r="G53" s="806" t="s">
        <v>292</v>
      </c>
      <c r="H53" s="806" t="s">
        <v>292</v>
      </c>
    </row>
    <row r="54" spans="1:11" s="257" customFormat="1" ht="10.35" customHeight="1">
      <c r="A54" s="1248" t="s">
        <v>561</v>
      </c>
      <c r="B54" s="794">
        <v>12500</v>
      </c>
      <c r="C54" s="794">
        <v>26500</v>
      </c>
      <c r="D54" s="732">
        <v>62</v>
      </c>
      <c r="E54" s="794">
        <v>179180</v>
      </c>
      <c r="F54" s="858">
        <v>230.86</v>
      </c>
      <c r="G54" s="794" t="s">
        <v>292</v>
      </c>
      <c r="H54" s="794" t="s">
        <v>292</v>
      </c>
    </row>
    <row r="55" spans="1:11" s="271" customFormat="1" ht="10.35" customHeight="1">
      <c r="A55" s="1249" t="s">
        <v>562</v>
      </c>
      <c r="B55" s="806">
        <v>12500</v>
      </c>
      <c r="C55" s="806">
        <v>26500</v>
      </c>
      <c r="D55" s="681">
        <v>60</v>
      </c>
      <c r="E55" s="806" t="s">
        <v>292</v>
      </c>
      <c r="F55" s="806">
        <v>232.07</v>
      </c>
      <c r="G55" s="806" t="s">
        <v>292</v>
      </c>
      <c r="H55" s="806" t="s">
        <v>292</v>
      </c>
      <c r="K55" s="257"/>
    </row>
    <row r="56" spans="1:11" s="257" customFormat="1" ht="10.35" customHeight="1">
      <c r="A56" s="1248" t="s">
        <v>555</v>
      </c>
      <c r="B56" s="794">
        <v>12750</v>
      </c>
      <c r="C56" s="794">
        <v>27000</v>
      </c>
      <c r="D56" s="732">
        <v>58</v>
      </c>
      <c r="E56" s="794" t="s">
        <v>292</v>
      </c>
      <c r="F56" s="732">
        <v>243.8</v>
      </c>
      <c r="G56" s="794" t="s">
        <v>292</v>
      </c>
      <c r="H56" s="794" t="s">
        <v>292</v>
      </c>
    </row>
    <row r="57" spans="1:11" s="36" customFormat="1" ht="10.5" customHeight="1">
      <c r="A57" s="1251">
        <v>2026</v>
      </c>
      <c r="B57" s="854"/>
      <c r="C57" s="854"/>
      <c r="D57" s="853"/>
      <c r="E57" s="854"/>
      <c r="F57" s="853"/>
      <c r="G57" s="854"/>
      <c r="H57" s="854"/>
      <c r="K57" s="257"/>
    </row>
    <row r="58" spans="1:11" s="36" customFormat="1" ht="10.5" thickBot="1">
      <c r="A58" s="1697" t="s">
        <v>563</v>
      </c>
      <c r="B58" s="1736">
        <v>15500</v>
      </c>
      <c r="C58" s="1736">
        <v>32500</v>
      </c>
      <c r="D58" s="679" t="s">
        <v>292</v>
      </c>
      <c r="E58" s="724" t="s">
        <v>292</v>
      </c>
      <c r="F58" s="1737" t="s">
        <v>292</v>
      </c>
      <c r="G58" s="1738" t="s">
        <v>292</v>
      </c>
      <c r="H58" s="1738" t="s">
        <v>292</v>
      </c>
    </row>
    <row r="59" spans="1:11" s="36" customFormat="1" ht="11.25">
      <c r="A59" s="760" t="s">
        <v>1817</v>
      </c>
      <c r="B59" s="2318" t="s">
        <v>1233</v>
      </c>
      <c r="C59" s="2318"/>
      <c r="D59" s="2318"/>
      <c r="E59" s="2318" t="s">
        <v>2192</v>
      </c>
      <c r="F59" s="2318"/>
      <c r="G59" s="45"/>
      <c r="H59" s="45"/>
    </row>
    <row r="60" spans="1:11">
      <c r="A60" s="666"/>
      <c r="B60" s="2317" t="s">
        <v>2193</v>
      </c>
      <c r="C60" s="2317"/>
      <c r="D60" s="2317"/>
      <c r="E60" s="2318" t="s">
        <v>2194</v>
      </c>
      <c r="F60" s="2318"/>
      <c r="G60" s="45"/>
      <c r="H60" s="36" t="s">
        <v>1358</v>
      </c>
    </row>
    <row r="61" spans="1:11">
      <c r="A61" s="35"/>
      <c r="B61" s="35"/>
      <c r="C61" s="133"/>
      <c r="D61" s="45"/>
      <c r="E61" s="35"/>
      <c r="F61" s="45"/>
      <c r="G61" s="45" t="s">
        <v>2800</v>
      </c>
      <c r="H61" s="45"/>
    </row>
    <row r="62" spans="1:11">
      <c r="A62" s="36"/>
      <c r="B62" s="893"/>
      <c r="C62" s="36"/>
      <c r="D62" s="36"/>
      <c r="E62" s="36"/>
      <c r="F62" s="36"/>
      <c r="G62" s="36"/>
      <c r="H62" s="894"/>
    </row>
  </sheetData>
  <mergeCells count="17">
    <mergeCell ref="B60:D60"/>
    <mergeCell ref="E60:F60"/>
    <mergeCell ref="B59:D59"/>
    <mergeCell ref="E59:F59"/>
    <mergeCell ref="G1:H1"/>
    <mergeCell ref="G3:H3"/>
    <mergeCell ref="G4:G6"/>
    <mergeCell ref="H4:H6"/>
    <mergeCell ref="A1:F1"/>
    <mergeCell ref="A3:A6"/>
    <mergeCell ref="B3:C3"/>
    <mergeCell ref="D3:E3"/>
    <mergeCell ref="F3:F6"/>
    <mergeCell ref="B4:B6"/>
    <mergeCell ref="C4:C6"/>
    <mergeCell ref="D4:D6"/>
    <mergeCell ref="E4:E6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40" zoomScale="150" zoomScaleNormal="150" workbookViewId="0">
      <selection activeCell="A50" sqref="A7:XFD50"/>
    </sheetView>
  </sheetViews>
  <sheetFormatPr defaultColWidth="9.140625" defaultRowHeight="11.25"/>
  <cols>
    <col min="1" max="1" width="10.140625" style="16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2" customFormat="1" ht="15.75" customHeight="1">
      <c r="B1" s="50"/>
      <c r="C1" s="50"/>
      <c r="D1" s="2331" t="s">
        <v>1252</v>
      </c>
      <c r="E1" s="2331"/>
      <c r="F1" s="2331"/>
      <c r="G1" s="2331"/>
      <c r="H1" s="2331"/>
      <c r="I1" s="2331"/>
      <c r="J1" s="2331"/>
      <c r="K1" s="2334" t="s">
        <v>2207</v>
      </c>
      <c r="L1" s="2334"/>
      <c r="M1" s="2334"/>
      <c r="N1" s="2334"/>
      <c r="O1" s="2334"/>
      <c r="P1" s="2334"/>
      <c r="Q1" s="1252" t="s">
        <v>1075</v>
      </c>
    </row>
    <row r="2" spans="1:17" s="20" customFormat="1" ht="11.25" customHeight="1">
      <c r="B2" s="923"/>
      <c r="F2" s="923"/>
      <c r="G2" s="2333"/>
      <c r="H2" s="2333"/>
      <c r="I2" s="2333"/>
      <c r="J2" s="2333"/>
      <c r="K2" s="1235"/>
      <c r="L2" s="923"/>
      <c r="M2" s="923"/>
      <c r="N2" s="923"/>
      <c r="O2" s="923"/>
      <c r="P2" s="923"/>
      <c r="Q2" s="923"/>
    </row>
    <row r="3" spans="1:17" s="78" customFormat="1" ht="12" customHeight="1">
      <c r="A3" s="2326" t="s">
        <v>481</v>
      </c>
      <c r="B3" s="1233" t="s">
        <v>500</v>
      </c>
      <c r="C3" s="2278" t="s">
        <v>502</v>
      </c>
      <c r="D3" s="2332"/>
      <c r="E3" s="1233" t="s">
        <v>500</v>
      </c>
      <c r="F3" s="2278" t="s">
        <v>92</v>
      </c>
      <c r="G3" s="2332"/>
      <c r="H3" s="1233" t="s">
        <v>500</v>
      </c>
      <c r="I3" s="2278" t="s">
        <v>93</v>
      </c>
      <c r="J3" s="2332"/>
      <c r="K3" s="2278" t="s">
        <v>184</v>
      </c>
      <c r="L3" s="2335"/>
      <c r="M3" s="2335"/>
      <c r="N3" s="2335"/>
      <c r="O3" s="2335"/>
      <c r="P3" s="2335"/>
      <c r="Q3" s="2332"/>
    </row>
    <row r="4" spans="1:17" s="78" customFormat="1" ht="12.75" customHeight="1">
      <c r="A4" s="2275"/>
      <c r="B4" s="2329" t="s">
        <v>501</v>
      </c>
      <c r="C4" s="2324" t="s">
        <v>94</v>
      </c>
      <c r="D4" s="2322" t="s">
        <v>95</v>
      </c>
      <c r="E4" s="2324" t="s">
        <v>498</v>
      </c>
      <c r="F4" s="2322" t="s">
        <v>94</v>
      </c>
      <c r="G4" s="2324" t="s">
        <v>95</v>
      </c>
      <c r="H4" s="2322" t="s">
        <v>258</v>
      </c>
      <c r="I4" s="2324" t="s">
        <v>110</v>
      </c>
      <c r="J4" s="2324" t="s">
        <v>95</v>
      </c>
      <c r="K4" s="2326" t="s">
        <v>19</v>
      </c>
      <c r="L4" s="2319" t="s">
        <v>20</v>
      </c>
      <c r="M4" s="2320" t="s">
        <v>862</v>
      </c>
      <c r="N4" s="2320" t="s">
        <v>1253</v>
      </c>
      <c r="O4" s="2320" t="s">
        <v>259</v>
      </c>
      <c r="P4" s="2336" t="s">
        <v>260</v>
      </c>
      <c r="Q4" s="2320" t="s">
        <v>863</v>
      </c>
    </row>
    <row r="5" spans="1:17" s="78" customFormat="1" ht="24.75" customHeight="1">
      <c r="A5" s="2275"/>
      <c r="B5" s="2330"/>
      <c r="C5" s="2324"/>
      <c r="D5" s="2323"/>
      <c r="E5" s="2324"/>
      <c r="F5" s="2323"/>
      <c r="G5" s="2324"/>
      <c r="H5" s="2323"/>
      <c r="I5" s="2324"/>
      <c r="J5" s="2324"/>
      <c r="K5" s="2276"/>
      <c r="L5" s="2319"/>
      <c r="M5" s="2320"/>
      <c r="N5" s="2320"/>
      <c r="O5" s="2320"/>
      <c r="P5" s="2336"/>
      <c r="Q5" s="2320"/>
    </row>
    <row r="6" spans="1:17" ht="11.1" customHeight="1">
      <c r="A6" s="83" t="s">
        <v>568</v>
      </c>
      <c r="B6" s="1232">
        <v>100</v>
      </c>
      <c r="C6" s="2327" t="s">
        <v>140</v>
      </c>
      <c r="D6" s="2328"/>
      <c r="E6" s="1232">
        <v>56.18</v>
      </c>
      <c r="F6" s="2325" t="s">
        <v>140</v>
      </c>
      <c r="G6" s="2325"/>
      <c r="H6" s="1232">
        <v>43.82</v>
      </c>
      <c r="I6" s="2325" t="s">
        <v>140</v>
      </c>
      <c r="J6" s="2325"/>
      <c r="K6" s="1232">
        <v>6.84</v>
      </c>
      <c r="L6" s="1232">
        <v>14.88</v>
      </c>
      <c r="M6" s="1232">
        <v>4.7300000000000004</v>
      </c>
      <c r="N6" s="1232">
        <v>3.47</v>
      </c>
      <c r="O6" s="1232">
        <v>5.8</v>
      </c>
      <c r="P6" s="1232">
        <v>4.28</v>
      </c>
      <c r="Q6" s="1232">
        <v>3.82</v>
      </c>
    </row>
    <row r="7" spans="1:17" s="267" customFormat="1" ht="12.6" customHeight="1">
      <c r="A7" s="1093" t="s">
        <v>814</v>
      </c>
      <c r="B7" s="14">
        <v>181.72583333333333</v>
      </c>
      <c r="C7" s="27">
        <v>8.0500000000000007</v>
      </c>
      <c r="D7" s="27">
        <v>6.78</v>
      </c>
      <c r="E7" s="14">
        <v>193.23666666666665</v>
      </c>
      <c r="F7" s="27">
        <v>8.26</v>
      </c>
      <c r="G7" s="27">
        <v>5.22</v>
      </c>
      <c r="H7" s="14">
        <v>166.96916666666667</v>
      </c>
      <c r="I7" s="14">
        <v>7.75</v>
      </c>
      <c r="J7" s="14">
        <v>9.17</v>
      </c>
      <c r="K7" s="14">
        <v>179.65833333333333</v>
      </c>
      <c r="L7" s="14">
        <v>155.61333333333334</v>
      </c>
      <c r="M7" s="14">
        <v>195.33166666666671</v>
      </c>
      <c r="N7" s="14">
        <v>159.6575</v>
      </c>
      <c r="O7" s="14">
        <v>159.33833333333334</v>
      </c>
      <c r="P7" s="14">
        <v>157.23416666666671</v>
      </c>
      <c r="Q7" s="14">
        <v>182.53750000000002</v>
      </c>
    </row>
    <row r="8" spans="1:17" s="81" customFormat="1" ht="12.6" customHeight="1">
      <c r="A8" s="298" t="s">
        <v>991</v>
      </c>
      <c r="B8" s="294">
        <v>195.08250000000001</v>
      </c>
      <c r="C8" s="294">
        <v>6.97</v>
      </c>
      <c r="D8" s="294">
        <v>7.35</v>
      </c>
      <c r="E8" s="294">
        <v>209.79083333333335</v>
      </c>
      <c r="F8" s="294">
        <v>8</v>
      </c>
      <c r="G8" s="292">
        <v>8.57</v>
      </c>
      <c r="H8" s="294">
        <v>176.22416666666666</v>
      </c>
      <c r="I8" s="294">
        <v>5.45</v>
      </c>
      <c r="J8" s="294">
        <v>5.54</v>
      </c>
      <c r="K8" s="294">
        <v>194.76499999999999</v>
      </c>
      <c r="L8" s="294">
        <v>163.47083333333333</v>
      </c>
      <c r="M8" s="294">
        <v>206.13583333333338</v>
      </c>
      <c r="N8" s="294">
        <v>164.05583333333337</v>
      </c>
      <c r="O8" s="294">
        <v>167.20250000000001</v>
      </c>
      <c r="P8" s="294">
        <v>164.38166666666666</v>
      </c>
      <c r="Q8" s="294">
        <v>193.75416666666663</v>
      </c>
    </row>
    <row r="9" spans="1:17" s="267" customFormat="1" ht="12.6" customHeight="1">
      <c r="A9" s="247" t="s">
        <v>1042</v>
      </c>
      <c r="B9" s="27">
        <v>207.57750000000001</v>
      </c>
      <c r="C9" s="27">
        <v>6.25</v>
      </c>
      <c r="D9" s="27">
        <v>6.4</v>
      </c>
      <c r="E9" s="27">
        <v>223.7883333333333</v>
      </c>
      <c r="F9" s="27">
        <v>6.32</v>
      </c>
      <c r="G9" s="26">
        <v>6.67</v>
      </c>
      <c r="H9" s="27">
        <v>186.785</v>
      </c>
      <c r="I9" s="27">
        <v>6.15</v>
      </c>
      <c r="J9" s="27">
        <v>5.99</v>
      </c>
      <c r="K9" s="27">
        <v>209.44583333333333</v>
      </c>
      <c r="L9" s="27">
        <v>171.79583333333335</v>
      </c>
      <c r="M9" s="27">
        <v>214.44333333333336</v>
      </c>
      <c r="N9" s="27">
        <v>181.09000000000003</v>
      </c>
      <c r="O9" s="27">
        <v>181.77833333333331</v>
      </c>
      <c r="P9" s="27">
        <v>168.02416666666667</v>
      </c>
      <c r="Q9" s="27">
        <v>204.20583333333332</v>
      </c>
    </row>
    <row r="10" spans="1:17" s="81" customFormat="1" ht="12.6" customHeight="1">
      <c r="A10" s="320" t="s">
        <v>1163</v>
      </c>
      <c r="B10" s="294">
        <v>219.85833333333335</v>
      </c>
      <c r="C10" s="294">
        <v>5.53</v>
      </c>
      <c r="D10" s="294">
        <v>5.92</v>
      </c>
      <c r="E10" s="294">
        <v>234.77166666666668</v>
      </c>
      <c r="F10" s="294">
        <v>4.2300000000000004</v>
      </c>
      <c r="G10" s="294">
        <v>4.91</v>
      </c>
      <c r="H10" s="294">
        <v>200.73749999999998</v>
      </c>
      <c r="I10" s="294">
        <v>7.5</v>
      </c>
      <c r="J10" s="294">
        <v>7.47</v>
      </c>
      <c r="K10" s="294">
        <v>233.52</v>
      </c>
      <c r="L10" s="294">
        <v>182.75</v>
      </c>
      <c r="M10" s="294">
        <v>227.5325</v>
      </c>
      <c r="N10" s="294">
        <v>200.02916666666667</v>
      </c>
      <c r="O10" s="294">
        <v>201.59583333333333</v>
      </c>
      <c r="P10" s="294">
        <v>171.00583333333336</v>
      </c>
      <c r="Q10" s="294">
        <v>211.61166666666665</v>
      </c>
    </row>
    <row r="11" spans="1:17" s="267" customFormat="1" ht="12.6" customHeight="1">
      <c r="A11" s="247" t="s">
        <v>1198</v>
      </c>
      <c r="B11" s="27">
        <v>231.81916666666666</v>
      </c>
      <c r="C11" s="27">
        <v>5.94</v>
      </c>
      <c r="D11" s="27">
        <v>5.44</v>
      </c>
      <c r="E11" s="27">
        <v>248.89999999999998</v>
      </c>
      <c r="F11" s="27">
        <v>7.51</v>
      </c>
      <c r="G11" s="27">
        <v>6.02</v>
      </c>
      <c r="H11" s="27">
        <v>209.92083333333332</v>
      </c>
      <c r="I11" s="27">
        <v>3.67</v>
      </c>
      <c r="J11" s="27">
        <v>4.57</v>
      </c>
      <c r="K11" s="27">
        <v>243.56333333333336</v>
      </c>
      <c r="L11" s="27">
        <v>194.00750000000002</v>
      </c>
      <c r="M11" s="27">
        <v>235.8475</v>
      </c>
      <c r="N11" s="27">
        <v>206.69833333333335</v>
      </c>
      <c r="O11" s="27">
        <v>210.77666666666664</v>
      </c>
      <c r="P11" s="27">
        <v>177.55500000000004</v>
      </c>
      <c r="Q11" s="27">
        <v>217.51000000000002</v>
      </c>
    </row>
    <row r="12" spans="1:17" s="267" customFormat="1" ht="12.6" customHeight="1">
      <c r="A12" s="320" t="s">
        <v>1311</v>
      </c>
      <c r="B12" s="294">
        <v>245.22416666666666</v>
      </c>
      <c r="C12" s="294">
        <v>5.54</v>
      </c>
      <c r="D12" s="294">
        <v>5.78</v>
      </c>
      <c r="E12" s="294">
        <v>266.63833333333332</v>
      </c>
      <c r="F12" s="294">
        <v>5.98</v>
      </c>
      <c r="G12" s="294">
        <v>7.13</v>
      </c>
      <c r="H12" s="294">
        <v>217.76500000000001</v>
      </c>
      <c r="I12" s="294">
        <v>4.87</v>
      </c>
      <c r="J12" s="294">
        <v>3.73</v>
      </c>
      <c r="K12" s="294">
        <v>255.23666666666665</v>
      </c>
      <c r="L12" s="294">
        <v>200.24833333333333</v>
      </c>
      <c r="M12" s="294">
        <v>249.67583333333332</v>
      </c>
      <c r="N12" s="294">
        <v>209.2775</v>
      </c>
      <c r="O12" s="294">
        <v>218.79666666666665</v>
      </c>
      <c r="P12" s="294">
        <v>183.64916666666667</v>
      </c>
      <c r="Q12" s="294">
        <v>223.80666666666664</v>
      </c>
    </row>
    <row r="13" spans="1:17" s="160" customFormat="1" ht="12.6" customHeight="1">
      <c r="A13" s="247" t="s">
        <v>1420</v>
      </c>
      <c r="B13" s="27">
        <v>258.64916666666664</v>
      </c>
      <c r="C13" s="27">
        <v>5.52</v>
      </c>
      <c r="D13" s="27">
        <v>5.48</v>
      </c>
      <c r="E13" s="27">
        <v>281.32416666666666</v>
      </c>
      <c r="F13" s="27">
        <v>5.4</v>
      </c>
      <c r="G13" s="27">
        <v>5.51</v>
      </c>
      <c r="H13" s="27">
        <v>229.57666666666663</v>
      </c>
      <c r="I13" s="27">
        <v>5.71</v>
      </c>
      <c r="J13" s="27">
        <v>5.42</v>
      </c>
      <c r="K13" s="27">
        <v>277.64083333333332</v>
      </c>
      <c r="L13" s="27">
        <v>206.97666666666666</v>
      </c>
      <c r="M13" s="27">
        <v>265.24916666666667</v>
      </c>
      <c r="N13" s="27">
        <v>215.30833333333339</v>
      </c>
      <c r="O13" s="27">
        <v>235.22750000000005</v>
      </c>
      <c r="P13" s="27">
        <v>186.7258333333333</v>
      </c>
      <c r="Q13" s="27">
        <v>239.86916666666664</v>
      </c>
    </row>
    <row r="14" spans="1:17" s="160" customFormat="1" ht="12.6" customHeight="1">
      <c r="A14" s="598" t="s">
        <v>1502</v>
      </c>
      <c r="B14" s="297">
        <v>273.25666666666666</v>
      </c>
      <c r="C14" s="297">
        <v>6.02</v>
      </c>
      <c r="D14" s="297">
        <v>5.6476114685594103</v>
      </c>
      <c r="E14" s="297">
        <v>296.85749999999996</v>
      </c>
      <c r="F14" s="297">
        <v>6.54</v>
      </c>
      <c r="G14" s="297">
        <v>5.5215069211378198</v>
      </c>
      <c r="H14" s="297">
        <v>242.9966666666667</v>
      </c>
      <c r="I14" s="297">
        <v>5.22</v>
      </c>
      <c r="J14" s="297">
        <v>5.8455417943171106</v>
      </c>
      <c r="K14" s="297">
        <v>290.00333333333339</v>
      </c>
      <c r="L14" s="297">
        <v>220.70083333333335</v>
      </c>
      <c r="M14" s="297">
        <v>282.67083333333329</v>
      </c>
      <c r="N14" s="297">
        <v>230.07166666666669</v>
      </c>
      <c r="O14" s="297">
        <v>248.48</v>
      </c>
      <c r="P14" s="297">
        <v>190.13000000000002</v>
      </c>
      <c r="Q14" s="297">
        <v>259.27083333333331</v>
      </c>
    </row>
    <row r="15" spans="1:17" s="160" customFormat="1" ht="12.6" customHeight="1">
      <c r="A15" s="101" t="s">
        <v>1555</v>
      </c>
      <c r="B15" s="142">
        <f>AVERAGE(B16:B27)</f>
        <v>288.44333333333333</v>
      </c>
      <c r="C15" s="142">
        <f>C27</f>
        <v>5.64</v>
      </c>
      <c r="D15" s="142">
        <f>D27</f>
        <v>5.5576564158239528</v>
      </c>
      <c r="E15" s="142">
        <f>AVERAGE(E16:E27)</f>
        <v>313.86333333333334</v>
      </c>
      <c r="F15" s="142">
        <f>F27</f>
        <v>5.45</v>
      </c>
      <c r="G15" s="142">
        <f>G27</f>
        <v>5.7286183887331088</v>
      </c>
      <c r="H15" s="142">
        <f>AVERAGE(H16:H27)</f>
        <v>255.85166666666666</v>
      </c>
      <c r="I15" s="142">
        <f>I27</f>
        <v>5.94</v>
      </c>
      <c r="J15" s="142">
        <f>J27</f>
        <v>5.2901960246368063</v>
      </c>
      <c r="K15" s="142">
        <f t="shared" ref="K15:Q15" si="0">AVERAGE(K16:K27)</f>
        <v>298.14083333333332</v>
      </c>
      <c r="L15" s="142">
        <f t="shared" si="0"/>
        <v>228.29250000000002</v>
      </c>
      <c r="M15" s="142">
        <f t="shared" si="0"/>
        <v>298.14833333333331</v>
      </c>
      <c r="N15" s="142">
        <f t="shared" si="0"/>
        <v>247.86333333333334</v>
      </c>
      <c r="O15" s="142">
        <f t="shared" si="0"/>
        <v>271.44833333333332</v>
      </c>
      <c r="P15" s="142">
        <f t="shared" si="0"/>
        <v>193.61083333333332</v>
      </c>
      <c r="Q15" s="142">
        <f t="shared" si="0"/>
        <v>288.52833333333336</v>
      </c>
    </row>
    <row r="16" spans="1:17" s="160" customFormat="1" ht="12.6" customHeight="1">
      <c r="A16" s="306" t="s">
        <v>559</v>
      </c>
      <c r="B16" s="288">
        <v>278.27</v>
      </c>
      <c r="C16" s="288">
        <v>5.53</v>
      </c>
      <c r="D16" s="289">
        <v>5.6394992671184641</v>
      </c>
      <c r="E16" s="289">
        <v>300.75</v>
      </c>
      <c r="F16" s="289">
        <v>5.7</v>
      </c>
      <c r="G16" s="289">
        <v>5.5442822929815838</v>
      </c>
      <c r="H16" s="289">
        <v>249.46</v>
      </c>
      <c r="I16" s="289">
        <v>5.28</v>
      </c>
      <c r="J16" s="289">
        <v>5.7893006672181668</v>
      </c>
      <c r="K16" s="289">
        <v>292.2</v>
      </c>
      <c r="L16" s="289">
        <v>227.57</v>
      </c>
      <c r="M16" s="289">
        <v>288.73</v>
      </c>
      <c r="N16" s="289">
        <v>240.64</v>
      </c>
      <c r="O16" s="289">
        <v>257.25</v>
      </c>
      <c r="P16" s="289">
        <v>190.98</v>
      </c>
      <c r="Q16" s="289">
        <v>271.37</v>
      </c>
    </row>
    <row r="17" spans="1:17" s="160" customFormat="1" ht="12.6" customHeight="1">
      <c r="A17" s="141" t="s">
        <v>560</v>
      </c>
      <c r="B17" s="249">
        <v>282.11</v>
      </c>
      <c r="C17" s="249">
        <v>5.68</v>
      </c>
      <c r="D17" s="250">
        <v>5.6547200899186079</v>
      </c>
      <c r="E17" s="250">
        <v>307.2</v>
      </c>
      <c r="F17" s="250">
        <v>6.08</v>
      </c>
      <c r="G17" s="250">
        <v>5.6114043048078877</v>
      </c>
      <c r="H17" s="250">
        <v>249.95</v>
      </c>
      <c r="I17" s="250">
        <v>5.05</v>
      </c>
      <c r="J17" s="250">
        <v>5.7235824973933092</v>
      </c>
      <c r="K17" s="250">
        <v>292.29000000000002</v>
      </c>
      <c r="L17" s="250">
        <v>227.6</v>
      </c>
      <c r="M17" s="250">
        <v>291.54000000000002</v>
      </c>
      <c r="N17" s="250">
        <v>240.81</v>
      </c>
      <c r="O17" s="250">
        <v>257.58999999999997</v>
      </c>
      <c r="P17" s="250">
        <v>191.01</v>
      </c>
      <c r="Q17" s="250">
        <v>272.54000000000002</v>
      </c>
    </row>
    <row r="18" spans="1:17" s="160" customFormat="1" ht="12.6" customHeight="1">
      <c r="A18" s="306" t="s">
        <v>554</v>
      </c>
      <c r="B18" s="288">
        <v>288.12</v>
      </c>
      <c r="C18" s="288">
        <v>5.97</v>
      </c>
      <c r="D18" s="289">
        <v>5.6907183725365407</v>
      </c>
      <c r="E18" s="289">
        <v>316.11</v>
      </c>
      <c r="F18" s="289">
        <v>6.5</v>
      </c>
      <c r="G18" s="289">
        <v>5.7140685033245875</v>
      </c>
      <c r="H18" s="289">
        <v>252.24</v>
      </c>
      <c r="I18" s="289">
        <v>5.12</v>
      </c>
      <c r="J18" s="289">
        <v>5.6553071506268981</v>
      </c>
      <c r="K18" s="289">
        <v>292.42</v>
      </c>
      <c r="L18" s="289">
        <v>227.99</v>
      </c>
      <c r="M18" s="289">
        <v>293.11</v>
      </c>
      <c r="N18" s="289">
        <v>246.45</v>
      </c>
      <c r="O18" s="289">
        <v>263.02</v>
      </c>
      <c r="P18" s="289">
        <v>191.79</v>
      </c>
      <c r="Q18" s="289">
        <v>280.87</v>
      </c>
    </row>
    <row r="19" spans="1:17" s="160" customFormat="1" ht="12.6" customHeight="1">
      <c r="A19" s="141" t="s">
        <v>561</v>
      </c>
      <c r="B19" s="249">
        <v>290.91000000000003</v>
      </c>
      <c r="C19" s="249">
        <v>6.44</v>
      </c>
      <c r="D19" s="250">
        <v>5.7740564589879639</v>
      </c>
      <c r="E19" s="250">
        <v>320.94</v>
      </c>
      <c r="F19" s="250">
        <v>7.34</v>
      </c>
      <c r="G19" s="250">
        <v>5.8744938917721701</v>
      </c>
      <c r="H19" s="250">
        <v>252.4</v>
      </c>
      <c r="I19" s="250">
        <v>5</v>
      </c>
      <c r="J19" s="250">
        <v>5.616036250418599</v>
      </c>
      <c r="K19" s="250">
        <v>292.57</v>
      </c>
      <c r="L19" s="250">
        <v>228.09</v>
      </c>
      <c r="M19" s="250">
        <v>293.35000000000002</v>
      </c>
      <c r="N19" s="250">
        <v>246.54</v>
      </c>
      <c r="O19" s="250">
        <v>263.41000000000003</v>
      </c>
      <c r="P19" s="250">
        <v>191.81</v>
      </c>
      <c r="Q19" s="250">
        <v>281.05</v>
      </c>
    </row>
    <row r="20" spans="1:17" s="160" customFormat="1" ht="12.6" customHeight="1">
      <c r="A20" s="306" t="s">
        <v>562</v>
      </c>
      <c r="B20" s="288">
        <v>288.70999999999998</v>
      </c>
      <c r="C20" s="288">
        <v>5.52</v>
      </c>
      <c r="D20" s="289">
        <v>5.7302638415250406</v>
      </c>
      <c r="E20" s="289">
        <v>316.41000000000003</v>
      </c>
      <c r="F20" s="289">
        <v>5.73</v>
      </c>
      <c r="G20" s="289">
        <v>5.8186503742525542</v>
      </c>
      <c r="H20" s="289">
        <v>253.19</v>
      </c>
      <c r="I20" s="289">
        <v>5.19</v>
      </c>
      <c r="J20" s="289">
        <v>5.5911591237148173</v>
      </c>
      <c r="K20" s="289">
        <v>292.73</v>
      </c>
      <c r="L20" s="289">
        <v>228.62</v>
      </c>
      <c r="M20" s="289">
        <v>295.29000000000002</v>
      </c>
      <c r="N20" s="289">
        <v>246.77</v>
      </c>
      <c r="O20" s="289">
        <v>264.74</v>
      </c>
      <c r="P20" s="289">
        <v>191.96</v>
      </c>
      <c r="Q20" s="289">
        <v>282.91000000000003</v>
      </c>
    </row>
    <row r="21" spans="1:17" s="160" customFormat="1" ht="12.6" customHeight="1">
      <c r="A21" s="141" t="s">
        <v>555</v>
      </c>
      <c r="B21" s="249">
        <v>287.41000000000003</v>
      </c>
      <c r="C21" s="249">
        <v>5.29</v>
      </c>
      <c r="D21" s="250">
        <v>5.691074747462066</v>
      </c>
      <c r="E21" s="250">
        <v>313.58999999999997</v>
      </c>
      <c r="F21" s="250">
        <v>5.34</v>
      </c>
      <c r="G21" s="250">
        <v>5.7730823873869852</v>
      </c>
      <c r="H21" s="250">
        <v>253.85</v>
      </c>
      <c r="I21" s="250">
        <v>5.21</v>
      </c>
      <c r="J21" s="250">
        <v>5.5622442458629351</v>
      </c>
      <c r="K21" s="250">
        <v>293.08</v>
      </c>
      <c r="L21" s="250">
        <v>228.84</v>
      </c>
      <c r="M21" s="250">
        <v>295.74</v>
      </c>
      <c r="N21" s="250">
        <v>247.29</v>
      </c>
      <c r="O21" s="250">
        <v>266.32</v>
      </c>
      <c r="P21" s="250">
        <v>192.16</v>
      </c>
      <c r="Q21" s="250">
        <v>285.38</v>
      </c>
    </row>
    <row r="22" spans="1:17" s="160" customFormat="1" ht="12.6" customHeight="1">
      <c r="A22" s="306" t="s">
        <v>563</v>
      </c>
      <c r="B22" s="288">
        <v>290.02999999999997</v>
      </c>
      <c r="C22" s="288">
        <v>5.0199999999999996</v>
      </c>
      <c r="D22" s="289">
        <v>5.6430352022812658</v>
      </c>
      <c r="E22" s="289">
        <v>315.81</v>
      </c>
      <c r="F22" s="289">
        <v>5.23</v>
      </c>
      <c r="G22" s="289">
        <v>5.7801577189297015</v>
      </c>
      <c r="H22" s="289">
        <v>256.97000000000003</v>
      </c>
      <c r="I22" s="289">
        <v>4.6900000000000004</v>
      </c>
      <c r="J22" s="289">
        <v>5.4270318877640555</v>
      </c>
      <c r="K22" s="289">
        <v>301.14999999999998</v>
      </c>
      <c r="L22" s="289">
        <v>229.98</v>
      </c>
      <c r="M22" s="289">
        <v>297.45</v>
      </c>
      <c r="N22" s="289">
        <v>249.01</v>
      </c>
      <c r="O22" s="289">
        <v>269.58</v>
      </c>
      <c r="P22" s="289">
        <v>194.13</v>
      </c>
      <c r="Q22" s="289">
        <v>291.52999999999997</v>
      </c>
    </row>
    <row r="23" spans="1:17" s="160" customFormat="1" ht="12.6" customHeight="1">
      <c r="A23" s="141" t="s">
        <v>564</v>
      </c>
      <c r="B23" s="250">
        <v>290.3</v>
      </c>
      <c r="C23" s="250">
        <v>5.32</v>
      </c>
      <c r="D23" s="250">
        <v>5.6304473421008305</v>
      </c>
      <c r="E23" s="250">
        <v>315.35000000000002</v>
      </c>
      <c r="F23" s="250">
        <v>5.42</v>
      </c>
      <c r="G23" s="250">
        <v>5.815339325778468</v>
      </c>
      <c r="H23" s="250">
        <v>258.18</v>
      </c>
      <c r="I23" s="250">
        <v>5.17</v>
      </c>
      <c r="J23" s="250">
        <v>5.3403232852774041</v>
      </c>
      <c r="K23" s="250">
        <v>302.12</v>
      </c>
      <c r="L23" s="250">
        <v>229.35</v>
      </c>
      <c r="M23" s="250">
        <v>299.52999999999997</v>
      </c>
      <c r="N23" s="250">
        <v>250.79</v>
      </c>
      <c r="O23" s="250">
        <v>272.60000000000002</v>
      </c>
      <c r="P23" s="250">
        <v>195.12</v>
      </c>
      <c r="Q23" s="250">
        <v>296.14999999999998</v>
      </c>
    </row>
    <row r="24" spans="1:17" s="160" customFormat="1" ht="12.6" customHeight="1">
      <c r="A24" s="306" t="s">
        <v>556</v>
      </c>
      <c r="B24" s="289">
        <v>291.95999999999998</v>
      </c>
      <c r="C24" s="289">
        <v>5.47</v>
      </c>
      <c r="D24" s="289">
        <v>5.6286025282636043</v>
      </c>
      <c r="E24" s="289">
        <v>317.32</v>
      </c>
      <c r="F24" s="289">
        <v>5.51</v>
      </c>
      <c r="G24" s="289">
        <v>5.8668131780540422</v>
      </c>
      <c r="H24" s="289">
        <v>259.44</v>
      </c>
      <c r="I24" s="289">
        <v>5.39</v>
      </c>
      <c r="J24" s="289">
        <v>5.2552526450105441</v>
      </c>
      <c r="K24" s="289">
        <v>303.73</v>
      </c>
      <c r="L24" s="289">
        <v>229.5</v>
      </c>
      <c r="M24" s="289">
        <v>302.63</v>
      </c>
      <c r="N24" s="289">
        <v>251.13</v>
      </c>
      <c r="O24" s="289">
        <v>274.68</v>
      </c>
      <c r="P24" s="289">
        <v>195.89</v>
      </c>
      <c r="Q24" s="289">
        <v>299.06</v>
      </c>
    </row>
    <row r="25" spans="1:17" s="160" customFormat="1" ht="12.6" customHeight="1">
      <c r="A25" s="141" t="s">
        <v>565</v>
      </c>
      <c r="B25" s="250">
        <v>293.88</v>
      </c>
      <c r="C25" s="250">
        <v>5.56</v>
      </c>
      <c r="D25" s="250">
        <v>5.5962455762425423</v>
      </c>
      <c r="E25" s="250">
        <v>320.27999999999997</v>
      </c>
      <c r="F25" s="250">
        <v>5.57</v>
      </c>
      <c r="G25" s="250">
        <v>5.8375404420722088</v>
      </c>
      <c r="H25" s="250">
        <v>260.02</v>
      </c>
      <c r="I25" s="250">
        <v>5.55</v>
      </c>
      <c r="J25" s="250">
        <v>5.2176319977855989</v>
      </c>
      <c r="K25" s="250">
        <v>304.23</v>
      </c>
      <c r="L25" s="250">
        <v>229.44</v>
      </c>
      <c r="M25" s="250">
        <v>305</v>
      </c>
      <c r="N25" s="250">
        <v>251.5</v>
      </c>
      <c r="O25" s="250">
        <v>276.02</v>
      </c>
      <c r="P25" s="250">
        <v>195.95</v>
      </c>
      <c r="Q25" s="250">
        <v>299.67</v>
      </c>
    </row>
    <row r="26" spans="1:17" s="160" customFormat="1" ht="12.6" customHeight="1">
      <c r="A26" s="306" t="s">
        <v>566</v>
      </c>
      <c r="B26" s="289">
        <v>287.92</v>
      </c>
      <c r="C26" s="289">
        <v>5.26</v>
      </c>
      <c r="D26" s="289">
        <v>5.5874241588527385</v>
      </c>
      <c r="E26" s="289">
        <v>308.41000000000003</v>
      </c>
      <c r="F26" s="289">
        <v>4.87</v>
      </c>
      <c r="G26" s="289">
        <v>5.816325666833122</v>
      </c>
      <c r="H26" s="289">
        <v>261.64999999999998</v>
      </c>
      <c r="I26" s="289">
        <v>5.86</v>
      </c>
      <c r="J26" s="289">
        <v>5.228935994351902</v>
      </c>
      <c r="K26" s="289">
        <v>305.17</v>
      </c>
      <c r="L26" s="289">
        <v>225.9</v>
      </c>
      <c r="M26" s="289">
        <v>306.45999999999998</v>
      </c>
      <c r="N26" s="289">
        <v>251.53</v>
      </c>
      <c r="O26" s="289">
        <v>294.86</v>
      </c>
      <c r="P26" s="289">
        <v>195.99</v>
      </c>
      <c r="Q26" s="289">
        <v>299.99</v>
      </c>
    </row>
    <row r="27" spans="1:17" s="160" customFormat="1" ht="12.6" customHeight="1">
      <c r="A27" s="141" t="s">
        <v>557</v>
      </c>
      <c r="B27" s="250">
        <v>291.7</v>
      </c>
      <c r="C27" s="250">
        <v>5.64</v>
      </c>
      <c r="D27" s="250">
        <v>5.5576564158239528</v>
      </c>
      <c r="E27" s="250">
        <v>314.19</v>
      </c>
      <c r="F27" s="250">
        <v>5.45</v>
      </c>
      <c r="G27" s="250">
        <v>5.7286183887331088</v>
      </c>
      <c r="H27" s="250">
        <v>262.87</v>
      </c>
      <c r="I27" s="250">
        <v>5.94</v>
      </c>
      <c r="J27" s="250">
        <v>5.2901960246368063</v>
      </c>
      <c r="K27" s="250">
        <v>306</v>
      </c>
      <c r="L27" s="250">
        <v>226.63</v>
      </c>
      <c r="M27" s="250">
        <v>308.95</v>
      </c>
      <c r="N27" s="250">
        <v>251.9</v>
      </c>
      <c r="O27" s="250">
        <v>297.31</v>
      </c>
      <c r="P27" s="250">
        <v>196.54</v>
      </c>
      <c r="Q27" s="250">
        <v>301.82</v>
      </c>
    </row>
    <row r="28" spans="1:17" s="159" customFormat="1" ht="12.6" customHeight="1">
      <c r="A28" s="944" t="s">
        <v>1836</v>
      </c>
      <c r="B28" s="297">
        <f>AVERAGE(B29:B40)</f>
        <v>306.18166666666667</v>
      </c>
      <c r="C28" s="297">
        <f>C40</f>
        <v>7.56</v>
      </c>
      <c r="D28" s="297">
        <f>D40</f>
        <v>6.1496770018374614</v>
      </c>
      <c r="E28" s="297">
        <f>AVERAGE(E29:E40)</f>
        <v>332.85583333333329</v>
      </c>
      <c r="F28" s="297">
        <f>F40</f>
        <v>8.3699999999999992</v>
      </c>
      <c r="G28" s="297">
        <f>G40</f>
        <v>6.0512006287237297</v>
      </c>
      <c r="H28" s="297">
        <f>AVERAGE(H29:H40)</f>
        <v>271.98333333333335</v>
      </c>
      <c r="I28" s="297">
        <f>I40</f>
        <v>6.33</v>
      </c>
      <c r="J28" s="297">
        <f>J40</f>
        <v>6.3050856290428836</v>
      </c>
      <c r="K28" s="297">
        <f t="shared" ref="K28:Q28" si="1">AVERAGE(K29:K40)</f>
        <v>320.14250000000004</v>
      </c>
      <c r="L28" s="297">
        <f t="shared" si="1"/>
        <v>232.42499999999998</v>
      </c>
      <c r="M28" s="297">
        <f t="shared" si="1"/>
        <v>320.29583333333341</v>
      </c>
      <c r="N28" s="297">
        <f t="shared" si="1"/>
        <v>253.62</v>
      </c>
      <c r="O28" s="297">
        <f t="shared" si="1"/>
        <v>313.00416666666666</v>
      </c>
      <c r="P28" s="297">
        <f t="shared" si="1"/>
        <v>202.60249999999999</v>
      </c>
      <c r="Q28" s="297">
        <f t="shared" si="1"/>
        <v>312.2791666666667</v>
      </c>
    </row>
    <row r="29" spans="1:17" s="159" customFormat="1" ht="12.6" customHeight="1">
      <c r="A29" s="141" t="s">
        <v>559</v>
      </c>
      <c r="B29" s="250">
        <v>293.19</v>
      </c>
      <c r="C29" s="250">
        <v>5.36</v>
      </c>
      <c r="D29" s="250">
        <v>5.5433772763430422</v>
      </c>
      <c r="E29" s="250">
        <v>316.02</v>
      </c>
      <c r="F29" s="250">
        <v>5.08</v>
      </c>
      <c r="G29" s="250">
        <v>5.6764007265614147</v>
      </c>
      <c r="H29" s="250">
        <v>263.93</v>
      </c>
      <c r="I29" s="250">
        <v>5.8</v>
      </c>
      <c r="J29" s="250">
        <v>5.3345262201763832</v>
      </c>
      <c r="K29" s="250">
        <v>307.11</v>
      </c>
      <c r="L29" s="250">
        <v>227.12</v>
      </c>
      <c r="M29" s="250">
        <v>310.07</v>
      </c>
      <c r="N29" s="250">
        <v>252.47</v>
      </c>
      <c r="O29" s="250">
        <v>300.58</v>
      </c>
      <c r="P29" s="250">
        <v>197</v>
      </c>
      <c r="Q29" s="250">
        <v>302.72000000000003</v>
      </c>
    </row>
    <row r="30" spans="1:17" s="159" customFormat="1" ht="12.6" customHeight="1">
      <c r="A30" s="306" t="s">
        <v>560</v>
      </c>
      <c r="B30" s="289">
        <v>297.73</v>
      </c>
      <c r="C30" s="289">
        <v>5.54</v>
      </c>
      <c r="D30" s="289">
        <v>5.5322003983305335</v>
      </c>
      <c r="E30" s="289">
        <v>323.04000000000002</v>
      </c>
      <c r="F30" s="289">
        <v>5.16</v>
      </c>
      <c r="G30" s="289">
        <v>5.5996774283251449</v>
      </c>
      <c r="H30" s="289">
        <v>265.27999999999997</v>
      </c>
      <c r="I30" s="289">
        <v>6.13</v>
      </c>
      <c r="J30" s="289">
        <v>5.4252862618135111</v>
      </c>
      <c r="K30" s="289">
        <v>310.33999999999997</v>
      </c>
      <c r="L30" s="289">
        <v>228.06</v>
      </c>
      <c r="M30" s="289">
        <v>311.89999999999998</v>
      </c>
      <c r="N30" s="289">
        <v>252.66</v>
      </c>
      <c r="O30" s="289">
        <v>301.81</v>
      </c>
      <c r="P30" s="289">
        <v>197.47</v>
      </c>
      <c r="Q30" s="289">
        <v>303.97000000000003</v>
      </c>
    </row>
    <row r="31" spans="1:17" s="159" customFormat="1" ht="12.6" customHeight="1">
      <c r="A31" s="141" t="s">
        <v>554</v>
      </c>
      <c r="B31" s="250">
        <v>304.22000000000003</v>
      </c>
      <c r="C31" s="250">
        <v>5.59</v>
      </c>
      <c r="D31" s="250">
        <v>5.5016044968015265</v>
      </c>
      <c r="E31" s="250">
        <v>332.58</v>
      </c>
      <c r="F31" s="250">
        <v>5.21</v>
      </c>
      <c r="G31" s="250">
        <v>5.491508546772117</v>
      </c>
      <c r="H31" s="250">
        <v>267.85000000000002</v>
      </c>
      <c r="I31" s="250">
        <v>6.19</v>
      </c>
      <c r="J31" s="250">
        <v>5.5154990060180875</v>
      </c>
      <c r="K31" s="250">
        <v>313.63</v>
      </c>
      <c r="L31" s="250">
        <v>230.62</v>
      </c>
      <c r="M31" s="250">
        <v>316.69</v>
      </c>
      <c r="N31" s="250">
        <v>252.89</v>
      </c>
      <c r="O31" s="250">
        <v>303.73</v>
      </c>
      <c r="P31" s="250">
        <v>199.55</v>
      </c>
      <c r="Q31" s="250">
        <v>306.12</v>
      </c>
    </row>
    <row r="32" spans="1:17" s="159" customFormat="1" ht="12.6" customHeight="1">
      <c r="A32" s="306" t="s">
        <v>561</v>
      </c>
      <c r="B32" s="289">
        <v>307.49</v>
      </c>
      <c r="C32" s="289">
        <v>5.7</v>
      </c>
      <c r="D32" s="289">
        <v>5.44</v>
      </c>
      <c r="E32" s="289">
        <v>337.7</v>
      </c>
      <c r="F32" s="289">
        <v>5.22</v>
      </c>
      <c r="G32" s="289">
        <v>5.32</v>
      </c>
      <c r="H32" s="289">
        <v>268.75</v>
      </c>
      <c r="I32" s="289">
        <v>6.48</v>
      </c>
      <c r="J32" s="289">
        <v>5.64</v>
      </c>
      <c r="K32" s="289">
        <v>314.48</v>
      </c>
      <c r="L32" s="289">
        <v>231.64</v>
      </c>
      <c r="M32" s="289">
        <v>316.85000000000002</v>
      </c>
      <c r="N32" s="289">
        <v>252.99</v>
      </c>
      <c r="O32" s="289">
        <v>306.31</v>
      </c>
      <c r="P32" s="289">
        <v>199.71</v>
      </c>
      <c r="Q32" s="289">
        <v>306.66000000000003</v>
      </c>
    </row>
    <row r="33" spans="1:17" s="159" customFormat="1" ht="12.6" customHeight="1">
      <c r="A33" s="141" t="s">
        <v>562</v>
      </c>
      <c r="B33" s="250">
        <v>305.97000000000003</v>
      </c>
      <c r="C33" s="250">
        <v>5.98</v>
      </c>
      <c r="D33" s="250">
        <v>5.4813491177127638</v>
      </c>
      <c r="E33" s="250">
        <v>333.58</v>
      </c>
      <c r="F33" s="250">
        <v>5.43</v>
      </c>
      <c r="G33" s="250">
        <v>5.2912847174716227</v>
      </c>
      <c r="H33" s="250">
        <v>270.58</v>
      </c>
      <c r="I33" s="250">
        <v>6.87</v>
      </c>
      <c r="J33" s="250">
        <v>5.7801080180567288</v>
      </c>
      <c r="K33" s="250">
        <v>316.73</v>
      </c>
      <c r="L33" s="250">
        <v>232.46</v>
      </c>
      <c r="M33" s="250">
        <v>317.92</v>
      </c>
      <c r="N33" s="250">
        <v>253.09</v>
      </c>
      <c r="O33" s="250">
        <v>313.36</v>
      </c>
      <c r="P33" s="250">
        <v>200.25</v>
      </c>
      <c r="Q33" s="250">
        <v>307.70999999999998</v>
      </c>
    </row>
    <row r="34" spans="1:17" s="159" customFormat="1" ht="12.6" customHeight="1">
      <c r="A34" s="306" t="s">
        <v>555</v>
      </c>
      <c r="B34" s="289">
        <v>304.81</v>
      </c>
      <c r="C34" s="289">
        <v>6.05</v>
      </c>
      <c r="D34" s="289">
        <v>5.54</v>
      </c>
      <c r="E34" s="289">
        <v>330.71</v>
      </c>
      <c r="F34" s="289">
        <v>5.46</v>
      </c>
      <c r="G34" s="289">
        <v>5.3016020052310431</v>
      </c>
      <c r="H34" s="289">
        <v>271.61</v>
      </c>
      <c r="I34" s="289">
        <v>7</v>
      </c>
      <c r="J34" s="289">
        <v>5.9293944512266439</v>
      </c>
      <c r="K34" s="289">
        <v>320.38</v>
      </c>
      <c r="L34" s="289">
        <v>232.71</v>
      </c>
      <c r="M34" s="289">
        <v>318.7</v>
      </c>
      <c r="N34" s="289">
        <v>253.16</v>
      </c>
      <c r="O34" s="289">
        <v>314.27</v>
      </c>
      <c r="P34" s="289">
        <v>201.02</v>
      </c>
      <c r="Q34" s="289">
        <v>308.64999999999998</v>
      </c>
    </row>
    <row r="35" spans="1:17" s="159" customFormat="1" ht="12.6" customHeight="1">
      <c r="A35" s="141" t="s">
        <v>563</v>
      </c>
      <c r="B35" s="250">
        <v>307.02</v>
      </c>
      <c r="C35" s="250">
        <v>5.86</v>
      </c>
      <c r="D35" s="250">
        <v>5.6150806542117015</v>
      </c>
      <c r="E35" s="250">
        <v>333.51</v>
      </c>
      <c r="F35" s="250">
        <v>5.6</v>
      </c>
      <c r="G35" s="250">
        <v>5.3332790754455628</v>
      </c>
      <c r="H35" s="250">
        <v>273.05</v>
      </c>
      <c r="I35" s="250">
        <v>6.26</v>
      </c>
      <c r="J35" s="250">
        <v>6.0589199562864904</v>
      </c>
      <c r="K35" s="250">
        <v>321.57</v>
      </c>
      <c r="L35" s="250">
        <v>233.53</v>
      </c>
      <c r="M35" s="250">
        <v>320.51</v>
      </c>
      <c r="N35" s="250">
        <v>253.44</v>
      </c>
      <c r="O35" s="250">
        <v>315.7</v>
      </c>
      <c r="P35" s="250">
        <v>203.16</v>
      </c>
      <c r="Q35" s="250">
        <v>312.88</v>
      </c>
    </row>
    <row r="36" spans="1:17" s="159" customFormat="1" ht="12.6" customHeight="1">
      <c r="A36" s="306" t="s">
        <v>564</v>
      </c>
      <c r="B36" s="289">
        <v>308.20999999999998</v>
      </c>
      <c r="C36" s="289">
        <v>6.17</v>
      </c>
      <c r="D36" s="289">
        <v>5.6861320951678174</v>
      </c>
      <c r="E36" s="289">
        <v>334.95</v>
      </c>
      <c r="F36" s="289">
        <v>6.22</v>
      </c>
      <c r="G36" s="289">
        <v>5.4012078912681671</v>
      </c>
      <c r="H36" s="289">
        <v>273.93</v>
      </c>
      <c r="I36" s="289">
        <v>6.1</v>
      </c>
      <c r="J36" s="289">
        <v>6.1349347223835116</v>
      </c>
      <c r="K36" s="289">
        <v>323.49</v>
      </c>
      <c r="L36" s="289">
        <v>233.65</v>
      </c>
      <c r="M36" s="289">
        <v>322.05</v>
      </c>
      <c r="N36" s="289">
        <v>253.57</v>
      </c>
      <c r="O36" s="289">
        <v>317.11</v>
      </c>
      <c r="P36" s="289">
        <v>203.76</v>
      </c>
      <c r="Q36" s="289">
        <v>314.16000000000003</v>
      </c>
    </row>
    <row r="37" spans="1:17" s="159" customFormat="1" ht="12.6" customHeight="1">
      <c r="A37" s="141" t="s">
        <v>556</v>
      </c>
      <c r="B37" s="250">
        <v>310.12</v>
      </c>
      <c r="C37" s="250">
        <v>6.22</v>
      </c>
      <c r="D37" s="250">
        <v>5.7496501613063966</v>
      </c>
      <c r="E37" s="250">
        <v>337.43</v>
      </c>
      <c r="F37" s="250">
        <v>6.34</v>
      </c>
      <c r="G37" s="250">
        <v>5.4720481862916115</v>
      </c>
      <c r="H37" s="250">
        <v>275.11</v>
      </c>
      <c r="I37" s="250">
        <v>6.04</v>
      </c>
      <c r="J37" s="250">
        <v>6.1873207985941425</v>
      </c>
      <c r="K37" s="250">
        <v>325.31</v>
      </c>
      <c r="L37" s="250">
        <v>234.17</v>
      </c>
      <c r="M37" s="250">
        <v>323.51</v>
      </c>
      <c r="N37" s="250">
        <v>253.91</v>
      </c>
      <c r="O37" s="250">
        <v>317.88</v>
      </c>
      <c r="P37" s="250">
        <v>204.95</v>
      </c>
      <c r="Q37" s="250">
        <v>317.85000000000002</v>
      </c>
    </row>
    <row r="38" spans="1:17" s="159" customFormat="1" ht="12.6" customHeight="1">
      <c r="A38" s="306" t="s">
        <v>565</v>
      </c>
      <c r="B38" s="289">
        <v>312.38</v>
      </c>
      <c r="C38" s="289">
        <v>6.29</v>
      </c>
      <c r="D38" s="289">
        <v>5.8114153321578765</v>
      </c>
      <c r="E38" s="289">
        <v>340.25</v>
      </c>
      <c r="F38" s="289">
        <v>6.23</v>
      </c>
      <c r="G38" s="289">
        <v>5.5297540814660318</v>
      </c>
      <c r="H38" s="289">
        <v>276.64</v>
      </c>
      <c r="I38" s="289">
        <v>6.39</v>
      </c>
      <c r="J38" s="289">
        <v>6.2561657349555988</v>
      </c>
      <c r="K38" s="289">
        <v>328.18</v>
      </c>
      <c r="L38" s="289">
        <v>234.65</v>
      </c>
      <c r="M38" s="289">
        <v>325.93</v>
      </c>
      <c r="N38" s="289">
        <v>254.59</v>
      </c>
      <c r="O38" s="289">
        <v>319.82</v>
      </c>
      <c r="P38" s="289">
        <v>206.59</v>
      </c>
      <c r="Q38" s="289">
        <v>319.99</v>
      </c>
    </row>
    <row r="39" spans="1:17" s="159" customFormat="1" ht="12.6" customHeight="1">
      <c r="A39" s="141" t="s">
        <v>566</v>
      </c>
      <c r="B39" s="250">
        <v>309.27999999999997</v>
      </c>
      <c r="C39" s="250">
        <v>7.42</v>
      </c>
      <c r="D39" s="250">
        <v>5.9894246228676229</v>
      </c>
      <c r="E39" s="250">
        <v>334.02</v>
      </c>
      <c r="F39" s="250">
        <v>8.3000000000000007</v>
      </c>
      <c r="G39" s="250">
        <v>5.8094140987488219</v>
      </c>
      <c r="H39" s="250">
        <v>277.57</v>
      </c>
      <c r="I39" s="250">
        <v>6.08</v>
      </c>
      <c r="J39" s="250">
        <v>6.2736460392475157</v>
      </c>
      <c r="K39" s="250">
        <v>329.4</v>
      </c>
      <c r="L39" s="250">
        <v>235.01</v>
      </c>
      <c r="M39" s="250">
        <v>328.4</v>
      </c>
      <c r="N39" s="250">
        <v>255.05</v>
      </c>
      <c r="O39" s="250">
        <v>320.76</v>
      </c>
      <c r="P39" s="250">
        <v>207.47</v>
      </c>
      <c r="Q39" s="250">
        <v>321.14999999999998</v>
      </c>
    </row>
    <row r="40" spans="1:17" s="159" customFormat="1" ht="12.6" customHeight="1">
      <c r="A40" s="306" t="s">
        <v>557</v>
      </c>
      <c r="B40" s="289">
        <v>313.76</v>
      </c>
      <c r="C40" s="289">
        <v>7.56</v>
      </c>
      <c r="D40" s="289">
        <v>6.1496770018374614</v>
      </c>
      <c r="E40" s="289">
        <v>340.48</v>
      </c>
      <c r="F40" s="289">
        <v>8.3699999999999992</v>
      </c>
      <c r="G40" s="289">
        <v>6.0512006287237297</v>
      </c>
      <c r="H40" s="289">
        <v>279.5</v>
      </c>
      <c r="I40" s="289">
        <v>6.33</v>
      </c>
      <c r="J40" s="289">
        <v>6.3050856290428836</v>
      </c>
      <c r="K40" s="289">
        <v>331.09</v>
      </c>
      <c r="L40" s="289">
        <v>235.48</v>
      </c>
      <c r="M40" s="289">
        <v>331.02</v>
      </c>
      <c r="N40" s="289">
        <v>255.62</v>
      </c>
      <c r="O40" s="289">
        <v>324.72000000000003</v>
      </c>
      <c r="P40" s="289">
        <v>210.3</v>
      </c>
      <c r="Q40" s="289">
        <v>325.49</v>
      </c>
    </row>
    <row r="41" spans="1:17" s="159" customFormat="1" ht="12.6" customHeight="1">
      <c r="A41" s="101" t="s">
        <v>2088</v>
      </c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</row>
    <row r="42" spans="1:17" s="159" customFormat="1" ht="12.6" customHeight="1">
      <c r="A42" s="306" t="s">
        <v>559</v>
      </c>
      <c r="B42" s="289">
        <v>315.13</v>
      </c>
      <c r="C42" s="289">
        <v>7.48</v>
      </c>
      <c r="D42" s="289">
        <v>6.325224955699249</v>
      </c>
      <c r="E42" s="289">
        <v>341.91</v>
      </c>
      <c r="F42" s="289">
        <v>8.19</v>
      </c>
      <c r="G42" s="289">
        <v>6.3075975174726073</v>
      </c>
      <c r="H42" s="289">
        <v>280.8</v>
      </c>
      <c r="I42" s="289">
        <v>6.39</v>
      </c>
      <c r="J42" s="289">
        <v>6.3533126505419091</v>
      </c>
      <c r="K42" s="289">
        <v>332.97</v>
      </c>
      <c r="L42" s="289">
        <v>235.87</v>
      </c>
      <c r="M42" s="289">
        <v>331.6</v>
      </c>
      <c r="N42" s="289">
        <v>256.22000000000003</v>
      </c>
      <c r="O42" s="289">
        <v>325.44</v>
      </c>
      <c r="P42" s="289">
        <v>211.78</v>
      </c>
      <c r="Q42" s="289">
        <v>331.52</v>
      </c>
    </row>
    <row r="43" spans="1:17" s="159" customFormat="1" ht="12.6" customHeight="1">
      <c r="A43" s="141" t="s">
        <v>560</v>
      </c>
      <c r="B43" s="250">
        <v>326.06</v>
      </c>
      <c r="C43" s="250">
        <v>9.52</v>
      </c>
      <c r="D43" s="250">
        <v>6.6609199681544995</v>
      </c>
      <c r="E43" s="250">
        <v>355.16</v>
      </c>
      <c r="F43" s="250">
        <v>9.94</v>
      </c>
      <c r="G43" s="250">
        <v>6.709993759002697</v>
      </c>
      <c r="H43" s="250">
        <v>288.76</v>
      </c>
      <c r="I43" s="250">
        <v>8.85</v>
      </c>
      <c r="J43" s="250">
        <v>6.5847962271211369</v>
      </c>
      <c r="K43" s="250">
        <v>334.36</v>
      </c>
      <c r="L43" s="250">
        <v>247.15</v>
      </c>
      <c r="M43" s="250">
        <v>336.03</v>
      </c>
      <c r="N43" s="250">
        <v>280.11</v>
      </c>
      <c r="O43" s="250">
        <v>333.15</v>
      </c>
      <c r="P43" s="250">
        <v>213.44</v>
      </c>
      <c r="Q43" s="250">
        <v>335.56</v>
      </c>
    </row>
    <row r="44" spans="1:17" s="159" customFormat="1" ht="12.6" customHeight="1">
      <c r="A44" s="306" t="s">
        <v>554</v>
      </c>
      <c r="B44" s="289">
        <v>331.88</v>
      </c>
      <c r="C44" s="289">
        <v>9.1</v>
      </c>
      <c r="D44" s="289">
        <v>6.9598855175087682</v>
      </c>
      <c r="E44" s="289">
        <v>362.77</v>
      </c>
      <c r="F44" s="289">
        <v>9.08</v>
      </c>
      <c r="G44" s="289">
        <v>7.0407505099713052</v>
      </c>
      <c r="H44" s="289">
        <v>292.29000000000002</v>
      </c>
      <c r="I44" s="289">
        <v>9.1300000000000008</v>
      </c>
      <c r="J44" s="289">
        <v>6.8352147077798131</v>
      </c>
      <c r="K44" s="289">
        <v>337.21</v>
      </c>
      <c r="L44" s="289">
        <v>248.08</v>
      </c>
      <c r="M44" s="289">
        <v>341.28</v>
      </c>
      <c r="N44" s="289">
        <v>293.16000000000003</v>
      </c>
      <c r="O44" s="289">
        <v>337.74</v>
      </c>
      <c r="P44" s="289">
        <v>214.28</v>
      </c>
      <c r="Q44" s="289">
        <v>341.13</v>
      </c>
    </row>
    <row r="45" spans="1:17" s="159" customFormat="1" ht="12.6" customHeight="1">
      <c r="A45" s="141" t="s">
        <v>561</v>
      </c>
      <c r="B45" s="250">
        <v>334.89</v>
      </c>
      <c r="C45" s="250">
        <v>8.91</v>
      </c>
      <c r="D45" s="250">
        <v>7.2341355183939138</v>
      </c>
      <c r="E45" s="250">
        <v>366.39</v>
      </c>
      <c r="F45" s="250">
        <v>8.5</v>
      </c>
      <c r="G45" s="250">
        <v>7.3213772939671573</v>
      </c>
      <c r="H45" s="250">
        <v>294.51</v>
      </c>
      <c r="I45" s="250">
        <v>9.58</v>
      </c>
      <c r="J45" s="250">
        <v>7.0999814813632378</v>
      </c>
      <c r="K45" s="250">
        <v>338.17</v>
      </c>
      <c r="L45" s="250">
        <v>248.79</v>
      </c>
      <c r="M45" s="250">
        <v>344.34</v>
      </c>
      <c r="N45" s="250">
        <v>294.93</v>
      </c>
      <c r="O45" s="250">
        <v>341.86</v>
      </c>
      <c r="P45" s="250">
        <v>215.27</v>
      </c>
      <c r="Q45" s="250">
        <v>349.33</v>
      </c>
    </row>
    <row r="46" spans="1:17" s="159" customFormat="1" ht="12.6" customHeight="1">
      <c r="A46" s="306" t="s">
        <v>562</v>
      </c>
      <c r="B46" s="289">
        <v>333.07</v>
      </c>
      <c r="C46" s="289">
        <v>8.85</v>
      </c>
      <c r="D46" s="289">
        <v>7.4767067592749425</v>
      </c>
      <c r="E46" s="289">
        <v>360.75</v>
      </c>
      <c r="F46" s="289">
        <v>8.14</v>
      </c>
      <c r="G46" s="289">
        <v>7.5485918183306744</v>
      </c>
      <c r="H46" s="289">
        <v>297.58</v>
      </c>
      <c r="I46" s="289">
        <v>9.98</v>
      </c>
      <c r="J46" s="289">
        <v>7.3659176279700755</v>
      </c>
      <c r="K46" s="289">
        <v>340.91</v>
      </c>
      <c r="L46" s="289">
        <v>249.07</v>
      </c>
      <c r="M46" s="289">
        <v>349.61</v>
      </c>
      <c r="N46" s="289">
        <v>302.73</v>
      </c>
      <c r="O46" s="289">
        <v>347.6</v>
      </c>
      <c r="P46" s="289">
        <v>215.98</v>
      </c>
      <c r="Q46" s="289">
        <v>355.45</v>
      </c>
    </row>
    <row r="47" spans="1:17" s="159" customFormat="1" ht="12.6" customHeight="1">
      <c r="A47" s="141" t="s">
        <v>555</v>
      </c>
      <c r="B47" s="250">
        <v>331.35</v>
      </c>
      <c r="C47" s="250">
        <v>8.7100000000000009</v>
      </c>
      <c r="D47" s="250">
        <v>7.6969543717689382</v>
      </c>
      <c r="E47" s="250">
        <v>356.86</v>
      </c>
      <c r="F47" s="250">
        <v>7.91</v>
      </c>
      <c r="G47" s="250">
        <v>7.7487910706107943</v>
      </c>
      <c r="H47" s="250">
        <v>298.64999999999998</v>
      </c>
      <c r="I47" s="250">
        <v>9.9600000000000009</v>
      </c>
      <c r="J47" s="250">
        <v>7.6176222636898272</v>
      </c>
      <c r="K47" s="250">
        <v>342.96</v>
      </c>
      <c r="L47" s="250">
        <v>249.09</v>
      </c>
      <c r="M47" s="250">
        <v>353.11</v>
      </c>
      <c r="N47" s="250">
        <v>303.2</v>
      </c>
      <c r="O47" s="250">
        <v>348.59</v>
      </c>
      <c r="P47" s="250">
        <v>216.7</v>
      </c>
      <c r="Q47" s="250">
        <v>356.87</v>
      </c>
    </row>
    <row r="48" spans="1:17" s="159" customFormat="1" ht="12.6" customHeight="1">
      <c r="A48" s="306" t="s">
        <v>563</v>
      </c>
      <c r="B48" s="289">
        <v>333.34</v>
      </c>
      <c r="C48" s="289">
        <v>8.57</v>
      </c>
      <c r="D48" s="289">
        <v>7.9212793503700807</v>
      </c>
      <c r="E48" s="289">
        <v>359.4</v>
      </c>
      <c r="F48" s="289">
        <v>7.76</v>
      </c>
      <c r="G48" s="289">
        <v>7.9244029268368266</v>
      </c>
      <c r="H48" s="289">
        <v>299.93</v>
      </c>
      <c r="I48" s="289">
        <v>9.84</v>
      </c>
      <c r="J48" s="289">
        <v>7.9184219702752801</v>
      </c>
      <c r="K48" s="289">
        <v>343.9</v>
      </c>
      <c r="L48" s="289">
        <v>250.94</v>
      </c>
      <c r="M48" s="289">
        <v>354.21</v>
      </c>
      <c r="N48" s="289">
        <v>303.57</v>
      </c>
      <c r="O48" s="289">
        <v>348.96</v>
      </c>
      <c r="P48" s="289">
        <v>218.08</v>
      </c>
      <c r="Q48" s="289">
        <v>358.95</v>
      </c>
    </row>
    <row r="49" spans="1:17" s="159" customFormat="1" ht="12.6" customHeight="1">
      <c r="A49" s="141" t="s">
        <v>564</v>
      </c>
      <c r="B49" s="250">
        <v>335.29</v>
      </c>
      <c r="C49" s="250">
        <v>8.7799999999999994</v>
      </c>
      <c r="D49" s="250">
        <v>8.1369466625858866</v>
      </c>
      <c r="E49" s="250">
        <v>362.17</v>
      </c>
      <c r="F49" s="250">
        <v>8.1300000000000008</v>
      </c>
      <c r="G49" s="250">
        <v>8.0798710500757274</v>
      </c>
      <c r="H49" s="250">
        <v>300.82</v>
      </c>
      <c r="I49" s="250">
        <v>9.82</v>
      </c>
      <c r="J49" s="250">
        <v>8.2276739940480681</v>
      </c>
      <c r="K49" s="250">
        <v>344.49</v>
      </c>
      <c r="L49" s="250">
        <v>252.28</v>
      </c>
      <c r="M49" s="250">
        <v>355.04</v>
      </c>
      <c r="N49" s="250">
        <v>303.89999999999998</v>
      </c>
      <c r="O49" s="250">
        <v>349.49</v>
      </c>
      <c r="P49" s="250">
        <v>218.58</v>
      </c>
      <c r="Q49" s="250">
        <v>360.12</v>
      </c>
    </row>
    <row r="50" spans="1:17" s="159" customFormat="1" ht="12.6" customHeight="1" thickBot="1">
      <c r="A50" s="1240" t="s">
        <v>556</v>
      </c>
      <c r="B50" s="468">
        <v>339.07</v>
      </c>
      <c r="C50" s="468">
        <v>9.33</v>
      </c>
      <c r="D50" s="468">
        <v>8.394744564344748</v>
      </c>
      <c r="E50" s="468">
        <v>368.09</v>
      </c>
      <c r="F50" s="468">
        <v>9.09</v>
      </c>
      <c r="G50" s="468">
        <v>8.3074138282684284</v>
      </c>
      <c r="H50" s="468">
        <v>301.87</v>
      </c>
      <c r="I50" s="468">
        <v>9.7200000000000006</v>
      </c>
      <c r="J50" s="468">
        <v>8.5325527354625628</v>
      </c>
      <c r="K50" s="468">
        <v>345.29</v>
      </c>
      <c r="L50" s="468">
        <v>253.4</v>
      </c>
      <c r="M50" s="468">
        <v>355.94</v>
      </c>
      <c r="N50" s="468">
        <v>304.94</v>
      </c>
      <c r="O50" s="468">
        <v>350.41</v>
      </c>
      <c r="P50" s="468">
        <v>218.77</v>
      </c>
      <c r="Q50" s="468">
        <v>362.65</v>
      </c>
    </row>
    <row r="51" spans="1:17" s="159" customFormat="1" ht="11.85" customHeight="1">
      <c r="A51" s="141" t="s">
        <v>2282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</row>
    <row r="52" spans="1:17">
      <c r="A52" s="2321" t="s">
        <v>2283</v>
      </c>
      <c r="B52" s="2321"/>
      <c r="C52" s="2321"/>
      <c r="D52" s="2321"/>
      <c r="E52" s="100"/>
      <c r="F52" s="100"/>
      <c r="G52" s="27"/>
      <c r="H52" s="31" t="s">
        <v>369</v>
      </c>
      <c r="I52" s="31"/>
      <c r="J52" s="31"/>
      <c r="K52" s="27"/>
      <c r="L52" s="27"/>
      <c r="M52" s="27"/>
      <c r="N52" s="27"/>
      <c r="O52" s="27"/>
      <c r="P52" s="27"/>
      <c r="Q52" s="27"/>
    </row>
    <row r="53" spans="1:17">
      <c r="E53" s="980"/>
      <c r="F53" s="31"/>
      <c r="G53" s="31"/>
      <c r="H53" s="31"/>
      <c r="I53" s="31"/>
    </row>
    <row r="54" spans="1:17">
      <c r="A54" s="31"/>
      <c r="B54" s="31"/>
      <c r="C54" s="31"/>
      <c r="D54" s="31"/>
      <c r="E54" s="981"/>
      <c r="F54" s="1234"/>
      <c r="G54" s="593"/>
      <c r="H54" s="1234"/>
      <c r="I54" s="145"/>
      <c r="J54" s="593"/>
      <c r="K54" s="66"/>
      <c r="L54" s="66"/>
      <c r="M54" s="66"/>
      <c r="N54" s="66"/>
    </row>
    <row r="55" spans="1:17">
      <c r="B55" s="84"/>
      <c r="C55" s="84"/>
      <c r="D55" s="84"/>
      <c r="E55" s="84"/>
      <c r="F55" s="84"/>
      <c r="H55" s="84"/>
      <c r="I55" s="250"/>
    </row>
    <row r="56" spans="1:17">
      <c r="B56" s="84"/>
      <c r="C56" s="250"/>
      <c r="D56" s="84"/>
      <c r="E56" s="84"/>
      <c r="F56" s="250"/>
      <c r="G56" s="84"/>
      <c r="H56" s="84"/>
      <c r="I56" s="250"/>
      <c r="J56" s="84"/>
    </row>
    <row r="57" spans="1:17">
      <c r="A57" s="247"/>
      <c r="B57" s="250"/>
      <c r="C57" s="250"/>
      <c r="D57" s="250"/>
      <c r="E57" s="250"/>
      <c r="F57" s="250"/>
      <c r="G57" s="250"/>
      <c r="H57" s="250"/>
      <c r="I57" s="250"/>
      <c r="J57" s="250"/>
      <c r="L57" s="250"/>
      <c r="M57" s="250"/>
      <c r="N57" s="250"/>
      <c r="O57" s="250"/>
      <c r="P57" s="250"/>
      <c r="Q57" s="250"/>
    </row>
    <row r="58" spans="1:17">
      <c r="B58" s="250"/>
      <c r="C58" s="250"/>
      <c r="D58" s="250"/>
      <c r="E58" s="250"/>
      <c r="F58" s="250"/>
      <c r="G58" s="250"/>
      <c r="H58" s="250"/>
      <c r="I58" s="250"/>
      <c r="J58" s="250"/>
    </row>
    <row r="59" spans="1:17">
      <c r="B59" s="250"/>
      <c r="C59" s="250"/>
      <c r="D59" s="250"/>
      <c r="E59" s="250"/>
      <c r="F59" s="250"/>
      <c r="G59" s="250"/>
      <c r="H59" s="250"/>
      <c r="I59" s="250"/>
      <c r="J59" s="250"/>
    </row>
    <row r="60" spans="1:17">
      <c r="H60" s="84"/>
    </row>
    <row r="61" spans="1:17">
      <c r="C61" s="593"/>
      <c r="F61" s="84"/>
      <c r="I61" s="84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65"/>
  <sheetViews>
    <sheetView zoomScale="130" zoomScaleNormal="130" zoomScaleSheetLayoutView="100" workbookViewId="0">
      <pane xSplit="1" ySplit="5" topLeftCell="B3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K54" sqref="K54"/>
    </sheetView>
  </sheetViews>
  <sheetFormatPr defaultRowHeight="12.75"/>
  <cols>
    <col min="1" max="1" width="8.42578125" style="1679" customWidth="1"/>
    <col min="2" max="9" width="7.140625" style="1679" customWidth="1"/>
    <col min="10" max="10" width="8.7109375" style="1679" customWidth="1"/>
    <col min="11" max="11" width="8.42578125" style="1679" customWidth="1"/>
    <col min="12" max="12" width="6.85546875" style="1679" customWidth="1"/>
    <col min="13" max="13" width="6.7109375" style="1679" customWidth="1"/>
    <col min="14" max="14" width="7.5703125" style="1679" customWidth="1"/>
    <col min="15" max="15" width="6.140625" style="1679" customWidth="1"/>
    <col min="16" max="16" width="7.42578125" style="1679" customWidth="1"/>
    <col min="17" max="17" width="7.140625" style="1679" customWidth="1"/>
    <col min="18" max="18" width="7.85546875" style="1679" customWidth="1"/>
    <col min="19" max="19" width="7.5703125" style="1679" customWidth="1"/>
    <col min="20" max="21" width="6.28515625" style="1679" customWidth="1"/>
    <col min="22" max="16384" width="9.140625" style="1679"/>
  </cols>
  <sheetData>
    <row r="1" spans="1:21" ht="15.75" customHeight="1">
      <c r="A1" s="2340" t="s">
        <v>2197</v>
      </c>
      <c r="B1" s="2340"/>
      <c r="C1" s="2340"/>
      <c r="D1" s="2340"/>
      <c r="E1" s="2340"/>
      <c r="F1" s="2340"/>
      <c r="G1" s="2340"/>
      <c r="H1" s="2340"/>
      <c r="I1" s="2340"/>
      <c r="J1" s="2340"/>
      <c r="K1" s="2341" t="s">
        <v>2816</v>
      </c>
      <c r="L1" s="2341"/>
      <c r="M1" s="2341"/>
      <c r="N1" s="2341"/>
      <c r="O1" s="2341"/>
      <c r="P1" s="2341"/>
      <c r="Q1" s="2341"/>
      <c r="R1" s="2341"/>
      <c r="S1" s="2341"/>
      <c r="T1" s="2341"/>
      <c r="U1" s="2341"/>
    </row>
    <row r="2" spans="1:21">
      <c r="A2" s="20"/>
      <c r="B2" s="923"/>
      <c r="C2" s="20"/>
      <c r="D2" s="20"/>
      <c r="E2" s="20"/>
      <c r="F2" s="923"/>
      <c r="G2" s="2333"/>
      <c r="H2" s="2333"/>
      <c r="I2" s="2333"/>
      <c r="J2" s="2333"/>
      <c r="K2" s="92"/>
      <c r="L2" s="1235"/>
      <c r="M2" s="923"/>
      <c r="N2" s="923"/>
      <c r="O2" s="923"/>
      <c r="P2" s="923"/>
      <c r="Q2" s="923"/>
      <c r="R2" s="923"/>
      <c r="S2" s="923"/>
      <c r="T2" s="923"/>
      <c r="U2" s="923"/>
    </row>
    <row r="3" spans="1:21" ht="12.75" customHeight="1">
      <c r="A3" s="2339" t="s">
        <v>481</v>
      </c>
      <c r="B3" s="1535" t="s">
        <v>500</v>
      </c>
      <c r="C3" s="2278" t="s">
        <v>629</v>
      </c>
      <c r="D3" s="2342"/>
      <c r="E3" s="1535" t="s">
        <v>500</v>
      </c>
      <c r="F3" s="2278" t="s">
        <v>92</v>
      </c>
      <c r="G3" s="2342"/>
      <c r="H3" s="1535" t="s">
        <v>500</v>
      </c>
      <c r="I3" s="2278" t="s">
        <v>93</v>
      </c>
      <c r="J3" s="2342"/>
      <c r="K3" s="1688"/>
      <c r="L3" s="2343" t="s">
        <v>184</v>
      </c>
      <c r="M3" s="2343"/>
      <c r="N3" s="2343"/>
      <c r="O3" s="2343"/>
      <c r="P3" s="2343"/>
      <c r="Q3" s="2343"/>
      <c r="R3" s="2343"/>
      <c r="S3" s="2343"/>
      <c r="T3" s="2343"/>
      <c r="U3" s="2342"/>
    </row>
    <row r="4" spans="1:21" ht="24" customHeight="1">
      <c r="A4" s="2275"/>
      <c r="B4" s="2339" t="s">
        <v>501</v>
      </c>
      <c r="C4" s="2339" t="s">
        <v>94</v>
      </c>
      <c r="D4" s="2339" t="s">
        <v>95</v>
      </c>
      <c r="E4" s="2339" t="s">
        <v>498</v>
      </c>
      <c r="F4" s="2339" t="s">
        <v>94</v>
      </c>
      <c r="G4" s="2339" t="s">
        <v>95</v>
      </c>
      <c r="H4" s="2339" t="s">
        <v>258</v>
      </c>
      <c r="I4" s="2339" t="s">
        <v>110</v>
      </c>
      <c r="J4" s="2339" t="s">
        <v>95</v>
      </c>
      <c r="K4" s="2339" t="s">
        <v>2198</v>
      </c>
      <c r="L4" s="2339" t="s">
        <v>19</v>
      </c>
      <c r="M4" s="2347" t="s">
        <v>2199</v>
      </c>
      <c r="N4" s="2337" t="s">
        <v>2200</v>
      </c>
      <c r="O4" s="2337" t="s">
        <v>2201</v>
      </c>
      <c r="P4" s="2337" t="s">
        <v>2202</v>
      </c>
      <c r="Q4" s="2337" t="s">
        <v>2203</v>
      </c>
      <c r="R4" s="2345" t="s">
        <v>2204</v>
      </c>
      <c r="S4" s="2345" t="s">
        <v>1991</v>
      </c>
      <c r="T4" s="2345" t="s">
        <v>2205</v>
      </c>
      <c r="U4" s="2337" t="s">
        <v>863</v>
      </c>
    </row>
    <row r="5" spans="1:21" ht="24" customHeight="1">
      <c r="A5" s="2276"/>
      <c r="B5" s="2276"/>
      <c r="C5" s="2276"/>
      <c r="D5" s="2276"/>
      <c r="E5" s="2276"/>
      <c r="F5" s="2276"/>
      <c r="G5" s="2276"/>
      <c r="H5" s="2276"/>
      <c r="I5" s="2276"/>
      <c r="J5" s="2276"/>
      <c r="K5" s="2276"/>
      <c r="L5" s="2276"/>
      <c r="M5" s="2348"/>
      <c r="N5" s="2338"/>
      <c r="O5" s="2338"/>
      <c r="P5" s="2338"/>
      <c r="Q5" s="2338"/>
      <c r="R5" s="2346"/>
      <c r="S5" s="2346"/>
      <c r="T5" s="2346"/>
      <c r="U5" s="2338"/>
    </row>
    <row r="6" spans="1:21" ht="12.75" customHeight="1">
      <c r="A6" s="83" t="s">
        <v>568</v>
      </c>
      <c r="B6" s="1690">
        <v>100</v>
      </c>
      <c r="C6" s="2327" t="s">
        <v>140</v>
      </c>
      <c r="D6" s="2344"/>
      <c r="E6" s="1690">
        <v>44.86</v>
      </c>
      <c r="F6" s="2327" t="s">
        <v>140</v>
      </c>
      <c r="G6" s="2344"/>
      <c r="H6" s="1690">
        <v>55.14</v>
      </c>
      <c r="I6" s="2327" t="s">
        <v>140</v>
      </c>
      <c r="J6" s="2344"/>
      <c r="K6" s="1690">
        <v>2.64</v>
      </c>
      <c r="L6" s="1690">
        <v>6.11</v>
      </c>
      <c r="M6" s="1690">
        <v>15.24</v>
      </c>
      <c r="N6" s="1690">
        <v>3.84</v>
      </c>
      <c r="O6" s="1690">
        <v>4.34</v>
      </c>
      <c r="P6" s="1690">
        <v>9.3699999999999992</v>
      </c>
      <c r="Q6" s="1690">
        <v>2.34</v>
      </c>
      <c r="R6" s="1690">
        <v>1.54</v>
      </c>
      <c r="S6" s="1690">
        <v>3.76</v>
      </c>
      <c r="T6" s="1690">
        <v>2.17</v>
      </c>
      <c r="U6" s="1690">
        <v>3.79</v>
      </c>
    </row>
    <row r="7" spans="1:21" s="735" customFormat="1" ht="14.1" customHeight="1">
      <c r="A7" s="1687" t="s">
        <v>1836</v>
      </c>
      <c r="B7" s="250">
        <v>100</v>
      </c>
      <c r="C7" s="250">
        <v>7.5574682481368765</v>
      </c>
      <c r="D7" s="250">
        <v>6.1496545684538217</v>
      </c>
      <c r="E7" s="250">
        <v>100</v>
      </c>
      <c r="F7" s="250">
        <v>8.3695306706218933</v>
      </c>
      <c r="G7" s="250">
        <v>6.0520361990950011</v>
      </c>
      <c r="H7" s="250">
        <v>100</v>
      </c>
      <c r="I7" s="250">
        <v>6.3217796171753751</v>
      </c>
      <c r="J7" s="250">
        <v>6.3048138764373318</v>
      </c>
      <c r="K7" s="250" t="s">
        <v>292</v>
      </c>
      <c r="L7" s="250">
        <v>100</v>
      </c>
      <c r="M7" s="250">
        <v>100</v>
      </c>
      <c r="N7" s="250">
        <v>100</v>
      </c>
      <c r="O7" s="250">
        <v>100</v>
      </c>
      <c r="P7" s="250">
        <v>100</v>
      </c>
      <c r="Q7" s="250" t="s">
        <v>292</v>
      </c>
      <c r="R7" s="250">
        <v>100</v>
      </c>
      <c r="S7" s="250" t="s">
        <v>292</v>
      </c>
      <c r="T7" s="250" t="s">
        <v>292</v>
      </c>
      <c r="U7" s="250">
        <v>100</v>
      </c>
    </row>
    <row r="8" spans="1:21" ht="14.1" customHeight="1">
      <c r="A8" s="1691" t="s">
        <v>2088</v>
      </c>
      <c r="B8" s="332">
        <v>109.02</v>
      </c>
      <c r="C8" s="332">
        <v>9.7491948863081834</v>
      </c>
      <c r="D8" s="332">
        <v>9.0234085284043974</v>
      </c>
      <c r="E8" s="332">
        <v>108.71</v>
      </c>
      <c r="F8" s="332">
        <v>9.7370221918075988</v>
      </c>
      <c r="G8" s="332">
        <v>8.7133333333333738</v>
      </c>
      <c r="H8" s="332">
        <v>109.39</v>
      </c>
      <c r="I8" s="332">
        <v>9.6049046321525786</v>
      </c>
      <c r="J8" s="332">
        <v>9.3917449312077572</v>
      </c>
      <c r="K8" s="332" t="s">
        <v>292</v>
      </c>
      <c r="L8" s="332">
        <v>106.71</v>
      </c>
      <c r="M8" s="332">
        <v>108.25</v>
      </c>
      <c r="N8" s="332">
        <v>109.68</v>
      </c>
      <c r="O8" s="332">
        <v>114.09</v>
      </c>
      <c r="P8" s="332">
        <v>109.67</v>
      </c>
      <c r="Q8" s="332" t="s">
        <v>292</v>
      </c>
      <c r="R8" s="332">
        <v>108.58</v>
      </c>
      <c r="S8" s="332" t="s">
        <v>292</v>
      </c>
      <c r="T8" s="332" t="s">
        <v>292</v>
      </c>
      <c r="U8" s="332">
        <v>112.05</v>
      </c>
    </row>
    <row r="9" spans="1:21" ht="14.1" customHeight="1">
      <c r="A9" s="848" t="s">
        <v>2228</v>
      </c>
      <c r="B9" s="339">
        <v>119.62749999999998</v>
      </c>
      <c r="C9" s="339">
        <v>9.7200000000000006</v>
      </c>
      <c r="D9" s="339">
        <v>9.73</v>
      </c>
      <c r="E9" s="339">
        <v>120.29750000000001</v>
      </c>
      <c r="F9" s="339">
        <v>10.42</v>
      </c>
      <c r="G9" s="339">
        <f>G21</f>
        <v>10.655700006132317</v>
      </c>
      <c r="H9" s="339">
        <v>119.08499999999999</v>
      </c>
      <c r="I9" s="339">
        <v>9.15</v>
      </c>
      <c r="J9" s="339">
        <f>J21</f>
        <v>8.8619552217202866</v>
      </c>
      <c r="K9" s="339">
        <v>121.23333333333333</v>
      </c>
      <c r="L9" s="339">
        <v>115.7325</v>
      </c>
      <c r="M9" s="339">
        <v>118.94000000000001</v>
      </c>
      <c r="N9" s="339">
        <v>123.80916666666667</v>
      </c>
      <c r="O9" s="339">
        <v>118.23083333333331</v>
      </c>
      <c r="P9" s="339">
        <v>117.61583333333334</v>
      </c>
      <c r="Q9" s="339">
        <v>107.62083333333332</v>
      </c>
      <c r="R9" s="339">
        <v>123.74833333333332</v>
      </c>
      <c r="S9" s="339">
        <v>112.92833333333336</v>
      </c>
      <c r="T9" s="339">
        <v>140.31666666666669</v>
      </c>
      <c r="U9" s="339">
        <v>122.52833333333332</v>
      </c>
    </row>
    <row r="10" spans="1:21" ht="14.1" customHeight="1">
      <c r="A10" s="392" t="s">
        <v>559</v>
      </c>
      <c r="B10" s="289">
        <v>112.89</v>
      </c>
      <c r="C10" s="289">
        <v>9.69</v>
      </c>
      <c r="D10" s="289">
        <v>9.1999999999999993</v>
      </c>
      <c r="E10" s="289">
        <v>112.74</v>
      </c>
      <c r="F10" s="289">
        <v>9.76</v>
      </c>
      <c r="G10" s="289">
        <v>8.8426700226862387</v>
      </c>
      <c r="H10" s="289">
        <v>113.02</v>
      </c>
      <c r="I10" s="289">
        <v>9.4700000000000006</v>
      </c>
      <c r="J10" s="289">
        <v>9.640272262247219</v>
      </c>
      <c r="K10" s="289">
        <v>117.9</v>
      </c>
      <c r="L10" s="289">
        <v>108.88</v>
      </c>
      <c r="M10" s="289">
        <v>113.84</v>
      </c>
      <c r="N10" s="289">
        <v>114.22</v>
      </c>
      <c r="O10" s="289">
        <v>109.92</v>
      </c>
      <c r="P10" s="289">
        <v>110.64</v>
      </c>
      <c r="Q10" s="289">
        <v>106.65</v>
      </c>
      <c r="R10" s="289">
        <v>115.53</v>
      </c>
      <c r="S10" s="289">
        <v>109.68</v>
      </c>
      <c r="T10" s="289">
        <v>138.91</v>
      </c>
      <c r="U10" s="289">
        <v>112.6</v>
      </c>
    </row>
    <row r="11" spans="1:21" ht="14.1" customHeight="1">
      <c r="A11" s="1687" t="s">
        <v>560</v>
      </c>
      <c r="B11" s="250">
        <v>117.06</v>
      </c>
      <c r="C11" s="250">
        <v>9.92</v>
      </c>
      <c r="D11" s="250">
        <v>9.24</v>
      </c>
      <c r="E11" s="250">
        <v>120.08</v>
      </c>
      <c r="F11" s="250">
        <v>12.54</v>
      </c>
      <c r="G11" s="250">
        <v>9.078961418726351</v>
      </c>
      <c r="H11" s="250">
        <v>114.61</v>
      </c>
      <c r="I11" s="250">
        <v>7.95</v>
      </c>
      <c r="J11" s="250">
        <v>9.5561482359526551</v>
      </c>
      <c r="K11" s="250">
        <v>116.06</v>
      </c>
      <c r="L11" s="250">
        <v>112.53</v>
      </c>
      <c r="M11" s="250">
        <v>113.8</v>
      </c>
      <c r="N11" s="250">
        <v>119.77</v>
      </c>
      <c r="O11" s="250">
        <v>110.5</v>
      </c>
      <c r="P11" s="250">
        <v>115.73</v>
      </c>
      <c r="Q11" s="250">
        <v>104.51</v>
      </c>
      <c r="R11" s="250">
        <v>118.69</v>
      </c>
      <c r="S11" s="250">
        <v>109.68</v>
      </c>
      <c r="T11" s="250">
        <v>135.06</v>
      </c>
      <c r="U11" s="250">
        <v>114.6</v>
      </c>
    </row>
    <row r="12" spans="1:21" ht="14.1" customHeight="1">
      <c r="A12" s="392" t="s">
        <v>554</v>
      </c>
      <c r="B12" s="289">
        <v>118.83</v>
      </c>
      <c r="C12" s="289">
        <v>9.6300000000000008</v>
      </c>
      <c r="D12" s="289">
        <v>9.2899999999999991</v>
      </c>
      <c r="E12" s="289">
        <v>122.47</v>
      </c>
      <c r="F12" s="289">
        <v>12.37</v>
      </c>
      <c r="G12" s="289">
        <v>9.3713819812474739</v>
      </c>
      <c r="H12" s="289">
        <v>115.87</v>
      </c>
      <c r="I12" s="289">
        <v>7.82</v>
      </c>
      <c r="J12" s="289">
        <v>9.4377395183892876</v>
      </c>
      <c r="K12" s="289">
        <v>119.31</v>
      </c>
      <c r="L12" s="289">
        <v>113.16</v>
      </c>
      <c r="M12" s="289">
        <v>115</v>
      </c>
      <c r="N12" s="289">
        <v>120.89</v>
      </c>
      <c r="O12" s="289">
        <v>111.06</v>
      </c>
      <c r="P12" s="289">
        <v>116.2</v>
      </c>
      <c r="Q12" s="289">
        <v>105.88</v>
      </c>
      <c r="R12" s="289">
        <v>121.22</v>
      </c>
      <c r="S12" s="289">
        <v>111.19</v>
      </c>
      <c r="T12" s="289">
        <v>136.25</v>
      </c>
      <c r="U12" s="289">
        <v>117.89</v>
      </c>
    </row>
    <row r="13" spans="1:21" s="735" customFormat="1" ht="14.1" customHeight="1">
      <c r="A13" s="1687" t="s">
        <v>561</v>
      </c>
      <c r="B13" s="250">
        <v>120.24</v>
      </c>
      <c r="C13" s="250">
        <v>9.93</v>
      </c>
      <c r="D13" s="250">
        <v>9.3699999999999992</v>
      </c>
      <c r="E13" s="250">
        <v>123.9</v>
      </c>
      <c r="F13" s="250">
        <v>12.56</v>
      </c>
      <c r="G13" s="250">
        <v>9.7286881330407748</v>
      </c>
      <c r="H13" s="250">
        <v>117.27</v>
      </c>
      <c r="I13" s="250">
        <v>8.3000000000000007</v>
      </c>
      <c r="J13" s="250">
        <v>9.3263492475350596</v>
      </c>
      <c r="K13" s="250">
        <v>119.33</v>
      </c>
      <c r="L13" s="250">
        <v>114.28</v>
      </c>
      <c r="M13" s="250">
        <v>116.76</v>
      </c>
      <c r="N13" s="250">
        <v>122.68</v>
      </c>
      <c r="O13" s="250">
        <v>114.28</v>
      </c>
      <c r="P13" s="250">
        <v>117.22</v>
      </c>
      <c r="Q13" s="250">
        <v>106.66</v>
      </c>
      <c r="R13" s="250">
        <v>122.2</v>
      </c>
      <c r="S13" s="250">
        <v>112.12</v>
      </c>
      <c r="T13" s="250">
        <v>137.24</v>
      </c>
      <c r="U13" s="250">
        <v>118.96</v>
      </c>
    </row>
    <row r="14" spans="1:21" ht="14.1" customHeight="1">
      <c r="A14" s="392" t="s">
        <v>562</v>
      </c>
      <c r="B14" s="289">
        <v>119.1</v>
      </c>
      <c r="C14" s="289">
        <v>9.49</v>
      </c>
      <c r="D14" s="289">
        <v>9.42</v>
      </c>
      <c r="E14" s="289">
        <v>120.04</v>
      </c>
      <c r="F14" s="289">
        <v>10.76</v>
      </c>
      <c r="G14" s="289">
        <v>9.9463511546164618</v>
      </c>
      <c r="H14" s="289">
        <v>118.33</v>
      </c>
      <c r="I14" s="289">
        <v>8.16</v>
      </c>
      <c r="J14" s="289">
        <v>9.1706147794821113</v>
      </c>
      <c r="K14" s="289">
        <v>119.44</v>
      </c>
      <c r="L14" s="289">
        <v>115.92</v>
      </c>
      <c r="M14" s="289">
        <v>118.07</v>
      </c>
      <c r="N14" s="289">
        <v>124.56</v>
      </c>
      <c r="O14" s="289">
        <v>114.8</v>
      </c>
      <c r="P14" s="289">
        <v>117.85</v>
      </c>
      <c r="Q14" s="289">
        <v>106.71</v>
      </c>
      <c r="R14" s="289">
        <v>123.58</v>
      </c>
      <c r="S14" s="289">
        <v>112.24</v>
      </c>
      <c r="T14" s="289">
        <v>138.84</v>
      </c>
      <c r="U14" s="289">
        <v>120.83</v>
      </c>
    </row>
    <row r="15" spans="1:21" ht="14.1" customHeight="1">
      <c r="A15" s="1687" t="s">
        <v>555</v>
      </c>
      <c r="B15" s="250">
        <v>118.4</v>
      </c>
      <c r="C15" s="250">
        <v>9.41</v>
      </c>
      <c r="D15" s="250">
        <v>9.48</v>
      </c>
      <c r="E15" s="250">
        <v>117.48</v>
      </c>
      <c r="F15" s="250">
        <v>9.58</v>
      </c>
      <c r="G15" s="250">
        <v>10.076490852269536</v>
      </c>
      <c r="H15" s="250">
        <v>119.16</v>
      </c>
      <c r="I15" s="250">
        <v>8.52</v>
      </c>
      <c r="J15" s="250">
        <v>9.0515899932170907</v>
      </c>
      <c r="K15" s="250">
        <v>119.52</v>
      </c>
      <c r="L15" s="250">
        <v>116.22</v>
      </c>
      <c r="M15" s="250">
        <v>118.51</v>
      </c>
      <c r="N15" s="250">
        <v>124.95</v>
      </c>
      <c r="O15" s="250">
        <v>120.93</v>
      </c>
      <c r="P15" s="250">
        <v>118.05</v>
      </c>
      <c r="Q15" s="250">
        <v>107.07</v>
      </c>
      <c r="R15" s="250">
        <v>123.63</v>
      </c>
      <c r="S15" s="250">
        <v>112.32</v>
      </c>
      <c r="T15" s="250">
        <v>139.04</v>
      </c>
      <c r="U15" s="250">
        <v>122.09</v>
      </c>
    </row>
    <row r="16" spans="1:21" ht="14.1" customHeight="1">
      <c r="A16" s="392" t="s">
        <v>563</v>
      </c>
      <c r="B16" s="289">
        <v>119.6</v>
      </c>
      <c r="C16" s="289">
        <v>9.86</v>
      </c>
      <c r="D16" s="289">
        <v>9.59</v>
      </c>
      <c r="E16" s="289">
        <v>118.3</v>
      </c>
      <c r="F16" s="289">
        <v>9.56</v>
      </c>
      <c r="G16" s="289">
        <v>10.21765032965285</v>
      </c>
      <c r="H16" s="289">
        <v>120.66</v>
      </c>
      <c r="I16" s="289">
        <v>9.42</v>
      </c>
      <c r="J16" s="289">
        <v>9.0195084874588272</v>
      </c>
      <c r="K16" s="289">
        <v>120.66</v>
      </c>
      <c r="L16" s="289">
        <v>117.37</v>
      </c>
      <c r="M16" s="289">
        <v>119.76</v>
      </c>
      <c r="N16" s="289">
        <v>125.92</v>
      </c>
      <c r="O16" s="289">
        <v>122.38</v>
      </c>
      <c r="P16" s="289">
        <v>119.21</v>
      </c>
      <c r="Q16" s="289">
        <v>108.3</v>
      </c>
      <c r="R16" s="289">
        <v>125.9</v>
      </c>
      <c r="S16" s="289">
        <v>113.97</v>
      </c>
      <c r="T16" s="289">
        <v>141.85</v>
      </c>
      <c r="U16" s="289">
        <v>125.89</v>
      </c>
    </row>
    <row r="17" spans="1:21" ht="14.1" customHeight="1">
      <c r="A17" s="1687" t="s">
        <v>564</v>
      </c>
      <c r="B17" s="250">
        <v>120.09</v>
      </c>
      <c r="C17" s="250">
        <v>9.67</v>
      </c>
      <c r="D17" s="250">
        <v>9.66</v>
      </c>
      <c r="E17" s="250">
        <v>119.07</v>
      </c>
      <c r="F17" s="250">
        <v>9.44</v>
      </c>
      <c r="G17" s="250">
        <v>10.315844303437839</v>
      </c>
      <c r="H17" s="250">
        <v>120.92</v>
      </c>
      <c r="I17" s="250">
        <v>9.33</v>
      </c>
      <c r="J17" s="250">
        <v>8.9840681268265286</v>
      </c>
      <c r="K17" s="250">
        <v>121.61</v>
      </c>
      <c r="L17" s="250">
        <v>117.4</v>
      </c>
      <c r="M17" s="250">
        <v>120.38</v>
      </c>
      <c r="N17" s="250">
        <v>125.95</v>
      </c>
      <c r="O17" s="250">
        <v>122.39</v>
      </c>
      <c r="P17" s="250">
        <v>119.31</v>
      </c>
      <c r="Q17" s="250">
        <v>108.32</v>
      </c>
      <c r="R17" s="250">
        <v>126</v>
      </c>
      <c r="S17" s="250">
        <v>114.11</v>
      </c>
      <c r="T17" s="250">
        <v>141.91999999999999</v>
      </c>
      <c r="U17" s="250">
        <v>125.96</v>
      </c>
    </row>
    <row r="18" spans="1:21" ht="14.1" customHeight="1">
      <c r="A18" s="392" t="s">
        <v>556</v>
      </c>
      <c r="B18" s="289">
        <v>121.6</v>
      </c>
      <c r="C18" s="289">
        <v>9.81</v>
      </c>
      <c r="D18" s="289">
        <v>9.69</v>
      </c>
      <c r="E18" s="289">
        <v>121.5</v>
      </c>
      <c r="F18" s="289">
        <v>9.8699999999999992</v>
      </c>
      <c r="G18" s="289">
        <v>10.375384904684658</v>
      </c>
      <c r="H18" s="289">
        <v>121.69</v>
      </c>
      <c r="I18" s="289">
        <v>9.64</v>
      </c>
      <c r="J18" s="289">
        <v>8.9821946428014989</v>
      </c>
      <c r="K18" s="289">
        <v>122.77</v>
      </c>
      <c r="L18" s="289">
        <v>117.96</v>
      </c>
      <c r="M18" s="289">
        <v>122.03</v>
      </c>
      <c r="N18" s="289">
        <v>126.26</v>
      </c>
      <c r="O18" s="289">
        <v>122.84</v>
      </c>
      <c r="P18" s="289">
        <v>119.2</v>
      </c>
      <c r="Q18" s="289">
        <v>108.34</v>
      </c>
      <c r="R18" s="289">
        <v>126.59</v>
      </c>
      <c r="S18" s="289">
        <v>114.26</v>
      </c>
      <c r="T18" s="289">
        <v>142.59</v>
      </c>
      <c r="U18" s="289">
        <v>127.38</v>
      </c>
    </row>
    <row r="19" spans="1:21" ht="14.1" customHeight="1">
      <c r="A19" s="1687" t="s">
        <v>565</v>
      </c>
      <c r="B19" s="250">
        <v>122.3</v>
      </c>
      <c r="C19" s="250">
        <v>9.74</v>
      </c>
      <c r="D19" s="250">
        <v>9.73</v>
      </c>
      <c r="E19" s="250">
        <v>122.63</v>
      </c>
      <c r="F19" s="250">
        <v>10.220000000000001</v>
      </c>
      <c r="G19" s="250">
        <v>10.483689013716324</v>
      </c>
      <c r="H19" s="250">
        <v>122.02</v>
      </c>
      <c r="I19" s="250">
        <v>9.34</v>
      </c>
      <c r="J19" s="250">
        <v>8.9544733686613078</v>
      </c>
      <c r="K19" s="250">
        <v>124.17</v>
      </c>
      <c r="L19" s="250">
        <v>118.3</v>
      </c>
      <c r="M19" s="250">
        <v>122.78</v>
      </c>
      <c r="N19" s="250">
        <v>126.7</v>
      </c>
      <c r="O19" s="250">
        <v>122.84</v>
      </c>
      <c r="P19" s="250">
        <v>119.17</v>
      </c>
      <c r="Q19" s="250">
        <v>108.34</v>
      </c>
      <c r="R19" s="250">
        <v>126.59</v>
      </c>
      <c r="S19" s="250">
        <v>114.26</v>
      </c>
      <c r="T19" s="250">
        <v>142.63999999999999</v>
      </c>
      <c r="U19" s="250">
        <v>127.35</v>
      </c>
    </row>
    <row r="20" spans="1:21" s="180" customFormat="1" ht="14.1" customHeight="1">
      <c r="A20" s="392" t="s">
        <v>566</v>
      </c>
      <c r="B20" s="289">
        <v>122.04</v>
      </c>
      <c r="C20" s="289">
        <v>9.89</v>
      </c>
      <c r="D20" s="289">
        <v>9.73</v>
      </c>
      <c r="E20" s="289">
        <v>121.42</v>
      </c>
      <c r="F20" s="289">
        <v>10.76</v>
      </c>
      <c r="G20" s="289">
        <v>10.604047582264808</v>
      </c>
      <c r="H20" s="289">
        <v>122.54</v>
      </c>
      <c r="I20" s="289">
        <v>9.19</v>
      </c>
      <c r="J20" s="289">
        <v>8.8960869498472697</v>
      </c>
      <c r="K20" s="289">
        <v>124.59</v>
      </c>
      <c r="L20" s="289">
        <v>118.34</v>
      </c>
      <c r="M20" s="289">
        <v>123.12</v>
      </c>
      <c r="N20" s="289">
        <v>126.85</v>
      </c>
      <c r="O20" s="289">
        <v>123.06</v>
      </c>
      <c r="P20" s="289">
        <v>119.33</v>
      </c>
      <c r="Q20" s="289">
        <v>110.31</v>
      </c>
      <c r="R20" s="289">
        <v>127.37</v>
      </c>
      <c r="S20" s="289">
        <v>115.64</v>
      </c>
      <c r="T20" s="289">
        <v>144.69999999999999</v>
      </c>
      <c r="U20" s="289">
        <v>128.25</v>
      </c>
    </row>
    <row r="21" spans="1:21" ht="14.1" customHeight="1">
      <c r="A21" s="1687" t="s">
        <v>557</v>
      </c>
      <c r="B21" s="250">
        <v>123.38</v>
      </c>
      <c r="C21" s="250">
        <v>9.7200000000000006</v>
      </c>
      <c r="D21" s="250">
        <v>9.73</v>
      </c>
      <c r="E21" s="250">
        <v>123.94</v>
      </c>
      <c r="F21" s="250">
        <v>10.42</v>
      </c>
      <c r="G21" s="250">
        <v>10.655700006132317</v>
      </c>
      <c r="H21" s="250">
        <v>122.93</v>
      </c>
      <c r="I21" s="250">
        <v>9.15</v>
      </c>
      <c r="J21" s="250">
        <v>8.8619552217202866</v>
      </c>
      <c r="K21" s="250">
        <v>129.44</v>
      </c>
      <c r="L21" s="250">
        <v>118.43</v>
      </c>
      <c r="M21" s="250">
        <v>123.23</v>
      </c>
      <c r="N21" s="250">
        <v>126.96</v>
      </c>
      <c r="O21" s="250">
        <v>123.77</v>
      </c>
      <c r="P21" s="250">
        <v>119.48</v>
      </c>
      <c r="Q21" s="250">
        <v>110.36</v>
      </c>
      <c r="R21" s="250">
        <v>127.68</v>
      </c>
      <c r="S21" s="250">
        <v>115.67</v>
      </c>
      <c r="T21" s="250">
        <v>144.76</v>
      </c>
      <c r="U21" s="250">
        <v>128.54</v>
      </c>
    </row>
    <row r="22" spans="1:21" ht="14.1" customHeight="1">
      <c r="A22" s="1691" t="s">
        <v>2501</v>
      </c>
      <c r="B22" s="332">
        <v>131.62143318332005</v>
      </c>
      <c r="C22" s="332">
        <f>C34</f>
        <v>8.48</v>
      </c>
      <c r="D22" s="332">
        <f>D34</f>
        <v>10.029999999999999</v>
      </c>
      <c r="E22" s="332">
        <v>133.16337218636846</v>
      </c>
      <c r="F22" s="332">
        <f>F34</f>
        <v>7.39</v>
      </c>
      <c r="G22" s="332">
        <f>G34</f>
        <v>10.695705784963639</v>
      </c>
      <c r="H22" s="332">
        <v>130.36712471897576</v>
      </c>
      <c r="I22" s="332">
        <f>I34</f>
        <v>9.3699999999999992</v>
      </c>
      <c r="J22" s="332">
        <f>J34</f>
        <v>9.4722257211235839</v>
      </c>
      <c r="K22" s="332">
        <v>145.04549190035814</v>
      </c>
      <c r="L22" s="332">
        <v>128.7804006446527</v>
      </c>
      <c r="M22" s="332">
        <v>129.5123891017719</v>
      </c>
      <c r="N22" s="332">
        <v>134.06613455403462</v>
      </c>
      <c r="O22" s="332">
        <v>127.27337327147585</v>
      </c>
      <c r="P22" s="332">
        <v>124.95276973998575</v>
      </c>
      <c r="Q22" s="332">
        <v>117.34209021174827</v>
      </c>
      <c r="R22" s="332">
        <v>133.68019120796279</v>
      </c>
      <c r="S22" s="332">
        <v>122.13903057658216</v>
      </c>
      <c r="T22" s="332">
        <v>155.37160768970003</v>
      </c>
      <c r="U22" s="332">
        <v>139.86881591607028</v>
      </c>
    </row>
    <row r="23" spans="1:21" ht="14.1" customHeight="1">
      <c r="A23" s="1687" t="s">
        <v>559</v>
      </c>
      <c r="B23" s="250">
        <v>126.06</v>
      </c>
      <c r="C23" s="250">
        <v>11.66</v>
      </c>
      <c r="D23" s="250">
        <v>9.9</v>
      </c>
      <c r="E23" s="250">
        <v>128.63999999999999</v>
      </c>
      <c r="F23" s="250">
        <v>14.1</v>
      </c>
      <c r="G23" s="250">
        <v>11.02177121209813</v>
      </c>
      <c r="H23" s="250">
        <v>123.96</v>
      </c>
      <c r="I23" s="250">
        <v>9.68</v>
      </c>
      <c r="J23" s="250">
        <v>8.884133477508005</v>
      </c>
      <c r="K23" s="250">
        <v>135.38</v>
      </c>
      <c r="L23" s="250">
        <v>118.8</v>
      </c>
      <c r="M23" s="250">
        <v>123.93</v>
      </c>
      <c r="N23" s="250">
        <v>127.09</v>
      </c>
      <c r="O23" s="250">
        <v>124.5</v>
      </c>
      <c r="P23" s="250">
        <v>119.79</v>
      </c>
      <c r="Q23" s="250">
        <v>114.08</v>
      </c>
      <c r="R23" s="250">
        <v>128.29</v>
      </c>
      <c r="S23" s="250">
        <v>116.42</v>
      </c>
      <c r="T23" s="250">
        <v>146.68</v>
      </c>
      <c r="U23" s="250">
        <v>129.83000000000001</v>
      </c>
    </row>
    <row r="24" spans="1:21" ht="14.1" customHeight="1">
      <c r="A24" s="392" t="s">
        <v>560</v>
      </c>
      <c r="B24" s="289">
        <v>129.34</v>
      </c>
      <c r="C24" s="289">
        <v>10.49</v>
      </c>
      <c r="D24" s="289">
        <v>9.9499999999999993</v>
      </c>
      <c r="E24" s="289">
        <v>133.72</v>
      </c>
      <c r="F24" s="289">
        <v>11.36</v>
      </c>
      <c r="G24" s="289">
        <v>10.930299105394736</v>
      </c>
      <c r="H24" s="289">
        <v>125.77</v>
      </c>
      <c r="I24" s="289">
        <v>9.74</v>
      </c>
      <c r="J24" s="289">
        <v>9.0321659616352523</v>
      </c>
      <c r="K24" s="289">
        <v>137.1</v>
      </c>
      <c r="L24" s="289">
        <v>122.64</v>
      </c>
      <c r="M24" s="289">
        <v>125.86</v>
      </c>
      <c r="N24" s="289">
        <v>129.16999999999999</v>
      </c>
      <c r="O24" s="289">
        <v>125.66</v>
      </c>
      <c r="P24" s="289">
        <v>120.7</v>
      </c>
      <c r="Q24" s="289">
        <v>114.58</v>
      </c>
      <c r="R24" s="289">
        <v>129.54</v>
      </c>
      <c r="S24" s="289">
        <v>117.76</v>
      </c>
      <c r="T24" s="289">
        <v>148.24</v>
      </c>
      <c r="U24" s="289">
        <v>132.22999999999999</v>
      </c>
    </row>
    <row r="25" spans="1:21" ht="14.1" customHeight="1">
      <c r="A25" s="1687" t="s">
        <v>554</v>
      </c>
      <c r="B25" s="250">
        <v>130.61000000000001</v>
      </c>
      <c r="C25" s="250">
        <v>9.92</v>
      </c>
      <c r="D25" s="250">
        <v>9.9700000000000006</v>
      </c>
      <c r="E25" s="250">
        <v>135.21</v>
      </c>
      <c r="F25" s="250">
        <v>10.4</v>
      </c>
      <c r="G25" s="250">
        <v>10.765296994274799</v>
      </c>
      <c r="H25" s="250">
        <v>126.87</v>
      </c>
      <c r="I25" s="250">
        <v>9.5</v>
      </c>
      <c r="J25" s="250">
        <v>9.1696470570666868</v>
      </c>
      <c r="K25" s="250">
        <v>137.38</v>
      </c>
      <c r="L25" s="250">
        <v>122.86</v>
      </c>
      <c r="M25" s="250">
        <v>126.48</v>
      </c>
      <c r="N25" s="250">
        <v>130.80000000000001</v>
      </c>
      <c r="O25" s="250">
        <v>125.88</v>
      </c>
      <c r="P25" s="250">
        <v>123.37</v>
      </c>
      <c r="Q25" s="250">
        <v>115.03</v>
      </c>
      <c r="R25" s="250">
        <v>130.71</v>
      </c>
      <c r="S25" s="250">
        <v>118.76</v>
      </c>
      <c r="T25" s="250">
        <v>149.56</v>
      </c>
      <c r="U25" s="250">
        <v>134.22999999999999</v>
      </c>
    </row>
    <row r="26" spans="1:21" ht="14.1" customHeight="1">
      <c r="A26" s="392" t="s">
        <v>561</v>
      </c>
      <c r="B26" s="289">
        <v>133.32</v>
      </c>
      <c r="C26" s="289">
        <v>10.87</v>
      </c>
      <c r="D26" s="289">
        <v>10.050000000000001</v>
      </c>
      <c r="E26" s="289">
        <v>139.58000000000001</v>
      </c>
      <c r="F26" s="289">
        <v>12.66</v>
      </c>
      <c r="G26" s="289">
        <v>10.791945516391577</v>
      </c>
      <c r="H26" s="289">
        <v>128.22</v>
      </c>
      <c r="I26" s="289">
        <v>9.34</v>
      </c>
      <c r="J26" s="289">
        <v>9.2538752503152022</v>
      </c>
      <c r="K26" s="289">
        <v>137.94</v>
      </c>
      <c r="L26" s="289">
        <v>124.15</v>
      </c>
      <c r="M26" s="289">
        <v>127.72</v>
      </c>
      <c r="N26" s="289">
        <v>132.51</v>
      </c>
      <c r="O26" s="289">
        <v>126.71</v>
      </c>
      <c r="P26" s="289">
        <v>123.83</v>
      </c>
      <c r="Q26" s="289">
        <v>117.13</v>
      </c>
      <c r="R26" s="289">
        <v>131.86000000000001</v>
      </c>
      <c r="S26" s="289">
        <v>120.51</v>
      </c>
      <c r="T26" s="289">
        <v>151.91</v>
      </c>
      <c r="U26" s="289">
        <v>137.75</v>
      </c>
    </row>
    <row r="27" spans="1:21" ht="14.1" customHeight="1">
      <c r="A27" s="1687" t="s">
        <v>562</v>
      </c>
      <c r="B27" s="250">
        <v>132.66</v>
      </c>
      <c r="C27" s="250">
        <v>11.38</v>
      </c>
      <c r="D27" s="250">
        <v>10.220000000000001</v>
      </c>
      <c r="E27" s="250">
        <v>136.61000000000001</v>
      </c>
      <c r="F27" s="250">
        <v>13.8</v>
      </c>
      <c r="G27" s="250">
        <v>11.059088614632785</v>
      </c>
      <c r="H27" s="250">
        <v>129.44</v>
      </c>
      <c r="I27" s="250">
        <v>9.39</v>
      </c>
      <c r="J27" s="250">
        <v>9.3544156437423744</v>
      </c>
      <c r="K27" s="250">
        <v>139.5</v>
      </c>
      <c r="L27" s="250">
        <v>126.33</v>
      </c>
      <c r="M27" s="250">
        <v>129.4</v>
      </c>
      <c r="N27" s="250">
        <v>133.36000000000001</v>
      </c>
      <c r="O27" s="250">
        <v>126.85</v>
      </c>
      <c r="P27" s="250">
        <v>124.51</v>
      </c>
      <c r="Q27" s="250">
        <v>117.37</v>
      </c>
      <c r="R27" s="250">
        <v>133.16</v>
      </c>
      <c r="S27" s="250">
        <v>121.32</v>
      </c>
      <c r="T27" s="250">
        <v>154.16999999999999</v>
      </c>
      <c r="U27" s="250">
        <v>138.68</v>
      </c>
    </row>
    <row r="28" spans="1:21" ht="14.1" customHeight="1">
      <c r="A28" s="392" t="s">
        <v>555</v>
      </c>
      <c r="B28" s="289">
        <v>131.30000000000001</v>
      </c>
      <c r="C28" s="289">
        <v>10.89</v>
      </c>
      <c r="D28" s="289">
        <v>10.34</v>
      </c>
      <c r="E28" s="289">
        <v>132.65</v>
      </c>
      <c r="F28" s="289">
        <v>12.92</v>
      </c>
      <c r="G28" s="289">
        <v>11.332413592796975</v>
      </c>
      <c r="H28" s="289">
        <v>130.19</v>
      </c>
      <c r="I28" s="289">
        <v>9.26</v>
      </c>
      <c r="J28" s="289">
        <v>9.412548112807162</v>
      </c>
      <c r="K28" s="289">
        <v>139.99</v>
      </c>
      <c r="L28" s="289">
        <v>127.48</v>
      </c>
      <c r="M28" s="289">
        <v>129.97</v>
      </c>
      <c r="N28" s="289">
        <v>133.63999999999999</v>
      </c>
      <c r="O28" s="289">
        <v>127.19</v>
      </c>
      <c r="P28" s="289">
        <v>125.23</v>
      </c>
      <c r="Q28" s="289">
        <v>117.48</v>
      </c>
      <c r="R28" s="289">
        <v>133.41</v>
      </c>
      <c r="S28" s="289">
        <v>122.59</v>
      </c>
      <c r="T28" s="289">
        <v>155.93</v>
      </c>
      <c r="U28" s="289">
        <v>140.22</v>
      </c>
    </row>
    <row r="29" spans="1:21" ht="14.1" customHeight="1">
      <c r="A29" s="1687" t="s">
        <v>563</v>
      </c>
      <c r="B29" s="250">
        <v>131.49</v>
      </c>
      <c r="C29" s="250">
        <v>9.94</v>
      </c>
      <c r="D29" s="250">
        <v>10.34</v>
      </c>
      <c r="E29" s="250">
        <v>130.97</v>
      </c>
      <c r="F29" s="250">
        <v>10.72</v>
      </c>
      <c r="G29" s="250">
        <v>11.416690089583659</v>
      </c>
      <c r="H29" s="250">
        <v>131.9</v>
      </c>
      <c r="I29" s="250">
        <v>9.32</v>
      </c>
      <c r="J29" s="250">
        <v>9.4040495003486093</v>
      </c>
      <c r="K29" s="250">
        <v>153.12</v>
      </c>
      <c r="L29" s="250">
        <v>129.33000000000001</v>
      </c>
      <c r="M29" s="250">
        <v>130.56</v>
      </c>
      <c r="N29" s="250">
        <v>135.44</v>
      </c>
      <c r="O29" s="250">
        <v>127.47</v>
      </c>
      <c r="P29" s="250">
        <v>126.43</v>
      </c>
      <c r="Q29" s="250">
        <v>118.28</v>
      </c>
      <c r="R29" s="250">
        <v>134.18</v>
      </c>
      <c r="S29" s="250">
        <v>124.08</v>
      </c>
      <c r="T29" s="250">
        <v>158.16999999999999</v>
      </c>
      <c r="U29" s="250">
        <v>141.94999999999999</v>
      </c>
    </row>
    <row r="30" spans="1:21" ht="14.1" customHeight="1">
      <c r="A30" s="392" t="s">
        <v>564</v>
      </c>
      <c r="B30" s="289">
        <v>131.29</v>
      </c>
      <c r="C30" s="289">
        <v>9.32</v>
      </c>
      <c r="D30" s="289">
        <v>10.3</v>
      </c>
      <c r="E30" s="289">
        <v>130.08000000000001</v>
      </c>
      <c r="F30" s="289">
        <v>9.24</v>
      </c>
      <c r="G30" s="289">
        <v>11.38654590460655</v>
      </c>
      <c r="H30" s="289">
        <v>132.26</v>
      </c>
      <c r="I30" s="289">
        <v>9.3800000000000008</v>
      </c>
      <c r="J30" s="289">
        <v>9.4076177844415021</v>
      </c>
      <c r="K30" s="289">
        <v>153.19999999999999</v>
      </c>
      <c r="L30" s="289">
        <v>129.53</v>
      </c>
      <c r="M30" s="289">
        <v>130.82</v>
      </c>
      <c r="N30" s="289">
        <v>136.28</v>
      </c>
      <c r="O30" s="289">
        <v>127.62</v>
      </c>
      <c r="P30" s="289">
        <v>126.64</v>
      </c>
      <c r="Q30" s="289">
        <v>118.59</v>
      </c>
      <c r="R30" s="289">
        <v>134.56</v>
      </c>
      <c r="S30" s="289">
        <v>124.4</v>
      </c>
      <c r="T30" s="289">
        <v>158.88999999999999</v>
      </c>
      <c r="U30" s="289">
        <v>143.11000000000001</v>
      </c>
    </row>
    <row r="31" spans="1:21" ht="14.1" customHeight="1">
      <c r="A31" s="1836" t="s">
        <v>556</v>
      </c>
      <c r="B31" s="250">
        <v>132.97999999999999</v>
      </c>
      <c r="C31" s="250">
        <v>9.35</v>
      </c>
      <c r="D31" s="250">
        <v>10.264617402586328</v>
      </c>
      <c r="E31" s="250">
        <v>132.35</v>
      </c>
      <c r="F31" s="250">
        <v>8.93</v>
      </c>
      <c r="G31" s="250">
        <v>11.293310901463061</v>
      </c>
      <c r="H31" s="250">
        <v>133.49</v>
      </c>
      <c r="I31" s="250">
        <v>9.6999999999999993</v>
      </c>
      <c r="J31" s="250">
        <v>9.4142977725003121</v>
      </c>
      <c r="K31" s="250">
        <v>151.53</v>
      </c>
      <c r="L31" s="250">
        <v>135.31</v>
      </c>
      <c r="M31" s="250">
        <v>132.05000000000001</v>
      </c>
      <c r="N31" s="250">
        <v>137.02000000000001</v>
      </c>
      <c r="O31" s="250">
        <v>128.69999999999999</v>
      </c>
      <c r="P31" s="250">
        <v>127.17</v>
      </c>
      <c r="Q31" s="250">
        <v>118.8</v>
      </c>
      <c r="R31" s="250">
        <v>136.36000000000001</v>
      </c>
      <c r="S31" s="250">
        <v>124.57</v>
      </c>
      <c r="T31" s="250">
        <v>159.69999999999999</v>
      </c>
      <c r="U31" s="250">
        <v>143.05000000000001</v>
      </c>
    </row>
    <row r="32" spans="1:21" ht="14.1" customHeight="1">
      <c r="A32" s="392" t="s">
        <v>565</v>
      </c>
      <c r="B32" s="289">
        <v>133.5</v>
      </c>
      <c r="C32" s="289">
        <v>9.17</v>
      </c>
      <c r="D32" s="289">
        <v>10.210592587876643</v>
      </c>
      <c r="E32" s="289">
        <v>133.21</v>
      </c>
      <c r="F32" s="289">
        <v>8.6300000000000008</v>
      </c>
      <c r="G32" s="289">
        <v>11.147259309334689</v>
      </c>
      <c r="H32" s="289">
        <v>133.74</v>
      </c>
      <c r="I32" s="289">
        <v>9.61</v>
      </c>
      <c r="J32" s="289">
        <v>9.4369497301902925</v>
      </c>
      <c r="K32" s="289">
        <v>151.9</v>
      </c>
      <c r="L32" s="289">
        <v>135.75</v>
      </c>
      <c r="M32" s="289">
        <v>132.41</v>
      </c>
      <c r="N32" s="289">
        <v>137.35</v>
      </c>
      <c r="O32" s="289">
        <v>128.74</v>
      </c>
      <c r="P32" s="289">
        <v>127.32</v>
      </c>
      <c r="Q32" s="289">
        <v>118.82</v>
      </c>
      <c r="R32" s="289">
        <v>136.58000000000001</v>
      </c>
      <c r="S32" s="289">
        <v>124.74</v>
      </c>
      <c r="T32" s="289">
        <v>159.79</v>
      </c>
      <c r="U32" s="289">
        <v>143.24</v>
      </c>
    </row>
    <row r="33" spans="1:21" ht="14.1" customHeight="1">
      <c r="A33" s="1687" t="s">
        <v>566</v>
      </c>
      <c r="B33" s="250">
        <v>133.08000000000001</v>
      </c>
      <c r="C33" s="250">
        <v>9.0500000000000007</v>
      </c>
      <c r="D33" s="250">
        <v>10.130000000000001</v>
      </c>
      <c r="E33" s="250">
        <v>131.85</v>
      </c>
      <c r="F33" s="250">
        <v>8.59</v>
      </c>
      <c r="G33" s="250">
        <v>10.959717294745342</v>
      </c>
      <c r="H33" s="250">
        <v>134.09</v>
      </c>
      <c r="I33" s="250">
        <v>9.42</v>
      </c>
      <c r="J33" s="250">
        <v>9.455001691665732</v>
      </c>
      <c r="K33" s="250">
        <v>151.34</v>
      </c>
      <c r="L33" s="250">
        <v>136.51</v>
      </c>
      <c r="M33" s="250">
        <v>132.29</v>
      </c>
      <c r="N33" s="250">
        <v>137.97</v>
      </c>
      <c r="O33" s="250">
        <v>128.94</v>
      </c>
      <c r="P33" s="250">
        <v>127.26</v>
      </c>
      <c r="Q33" s="250">
        <v>118.91</v>
      </c>
      <c r="R33" s="250">
        <v>137.29</v>
      </c>
      <c r="S33" s="250">
        <v>125.15</v>
      </c>
      <c r="T33" s="250">
        <v>160.6</v>
      </c>
      <c r="U33" s="250">
        <v>145.99</v>
      </c>
    </row>
    <row r="34" spans="1:21" s="181" customFormat="1" ht="14.1" customHeight="1">
      <c r="A34" s="392" t="s">
        <v>557</v>
      </c>
      <c r="B34" s="289">
        <v>133.85</v>
      </c>
      <c r="C34" s="289">
        <v>8.48</v>
      </c>
      <c r="D34" s="289">
        <v>10.029999999999999</v>
      </c>
      <c r="E34" s="289">
        <v>133.1</v>
      </c>
      <c r="F34" s="289">
        <v>7.39</v>
      </c>
      <c r="G34" s="289">
        <v>10.695705784963639</v>
      </c>
      <c r="H34" s="289">
        <v>134.44999999999999</v>
      </c>
      <c r="I34" s="289">
        <v>9.3699999999999992</v>
      </c>
      <c r="J34" s="289">
        <v>9.4722257211235839</v>
      </c>
      <c r="K34" s="289">
        <v>152.16</v>
      </c>
      <c r="L34" s="289">
        <v>136.66999999999999</v>
      </c>
      <c r="M34" s="289">
        <v>132.66999999999999</v>
      </c>
      <c r="N34" s="289">
        <v>138.18</v>
      </c>
      <c r="O34" s="289">
        <v>129.02000000000001</v>
      </c>
      <c r="P34" s="289">
        <v>127.16</v>
      </c>
      <c r="Q34" s="289">
        <v>119.03</v>
      </c>
      <c r="R34" s="289">
        <v>138.22999999999999</v>
      </c>
      <c r="S34" s="289">
        <v>125.37</v>
      </c>
      <c r="T34" s="289">
        <v>160.81</v>
      </c>
      <c r="U34" s="289">
        <v>148.13999999999999</v>
      </c>
    </row>
    <row r="35" spans="1:21" s="181" customFormat="1" ht="14.1" customHeight="1">
      <c r="A35" s="848" t="s">
        <v>2755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1:21" s="181" customFormat="1" ht="14.1" customHeight="1">
      <c r="A36" s="392" t="s">
        <v>559</v>
      </c>
      <c r="B36" s="289">
        <v>136.83186036552701</v>
      </c>
      <c r="C36" s="289">
        <v>8.5457684659148434</v>
      </c>
      <c r="D36" s="289">
        <v>9.77</v>
      </c>
      <c r="E36" s="289">
        <v>138.35793453982944</v>
      </c>
      <c r="F36" s="289">
        <v>7.5568000031538727</v>
      </c>
      <c r="G36" s="289">
        <v>10.155599946544246</v>
      </c>
      <c r="H36" s="289">
        <v>135.5904573332019</v>
      </c>
      <c r="I36" s="289">
        <v>9.3805963765639433</v>
      </c>
      <c r="J36" s="289">
        <v>9.4482108762188979</v>
      </c>
      <c r="K36" s="289">
        <v>153.49075890636021</v>
      </c>
      <c r="L36" s="289">
        <v>137.56601713565638</v>
      </c>
      <c r="M36" s="289">
        <v>133.59857292983969</v>
      </c>
      <c r="N36" s="289">
        <v>138.86514332660042</v>
      </c>
      <c r="O36" s="289">
        <v>129.60773409405201</v>
      </c>
      <c r="P36" s="289">
        <v>128.27699824185908</v>
      </c>
      <c r="Q36" s="289">
        <v>123.06301418887284</v>
      </c>
      <c r="R36" s="289">
        <v>139.71008629252964</v>
      </c>
      <c r="S36" s="289">
        <v>126.39794188100018</v>
      </c>
      <c r="T36" s="289">
        <v>162.14009888624491</v>
      </c>
      <c r="U36" s="289">
        <v>149.54251912420096</v>
      </c>
    </row>
    <row r="37" spans="1:21" s="181" customFormat="1" ht="14.1" customHeight="1">
      <c r="A37" s="1687" t="s">
        <v>560</v>
      </c>
      <c r="B37" s="250">
        <v>140.06</v>
      </c>
      <c r="C37" s="250">
        <v>8.2899999999999991</v>
      </c>
      <c r="D37" s="250">
        <v>9.58</v>
      </c>
      <c r="E37" s="250">
        <v>143.88</v>
      </c>
      <c r="F37" s="250">
        <v>7.6</v>
      </c>
      <c r="G37" s="250">
        <v>9.8254712818458998</v>
      </c>
      <c r="H37" s="250">
        <v>136.96</v>
      </c>
      <c r="I37" s="250">
        <v>8.9</v>
      </c>
      <c r="J37" s="250">
        <v>9.377584210816492</v>
      </c>
      <c r="K37" s="250">
        <v>154.33000000000001</v>
      </c>
      <c r="L37" s="250">
        <v>139.68</v>
      </c>
      <c r="M37" s="250">
        <v>135.44999999999999</v>
      </c>
      <c r="N37" s="250">
        <v>139.65</v>
      </c>
      <c r="O37" s="250">
        <v>130.44999999999999</v>
      </c>
      <c r="P37" s="250">
        <v>128.86000000000001</v>
      </c>
      <c r="Q37" s="250">
        <v>123.46</v>
      </c>
      <c r="R37" s="250">
        <v>140.51</v>
      </c>
      <c r="S37" s="250">
        <v>128.33000000000001</v>
      </c>
      <c r="T37" s="250">
        <v>162.55000000000001</v>
      </c>
      <c r="U37" s="250">
        <v>152.11000000000001</v>
      </c>
    </row>
    <row r="38" spans="1:21" s="181" customFormat="1" ht="14.1" customHeight="1">
      <c r="A38" s="392" t="s">
        <v>554</v>
      </c>
      <c r="B38" s="289">
        <v>141.53</v>
      </c>
      <c r="C38" s="289">
        <v>8.36</v>
      </c>
      <c r="D38" s="289">
        <v>9.4499999999999993</v>
      </c>
      <c r="E38" s="289">
        <v>145.54</v>
      </c>
      <c r="F38" s="289">
        <v>7.64</v>
      </c>
      <c r="G38" s="289">
        <v>9.5790288387118672</v>
      </c>
      <c r="H38" s="289">
        <v>138.26</v>
      </c>
      <c r="I38" s="289">
        <v>8.98</v>
      </c>
      <c r="J38" s="289">
        <v>9.3337072196536752</v>
      </c>
      <c r="K38" s="289">
        <v>154.76</v>
      </c>
      <c r="L38" s="289">
        <v>139.94</v>
      </c>
      <c r="M38" s="289">
        <v>136.13</v>
      </c>
      <c r="N38" s="289">
        <v>140.96</v>
      </c>
      <c r="O38" s="289">
        <v>130.72999999999999</v>
      </c>
      <c r="P38" s="289">
        <v>131.15</v>
      </c>
      <c r="Q38" s="289">
        <v>124.01</v>
      </c>
      <c r="R38" s="289">
        <v>141.28</v>
      </c>
      <c r="S38" s="289">
        <v>129.11000000000001</v>
      </c>
      <c r="T38" s="289">
        <v>165.95</v>
      </c>
      <c r="U38" s="289">
        <v>156.93</v>
      </c>
    </row>
    <row r="39" spans="1:21" s="181" customFormat="1" ht="14.1" customHeight="1">
      <c r="A39" s="1687" t="s">
        <v>561</v>
      </c>
      <c r="B39" s="250">
        <v>144.21</v>
      </c>
      <c r="C39" s="250">
        <v>8.17</v>
      </c>
      <c r="D39" s="250">
        <v>9.2200000000000006</v>
      </c>
      <c r="E39" s="250">
        <v>149.46</v>
      </c>
      <c r="F39" s="250">
        <v>7.08</v>
      </c>
      <c r="G39" s="250">
        <v>9.0927254200715559</v>
      </c>
      <c r="H39" s="250">
        <v>139.93</v>
      </c>
      <c r="I39" s="250">
        <v>9.1300000000000008</v>
      </c>
      <c r="J39" s="250">
        <v>9.3159184560136268</v>
      </c>
      <c r="K39" s="250">
        <v>155.41999999999999</v>
      </c>
      <c r="L39" s="250">
        <v>140.99</v>
      </c>
      <c r="M39" s="250">
        <v>137.69999999999999</v>
      </c>
      <c r="N39" s="250">
        <v>142.83000000000001</v>
      </c>
      <c r="O39" s="250">
        <v>131.88</v>
      </c>
      <c r="P39" s="250">
        <v>132.25</v>
      </c>
      <c r="Q39" s="250">
        <v>126.98</v>
      </c>
      <c r="R39" s="250">
        <v>143.01</v>
      </c>
      <c r="S39" s="250">
        <v>130.62</v>
      </c>
      <c r="T39" s="250">
        <v>167.77</v>
      </c>
      <c r="U39" s="250">
        <v>161.75</v>
      </c>
    </row>
    <row r="40" spans="1:21" s="181" customFormat="1" ht="14.1" customHeight="1">
      <c r="A40" s="392" t="s">
        <v>562</v>
      </c>
      <c r="B40" s="289">
        <v>143.65</v>
      </c>
      <c r="C40" s="289">
        <v>8.2899999999999991</v>
      </c>
      <c r="D40" s="289">
        <v>8.9600000000000009</v>
      </c>
      <c r="E40" s="289">
        <v>146.66</v>
      </c>
      <c r="F40" s="289">
        <v>7.36</v>
      </c>
      <c r="G40" s="289">
        <v>8.5639944667676993</v>
      </c>
      <c r="H40" s="289">
        <v>141.19999999999999</v>
      </c>
      <c r="I40" s="289">
        <v>9.08</v>
      </c>
      <c r="J40" s="289">
        <v>9.2899783045183213</v>
      </c>
      <c r="K40" s="289">
        <v>156.38999999999999</v>
      </c>
      <c r="L40" s="289">
        <v>142.04</v>
      </c>
      <c r="M40" s="289">
        <v>139.25</v>
      </c>
      <c r="N40" s="289">
        <v>143.30000000000001</v>
      </c>
      <c r="O40" s="289">
        <v>132</v>
      </c>
      <c r="P40" s="289">
        <v>133.69999999999999</v>
      </c>
      <c r="Q40" s="289">
        <v>127.34</v>
      </c>
      <c r="R40" s="289">
        <v>144.19</v>
      </c>
      <c r="S40" s="289">
        <v>131.54</v>
      </c>
      <c r="T40" s="289">
        <v>170.17</v>
      </c>
      <c r="U40" s="289">
        <v>164.39</v>
      </c>
    </row>
    <row r="41" spans="1:21" ht="14.1" customHeight="1">
      <c r="A41" s="1759" t="s">
        <v>555</v>
      </c>
      <c r="B41" s="1760">
        <v>142.44</v>
      </c>
      <c r="C41" s="1760">
        <v>8.49</v>
      </c>
      <c r="D41" s="1760">
        <v>8.77</v>
      </c>
      <c r="E41" s="1760">
        <v>142.88</v>
      </c>
      <c r="F41" s="1760">
        <v>7.71</v>
      </c>
      <c r="G41" s="1760">
        <v>8.1570760531413544</v>
      </c>
      <c r="H41" s="1760">
        <v>142.08000000000001</v>
      </c>
      <c r="I41" s="1760">
        <v>9.1300000000000008</v>
      </c>
      <c r="J41" s="1760">
        <v>9.2789641588806759</v>
      </c>
      <c r="K41" s="1760">
        <v>156.99</v>
      </c>
      <c r="L41" s="1760">
        <v>142.91999999999999</v>
      </c>
      <c r="M41" s="1760">
        <v>140.33000000000001</v>
      </c>
      <c r="N41" s="1760">
        <v>143.75</v>
      </c>
      <c r="O41" s="1760">
        <v>132.11000000000001</v>
      </c>
      <c r="P41" s="1760">
        <v>134.34</v>
      </c>
      <c r="Q41" s="1760">
        <v>127.63</v>
      </c>
      <c r="R41" s="1760">
        <v>144.63999999999999</v>
      </c>
      <c r="S41" s="1760">
        <v>131.91999999999999</v>
      </c>
      <c r="T41" s="1760">
        <v>170.55</v>
      </c>
      <c r="U41" s="1760">
        <v>167.85</v>
      </c>
    </row>
    <row r="42" spans="1:21" s="1757" customFormat="1" ht="14.1" customHeight="1">
      <c r="A42" s="392" t="s">
        <v>563</v>
      </c>
      <c r="B42" s="289">
        <v>142.77000000000001</v>
      </c>
      <c r="C42" s="289">
        <v>8.58</v>
      </c>
      <c r="D42" s="289">
        <v>8.66</v>
      </c>
      <c r="E42" s="289">
        <v>141.84</v>
      </c>
      <c r="F42" s="289">
        <v>8.2899999999999991</v>
      </c>
      <c r="G42" s="289">
        <v>7.9736558042245775</v>
      </c>
      <c r="H42" s="289">
        <v>143.53</v>
      </c>
      <c r="I42" s="289">
        <v>8.81</v>
      </c>
      <c r="J42" s="289">
        <v>9.2356505249561405</v>
      </c>
      <c r="K42" s="289">
        <v>165.97</v>
      </c>
      <c r="L42" s="289">
        <v>143.55000000000001</v>
      </c>
      <c r="M42" s="289">
        <v>141.62</v>
      </c>
      <c r="N42" s="289">
        <v>144.37</v>
      </c>
      <c r="O42" s="289">
        <v>132.16999999999999</v>
      </c>
      <c r="P42" s="289">
        <v>134.72</v>
      </c>
      <c r="Q42" s="289">
        <v>127.79</v>
      </c>
      <c r="R42" s="289">
        <v>145.77000000000001</v>
      </c>
      <c r="S42" s="289">
        <v>133.22999999999999</v>
      </c>
      <c r="T42" s="289">
        <v>172.63</v>
      </c>
      <c r="U42" s="289">
        <v>171.85</v>
      </c>
    </row>
    <row r="43" spans="1:21" ht="14.1" customHeight="1">
      <c r="A43" s="1836" t="s">
        <v>564</v>
      </c>
      <c r="B43" s="250">
        <v>143.28</v>
      </c>
      <c r="C43" s="250">
        <v>9.1300000000000008</v>
      </c>
      <c r="D43" s="250">
        <v>8.65</v>
      </c>
      <c r="E43" s="250">
        <v>142.18</v>
      </c>
      <c r="F43" s="250">
        <v>9.3000000000000007</v>
      </c>
      <c r="G43" s="250">
        <v>7.987278624222327</v>
      </c>
      <c r="H43" s="250">
        <v>144.18</v>
      </c>
      <c r="I43" s="250">
        <v>9.01</v>
      </c>
      <c r="J43" s="250">
        <v>9.2048608393257236</v>
      </c>
      <c r="K43" s="250">
        <v>166.1</v>
      </c>
      <c r="L43" s="250">
        <v>143.81</v>
      </c>
      <c r="M43" s="250">
        <v>141.83000000000001</v>
      </c>
      <c r="N43" s="250">
        <v>144.47999999999999</v>
      </c>
      <c r="O43" s="250">
        <v>132.29</v>
      </c>
      <c r="P43" s="250">
        <v>135.07</v>
      </c>
      <c r="Q43" s="250">
        <v>128.24</v>
      </c>
      <c r="R43" s="250">
        <v>146.19</v>
      </c>
      <c r="S43" s="250">
        <v>133.78</v>
      </c>
      <c r="T43" s="250">
        <v>173.09</v>
      </c>
      <c r="U43" s="250">
        <v>177.51</v>
      </c>
    </row>
    <row r="44" spans="1:21" ht="13.5" thickBot="1">
      <c r="A44" s="812" t="s">
        <v>556</v>
      </c>
      <c r="B44" s="468">
        <v>144.56</v>
      </c>
      <c r="C44" s="468">
        <v>8.7100000000000009</v>
      </c>
      <c r="D44" s="468">
        <v>8.59803722373249</v>
      </c>
      <c r="E44" s="468">
        <v>143.25</v>
      </c>
      <c r="F44" s="468">
        <v>8.24</v>
      </c>
      <c r="G44" s="468">
        <v>7.9351916405044687</v>
      </c>
      <c r="H44" s="468">
        <v>145.62</v>
      </c>
      <c r="I44" s="468">
        <v>9.09</v>
      </c>
      <c r="J44" s="468">
        <v>9.1554244819331831</v>
      </c>
      <c r="K44" s="468">
        <v>166.21</v>
      </c>
      <c r="L44" s="468">
        <v>148.29</v>
      </c>
      <c r="M44" s="468">
        <v>143.16999999999999</v>
      </c>
      <c r="N44" s="468">
        <v>145.44</v>
      </c>
      <c r="O44" s="468">
        <v>133.44999999999999</v>
      </c>
      <c r="P44" s="468">
        <v>136.66999999999999</v>
      </c>
      <c r="Q44" s="468">
        <v>129.07</v>
      </c>
      <c r="R44" s="468">
        <v>148.99</v>
      </c>
      <c r="S44" s="468">
        <v>134.93</v>
      </c>
      <c r="T44" s="468">
        <v>176.29</v>
      </c>
      <c r="U44" s="468">
        <v>175.01</v>
      </c>
    </row>
    <row r="45" spans="1:21">
      <c r="A45" s="848" t="s">
        <v>2643</v>
      </c>
      <c r="B45" s="250"/>
      <c r="C45" s="250"/>
      <c r="D45" s="250"/>
      <c r="E45" s="250"/>
      <c r="F45" s="250"/>
      <c r="G45" s="250"/>
      <c r="H45" s="250"/>
      <c r="I45" s="100" t="s">
        <v>2206</v>
      </c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</row>
    <row r="46" spans="1:21" ht="9.6" customHeight="1">
      <c r="A46" s="2321" t="s">
        <v>262</v>
      </c>
      <c r="B46" s="2321"/>
      <c r="C46" s="2321"/>
      <c r="D46" s="2321"/>
      <c r="E46" s="100"/>
      <c r="F46" s="100"/>
      <c r="G46" s="27"/>
      <c r="H46" s="31" t="s">
        <v>369</v>
      </c>
    </row>
    <row r="47" spans="1:21" ht="9.6" customHeight="1">
      <c r="K47" s="591"/>
      <c r="L47" s="591"/>
    </row>
    <row r="48" spans="1:21" ht="9.6" customHeight="1">
      <c r="B48" s="591"/>
      <c r="C48" s="591"/>
      <c r="D48" s="591"/>
      <c r="E48" s="591"/>
      <c r="F48" s="591"/>
      <c r="G48" s="591"/>
      <c r="H48" s="591"/>
      <c r="I48" s="591"/>
      <c r="J48" s="591"/>
      <c r="K48" s="591"/>
      <c r="L48" s="591"/>
    </row>
    <row r="49" spans="8:12" ht="9.6" customHeight="1">
      <c r="H49" s="1679" t="s">
        <v>629</v>
      </c>
      <c r="K49" s="591"/>
      <c r="L49" s="591"/>
    </row>
    <row r="50" spans="8:12" ht="9.6" customHeight="1">
      <c r="K50" s="591"/>
      <c r="L50" s="591"/>
    </row>
    <row r="51" spans="8:12" ht="9.75" customHeight="1">
      <c r="K51" s="591"/>
      <c r="L51" s="591"/>
    </row>
    <row r="52" spans="8:12" ht="9.6" customHeight="1">
      <c r="K52" s="591"/>
      <c r="L52" s="591"/>
    </row>
    <row r="53" spans="8:12" ht="9.6" customHeight="1">
      <c r="K53" s="591"/>
      <c r="L53" s="591"/>
    </row>
    <row r="54" spans="8:12" ht="9.6" customHeight="1">
      <c r="K54" s="591"/>
      <c r="L54" s="591"/>
    </row>
    <row r="55" spans="8:12" ht="9.6" customHeight="1">
      <c r="K55" s="591"/>
      <c r="L55" s="591"/>
    </row>
    <row r="56" spans="8:12" ht="9.6" customHeight="1"/>
    <row r="57" spans="8:12" ht="9.6" customHeight="1"/>
    <row r="58" spans="8:12" ht="9.6" customHeight="1"/>
    <row r="59" spans="8:12" ht="9.6" customHeight="1"/>
    <row r="60" spans="8:12" ht="10.5" customHeight="1"/>
    <row r="61" spans="8:12" ht="10.7" customHeight="1"/>
    <row r="62" spans="8:12" ht="10.7" customHeight="1"/>
    <row r="63" spans="8:12" ht="12" customHeight="1"/>
    <row r="64" spans="8:12" ht="12.6" customHeight="1"/>
    <row r="65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46:D46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</mergeCells>
  <phoneticPr fontId="0" type="noConversion"/>
  <pageMargins left="0.62992125984252001" right="0.511811023622047" top="0.31496062992126" bottom="2.5590551E-2" header="0" footer="6.4960630000000005E-2"/>
  <pageSetup paperSize="448" scale="99" orientation="portrait" r:id="rId2"/>
  <headerFooter differentFirst="1"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topLeftCell="A22" zoomScale="124" zoomScaleNormal="124" workbookViewId="0">
      <selection activeCell="C28" sqref="C28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7" t="s">
        <v>709</v>
      </c>
      <c r="C2" s="187"/>
      <c r="D2" s="187"/>
    </row>
    <row r="3" spans="2:4">
      <c r="B3" s="38" t="s">
        <v>710</v>
      </c>
      <c r="C3" s="188" t="s">
        <v>1276</v>
      </c>
      <c r="D3" s="183"/>
    </row>
    <row r="4" spans="2:4">
      <c r="B4" s="38" t="s">
        <v>711</v>
      </c>
      <c r="C4" s="188" t="s">
        <v>1242</v>
      </c>
      <c r="D4" s="183"/>
    </row>
    <row r="5" spans="2:4">
      <c r="B5" s="38" t="s">
        <v>712</v>
      </c>
      <c r="C5" s="188" t="s">
        <v>739</v>
      </c>
      <c r="D5" s="183"/>
    </row>
    <row r="6" spans="2:4">
      <c r="B6" s="38" t="s">
        <v>713</v>
      </c>
      <c r="C6" s="188" t="s">
        <v>714</v>
      </c>
      <c r="D6" s="183"/>
    </row>
    <row r="7" spans="2:4">
      <c r="B7" s="38" t="s">
        <v>715</v>
      </c>
      <c r="C7" s="188" t="s">
        <v>1243</v>
      </c>
      <c r="D7" s="183"/>
    </row>
    <row r="8" spans="2:4">
      <c r="B8" s="38" t="s">
        <v>716</v>
      </c>
      <c r="C8" s="188" t="s">
        <v>1244</v>
      </c>
      <c r="D8" s="183"/>
    </row>
    <row r="9" spans="2:4">
      <c r="B9" s="38" t="s">
        <v>717</v>
      </c>
      <c r="C9" s="188" t="s">
        <v>740</v>
      </c>
      <c r="D9" s="183"/>
    </row>
    <row r="10" spans="2:4" s="908" customFormat="1">
      <c r="B10" s="182" t="s">
        <v>718</v>
      </c>
      <c r="C10" s="782" t="s">
        <v>808</v>
      </c>
      <c r="D10" s="183"/>
    </row>
    <row r="11" spans="2:4" s="908" customFormat="1">
      <c r="B11" s="182" t="s">
        <v>1068</v>
      </c>
      <c r="C11" s="188" t="s">
        <v>1069</v>
      </c>
      <c r="D11" s="183"/>
    </row>
    <row r="12" spans="2:4" s="908" customFormat="1">
      <c r="B12" s="182" t="s">
        <v>719</v>
      </c>
      <c r="C12" s="188" t="s">
        <v>720</v>
      </c>
      <c r="D12" s="183"/>
    </row>
    <row r="13" spans="2:4" s="908" customFormat="1">
      <c r="B13" s="182" t="s">
        <v>721</v>
      </c>
      <c r="C13" s="188" t="s">
        <v>1249</v>
      </c>
      <c r="D13" s="912"/>
    </row>
    <row r="14" spans="2:4" s="908" customFormat="1">
      <c r="B14" s="182" t="s">
        <v>681</v>
      </c>
      <c r="C14" s="188" t="s">
        <v>722</v>
      </c>
      <c r="D14" s="183"/>
    </row>
    <row r="15" spans="2:4" s="908" customFormat="1">
      <c r="B15" s="182" t="s">
        <v>682</v>
      </c>
      <c r="C15" s="188" t="s">
        <v>723</v>
      </c>
      <c r="D15" s="183"/>
    </row>
    <row r="16" spans="2:4" s="908" customFormat="1">
      <c r="B16" s="182" t="s">
        <v>2208</v>
      </c>
      <c r="C16" s="188" t="s">
        <v>724</v>
      </c>
      <c r="D16" s="183"/>
    </row>
    <row r="17" spans="2:4" s="1247" customFormat="1">
      <c r="B17" s="182" t="s">
        <v>2209</v>
      </c>
      <c r="C17" s="188" t="s">
        <v>725</v>
      </c>
      <c r="D17" s="183"/>
    </row>
    <row r="18" spans="2:4" s="908" customFormat="1">
      <c r="B18" s="182" t="s">
        <v>683</v>
      </c>
      <c r="C18" s="188" t="s">
        <v>2210</v>
      </c>
      <c r="D18" s="183"/>
    </row>
    <row r="19" spans="2:4" s="908" customFormat="1">
      <c r="B19" s="182" t="s">
        <v>684</v>
      </c>
      <c r="C19" s="188" t="s">
        <v>2211</v>
      </c>
      <c r="D19" s="183"/>
    </row>
    <row r="20" spans="2:4" s="908" customFormat="1">
      <c r="B20" s="182" t="s">
        <v>1070</v>
      </c>
      <c r="C20" s="188" t="s">
        <v>2009</v>
      </c>
      <c r="D20" s="183"/>
    </row>
    <row r="21" spans="2:4" s="908" customFormat="1">
      <c r="B21" s="182" t="s">
        <v>1071</v>
      </c>
      <c r="C21" s="188" t="s">
        <v>2008</v>
      </c>
      <c r="D21" s="183"/>
    </row>
    <row r="22" spans="2:4" s="908" customFormat="1">
      <c r="B22" s="182" t="s">
        <v>1072</v>
      </c>
      <c r="C22" s="188" t="s">
        <v>2253</v>
      </c>
    </row>
    <row r="23" spans="2:4" s="1325" customFormat="1">
      <c r="B23" s="182" t="s">
        <v>2250</v>
      </c>
      <c r="C23" s="188" t="s">
        <v>726</v>
      </c>
      <c r="D23" s="183"/>
    </row>
    <row r="24" spans="2:4" s="908" customFormat="1">
      <c r="B24" s="182" t="s">
        <v>685</v>
      </c>
      <c r="C24" s="188" t="s">
        <v>1265</v>
      </c>
      <c r="D24" s="183"/>
    </row>
    <row r="25" spans="2:4" s="908" customFormat="1" ht="12.75" customHeight="1">
      <c r="B25" s="182" t="s">
        <v>686</v>
      </c>
      <c r="C25" s="188" t="s">
        <v>738</v>
      </c>
      <c r="D25" s="183"/>
    </row>
    <row r="26" spans="2:4" s="908" customFormat="1">
      <c r="B26" s="182" t="s">
        <v>1073</v>
      </c>
      <c r="C26" s="188" t="s">
        <v>727</v>
      </c>
      <c r="D26" s="183"/>
    </row>
    <row r="27" spans="2:4" s="908" customFormat="1">
      <c r="B27" s="182" t="s">
        <v>1074</v>
      </c>
      <c r="C27" s="188" t="s">
        <v>1266</v>
      </c>
      <c r="D27" s="183"/>
    </row>
    <row r="28" spans="2:4" s="908" customFormat="1">
      <c r="B28" s="182" t="s">
        <v>687</v>
      </c>
      <c r="C28" s="782" t="s">
        <v>3088</v>
      </c>
      <c r="D28" s="183"/>
    </row>
    <row r="29" spans="2:4" s="908" customFormat="1">
      <c r="B29" s="182" t="s">
        <v>688</v>
      </c>
      <c r="C29" s="833" t="s">
        <v>2499</v>
      </c>
      <c r="D29" s="183"/>
    </row>
    <row r="30" spans="2:4" s="908" customFormat="1">
      <c r="B30" s="182" t="s">
        <v>689</v>
      </c>
      <c r="C30" s="782" t="s">
        <v>728</v>
      </c>
      <c r="D30" s="183"/>
    </row>
    <row r="31" spans="2:4" s="908" customFormat="1">
      <c r="B31" s="182" t="s">
        <v>690</v>
      </c>
      <c r="C31" s="188" t="s">
        <v>729</v>
      </c>
      <c r="D31" s="183"/>
    </row>
    <row r="32" spans="2:4" s="908" customFormat="1">
      <c r="B32" s="182" t="s">
        <v>691</v>
      </c>
      <c r="C32" s="188" t="s">
        <v>730</v>
      </c>
      <c r="D32" s="183"/>
    </row>
    <row r="33" spans="2:4" s="908" customFormat="1">
      <c r="B33" s="182" t="s">
        <v>692</v>
      </c>
      <c r="C33" s="188" t="s">
        <v>1274</v>
      </c>
      <c r="D33" s="183"/>
    </row>
    <row r="34" spans="2:4" s="908" customFormat="1">
      <c r="B34" s="182" t="s">
        <v>693</v>
      </c>
      <c r="C34" s="188" t="s">
        <v>731</v>
      </c>
      <c r="D34" s="183"/>
    </row>
    <row r="35" spans="2:4" s="908" customFormat="1">
      <c r="B35" s="182" t="s">
        <v>694</v>
      </c>
      <c r="C35" s="188" t="s">
        <v>732</v>
      </c>
      <c r="D35" s="183"/>
    </row>
    <row r="36" spans="2:4" s="908" customFormat="1">
      <c r="B36" s="182" t="s">
        <v>695</v>
      </c>
      <c r="C36" s="188" t="s">
        <v>733</v>
      </c>
      <c r="D36" s="183"/>
    </row>
    <row r="37" spans="2:4" s="908" customFormat="1">
      <c r="B37" s="182" t="s">
        <v>696</v>
      </c>
      <c r="C37" s="188" t="s">
        <v>734</v>
      </c>
      <c r="D37" s="183"/>
    </row>
    <row r="38" spans="2:4" s="908" customFormat="1">
      <c r="B38" s="182" t="s">
        <v>697</v>
      </c>
      <c r="C38" s="188" t="s">
        <v>1273</v>
      </c>
      <c r="D38" s="183"/>
    </row>
    <row r="39" spans="2:4" s="908" customFormat="1" ht="12" customHeight="1">
      <c r="B39" s="182" t="s">
        <v>698</v>
      </c>
      <c r="C39" s="188" t="s">
        <v>1394</v>
      </c>
      <c r="D39" s="184"/>
    </row>
    <row r="40" spans="2:4">
      <c r="B40" s="182" t="s">
        <v>699</v>
      </c>
      <c r="C40" s="188" t="s">
        <v>1546</v>
      </c>
    </row>
    <row r="41" spans="2:4">
      <c r="B41" s="182" t="s">
        <v>700</v>
      </c>
      <c r="C41" s="188" t="s">
        <v>1423</v>
      </c>
    </row>
    <row r="42" spans="2:4">
      <c r="B42" s="182" t="s">
        <v>701</v>
      </c>
      <c r="C42" s="188" t="s">
        <v>1446</v>
      </c>
    </row>
    <row r="43" spans="2:4">
      <c r="B43" s="182" t="s">
        <v>1898</v>
      </c>
      <c r="C43" s="188" t="s">
        <v>1899</v>
      </c>
    </row>
    <row r="44" spans="2:4" s="1080" customFormat="1">
      <c r="B44" s="182" t="s">
        <v>2099</v>
      </c>
      <c r="C44" s="188" t="s">
        <v>2100</v>
      </c>
    </row>
    <row r="46" spans="2:4">
      <c r="C46" s="188" t="s">
        <v>1280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D75" sqref="D75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2" customFormat="1" ht="17.25" customHeight="1">
      <c r="A1" s="2355" t="s">
        <v>1987</v>
      </c>
      <c r="B1" s="2355"/>
      <c r="C1" s="2355"/>
      <c r="D1" s="2355"/>
      <c r="E1" s="2355"/>
      <c r="F1" s="2355"/>
      <c r="G1" s="2355"/>
      <c r="H1" s="2355"/>
      <c r="I1" s="2355"/>
      <c r="J1" s="2355"/>
      <c r="K1" s="2355"/>
      <c r="L1" s="2355" t="s">
        <v>1988</v>
      </c>
      <c r="M1" s="2355"/>
      <c r="N1" s="2355"/>
      <c r="O1" s="2355"/>
      <c r="P1" s="2355"/>
      <c r="Q1" s="2355"/>
      <c r="R1" s="2355"/>
      <c r="S1" s="2355"/>
      <c r="T1" s="2355"/>
      <c r="U1" s="2297" t="s">
        <v>1076</v>
      </c>
      <c r="V1" s="2297"/>
      <c r="W1" s="50"/>
    </row>
    <row r="2" spans="1:24" s="20" customFormat="1" ht="12.75" customHeight="1">
      <c r="A2" s="923"/>
      <c r="B2" s="923"/>
      <c r="C2" s="923"/>
      <c r="D2" s="923"/>
      <c r="E2" s="923"/>
      <c r="F2" s="923"/>
      <c r="G2" s="923"/>
      <c r="I2" s="923"/>
      <c r="L2" s="923"/>
      <c r="M2" s="923"/>
      <c r="N2" s="923"/>
      <c r="O2" s="923"/>
      <c r="P2" s="923"/>
      <c r="Q2" s="923"/>
      <c r="R2" s="923"/>
      <c r="T2" s="87"/>
      <c r="U2" s="2356" t="s">
        <v>24</v>
      </c>
      <c r="V2" s="2356"/>
      <c r="W2" s="87"/>
    </row>
    <row r="3" spans="1:24" s="85" customFormat="1" ht="71.25" customHeight="1">
      <c r="A3" s="2357" t="s">
        <v>481</v>
      </c>
      <c r="B3" s="1224" t="s">
        <v>1263</v>
      </c>
      <c r="C3" s="1224" t="s">
        <v>503</v>
      </c>
      <c r="D3" s="1224" t="s">
        <v>1989</v>
      </c>
      <c r="E3" s="1224" t="s">
        <v>265</v>
      </c>
      <c r="F3" s="1224" t="s">
        <v>1990</v>
      </c>
      <c r="G3" s="1224" t="s">
        <v>266</v>
      </c>
      <c r="H3" s="1224" t="s">
        <v>1256</v>
      </c>
      <c r="I3" s="1224" t="s">
        <v>1257</v>
      </c>
      <c r="J3" s="1224" t="s">
        <v>1258</v>
      </c>
      <c r="K3" s="1224" t="s">
        <v>267</v>
      </c>
      <c r="L3" s="1224" t="s">
        <v>1259</v>
      </c>
      <c r="M3" s="1224" t="s">
        <v>1260</v>
      </c>
      <c r="N3" s="1224" t="s">
        <v>1991</v>
      </c>
      <c r="O3" s="1224" t="s">
        <v>1261</v>
      </c>
      <c r="P3" s="1224" t="s">
        <v>1262</v>
      </c>
      <c r="Q3" s="1224" t="s">
        <v>1992</v>
      </c>
      <c r="R3" s="1224" t="s">
        <v>263</v>
      </c>
      <c r="S3" s="1224" t="s">
        <v>1993</v>
      </c>
      <c r="T3" s="1012" t="s">
        <v>264</v>
      </c>
      <c r="U3" s="1013" t="s">
        <v>646</v>
      </c>
      <c r="V3" s="2357" t="s">
        <v>481</v>
      </c>
      <c r="W3" s="88"/>
      <c r="X3" s="88"/>
    </row>
    <row r="4" spans="1:24" s="75" customFormat="1">
      <c r="A4" s="2358"/>
      <c r="B4" s="1223">
        <v>1</v>
      </c>
      <c r="C4" s="1223">
        <v>2</v>
      </c>
      <c r="D4" s="1223">
        <v>3</v>
      </c>
      <c r="E4" s="1223">
        <v>4</v>
      </c>
      <c r="F4" s="1223">
        <v>5</v>
      </c>
      <c r="G4" s="1223">
        <v>6</v>
      </c>
      <c r="H4" s="1223">
        <v>7</v>
      </c>
      <c r="I4" s="1223">
        <v>8</v>
      </c>
      <c r="J4" s="1223">
        <v>9</v>
      </c>
      <c r="K4" s="1223">
        <v>10</v>
      </c>
      <c r="L4" s="1223">
        <v>11</v>
      </c>
      <c r="M4" s="1223">
        <v>12</v>
      </c>
      <c r="N4" s="1223">
        <v>13</v>
      </c>
      <c r="O4" s="1223">
        <v>14</v>
      </c>
      <c r="P4" s="1223">
        <v>15</v>
      </c>
      <c r="Q4" s="1223">
        <v>16</v>
      </c>
      <c r="R4" s="1223">
        <v>17</v>
      </c>
      <c r="S4" s="1223">
        <v>18</v>
      </c>
      <c r="T4" s="1223">
        <v>19</v>
      </c>
      <c r="U4" s="1223">
        <v>20</v>
      </c>
      <c r="V4" s="2358"/>
      <c r="W4" s="1014"/>
      <c r="X4" s="1015"/>
    </row>
    <row r="5" spans="1:24" s="1019" customFormat="1" ht="9" customHeight="1">
      <c r="A5" s="2349" t="s">
        <v>1982</v>
      </c>
      <c r="B5" s="2349"/>
      <c r="C5" s="2349"/>
      <c r="D5" s="1016"/>
      <c r="E5" s="1016"/>
      <c r="F5" s="1016"/>
      <c r="G5" s="1016"/>
      <c r="H5" s="1016"/>
      <c r="I5" s="1016"/>
      <c r="J5" s="1016"/>
      <c r="K5" s="1016"/>
      <c r="L5" s="1016"/>
      <c r="M5" s="1016"/>
      <c r="N5" s="1016"/>
      <c r="O5" s="1016"/>
      <c r="P5" s="1016"/>
      <c r="Q5" s="1016"/>
      <c r="R5" s="1016"/>
      <c r="S5" s="1016"/>
      <c r="T5" s="1016"/>
      <c r="U5" s="1016"/>
      <c r="V5" s="344"/>
      <c r="W5" s="1017"/>
      <c r="X5" s="1018"/>
    </row>
    <row r="6" spans="1:24" s="30" customFormat="1" ht="8.25" customHeight="1">
      <c r="A6" s="1020" t="s">
        <v>558</v>
      </c>
      <c r="B6" s="1021">
        <v>70171</v>
      </c>
      <c r="C6" s="1021">
        <v>16814</v>
      </c>
      <c r="D6" s="1021">
        <v>7009</v>
      </c>
      <c r="E6" s="1021">
        <v>73834</v>
      </c>
      <c r="F6" s="1021">
        <v>5553</v>
      </c>
      <c r="G6" s="1021">
        <v>29825</v>
      </c>
      <c r="H6" s="1021">
        <v>62352</v>
      </c>
      <c r="I6" s="1021">
        <v>3467</v>
      </c>
      <c r="J6" s="1021">
        <v>46497</v>
      </c>
      <c r="K6" s="1021">
        <v>14216</v>
      </c>
      <c r="L6" s="1021">
        <v>37935</v>
      </c>
      <c r="M6" s="1021">
        <v>14089</v>
      </c>
      <c r="N6" s="1021">
        <v>9962</v>
      </c>
      <c r="O6" s="1021">
        <v>9288</v>
      </c>
      <c r="P6" s="1021">
        <v>56600</v>
      </c>
      <c r="Q6" s="1022">
        <f>SUM(B6:P6)</f>
        <v>457612</v>
      </c>
      <c r="R6" s="1021">
        <v>24725</v>
      </c>
      <c r="S6" s="1021">
        <f>Q6+R6</f>
        <v>482337</v>
      </c>
      <c r="T6" s="1021">
        <v>27208</v>
      </c>
      <c r="U6" s="1021">
        <f>S6+T6</f>
        <v>509545</v>
      </c>
      <c r="V6" s="1034" t="s">
        <v>558</v>
      </c>
    </row>
    <row r="7" spans="1:24" s="218" customFormat="1" ht="8.1" customHeight="1">
      <c r="A7" s="170"/>
      <c r="B7" s="1023">
        <f>(B6/S6)*100</f>
        <v>14.548127139323752</v>
      </c>
      <c r="C7" s="1023">
        <f>(C6/S6)*100</f>
        <v>3.4859444745064136</v>
      </c>
      <c r="D7" s="1023">
        <f>(D6/S6)*100</f>
        <v>1.4531333901400889</v>
      </c>
      <c r="E7" s="1023">
        <f>(E6/S6)*100</f>
        <v>15.307554676502114</v>
      </c>
      <c r="F7" s="1023">
        <f>(F6/S6)*100</f>
        <v>1.151269755378501</v>
      </c>
      <c r="G7" s="1023">
        <f>(G6/S6)*100</f>
        <v>6.1834360623381581</v>
      </c>
      <c r="H7" s="1023">
        <f>(H6/S6)*100</f>
        <v>12.927061369955032</v>
      </c>
      <c r="I7" s="1023">
        <f>(I6/S6)*100</f>
        <v>0.71879204788353368</v>
      </c>
      <c r="J7" s="1023">
        <f>(J6/S6)*100</f>
        <v>9.6399405394983173</v>
      </c>
      <c r="K7" s="1023">
        <f>(K6/S6)*100</f>
        <v>2.9473169174249541</v>
      </c>
      <c r="L7" s="1023">
        <f>(L6/S6)*100</f>
        <v>7.8648330938741999</v>
      </c>
      <c r="M7" s="1023">
        <f>(M6/S6)*100</f>
        <v>2.9209867789533042</v>
      </c>
      <c r="N7" s="1023">
        <f>(N6/S6)*100</f>
        <v>2.0653609405871829</v>
      </c>
      <c r="O7" s="1023">
        <f>(O6/S6)*100</f>
        <v>1.9256246151549643</v>
      </c>
      <c r="P7" s="1023">
        <f>(P6/S6)*100</f>
        <v>11.734534153506781</v>
      </c>
      <c r="Q7" s="1023">
        <f>(Q6/S6)*100</f>
        <v>94.8739159550273</v>
      </c>
      <c r="R7" s="1023">
        <f>(R6/S6)*100</f>
        <v>5.1260840449727052</v>
      </c>
      <c r="S7" s="1023">
        <f>(S6/S6)*100</f>
        <v>100</v>
      </c>
      <c r="T7" s="1024"/>
      <c r="U7" s="1024"/>
      <c r="V7" s="272"/>
    </row>
    <row r="8" spans="1:24" s="30" customFormat="1" ht="8.1" customHeight="1">
      <c r="A8" s="1025" t="s">
        <v>567</v>
      </c>
      <c r="B8" s="1021">
        <v>79010</v>
      </c>
      <c r="C8" s="1021">
        <v>18890</v>
      </c>
      <c r="D8" s="1021">
        <v>7866</v>
      </c>
      <c r="E8" s="1021">
        <v>87606</v>
      </c>
      <c r="F8" s="1021">
        <v>5720</v>
      </c>
      <c r="G8" s="1021">
        <v>33513</v>
      </c>
      <c r="H8" s="1021">
        <v>72971</v>
      </c>
      <c r="I8" s="1021">
        <v>4069</v>
      </c>
      <c r="J8" s="1021">
        <v>53132</v>
      </c>
      <c r="K8" s="1021">
        <v>16265</v>
      </c>
      <c r="L8" s="1021">
        <v>41337</v>
      </c>
      <c r="M8" s="1021">
        <v>17132</v>
      </c>
      <c r="N8" s="1021">
        <v>11853</v>
      </c>
      <c r="O8" s="1021">
        <v>10453</v>
      </c>
      <c r="P8" s="1021">
        <v>63544</v>
      </c>
      <c r="Q8" s="1022">
        <f>SUM(B8:P8)</f>
        <v>523361</v>
      </c>
      <c r="R8" s="1021">
        <v>26439</v>
      </c>
      <c r="S8" s="1021">
        <f>Q8+R8</f>
        <v>549800</v>
      </c>
      <c r="T8" s="1021">
        <v>35276</v>
      </c>
      <c r="U8" s="1021">
        <f>S8+T8</f>
        <v>585076</v>
      </c>
      <c r="V8" s="1034" t="s">
        <v>567</v>
      </c>
    </row>
    <row r="9" spans="1:24" s="218" customFormat="1" ht="8.1" customHeight="1">
      <c r="A9" s="170"/>
      <c r="B9" s="1023">
        <f>(B8/S8)*100</f>
        <v>14.370680247362678</v>
      </c>
      <c r="C9" s="1023">
        <f>(C8/S8)*100</f>
        <v>3.4357948344852671</v>
      </c>
      <c r="D9" s="1023">
        <f>(D8/S8)*100</f>
        <v>1.4307020734812659</v>
      </c>
      <c r="E9" s="1023">
        <f>(E8/S8)*100</f>
        <v>15.934157875591124</v>
      </c>
      <c r="F9" s="1023">
        <f>(F8/S8)*100</f>
        <v>1.0403783193888687</v>
      </c>
      <c r="G9" s="1023">
        <f>(G8/S8)*100</f>
        <v>6.0954892688250268</v>
      </c>
      <c r="H9" s="1023">
        <f>(H8/S8)*100</f>
        <v>13.272280829392507</v>
      </c>
      <c r="I9" s="1023">
        <f>(I8/S8)*100</f>
        <v>0.74008730447435422</v>
      </c>
      <c r="J9" s="1023">
        <f>(J8/S8)*100</f>
        <v>9.663877773735905</v>
      </c>
      <c r="K9" s="1023">
        <f>(K8/S8)*100</f>
        <v>2.9583484903601307</v>
      </c>
      <c r="L9" s="1023">
        <f>(L8/S8)*100</f>
        <v>7.5185522008002907</v>
      </c>
      <c r="M9" s="1023">
        <f>(M8/S8)*100</f>
        <v>3.1160421971626042</v>
      </c>
      <c r="N9" s="1023">
        <f>(N8/S8)*100</f>
        <v>2.1558748635867588</v>
      </c>
      <c r="O9" s="1023">
        <f>(O8/S8)*100</f>
        <v>1.9012368133866859</v>
      </c>
      <c r="P9" s="1023">
        <f>(P8/S8)*100</f>
        <v>11.557657329938159</v>
      </c>
      <c r="Q9" s="1023">
        <f>(Q8/S8)*100</f>
        <v>95.191160421971617</v>
      </c>
      <c r="R9" s="1023">
        <f>(R8/S8)*100</f>
        <v>4.8088395780283744</v>
      </c>
      <c r="S9" s="1023">
        <f>(S8/S8)*100</f>
        <v>100</v>
      </c>
      <c r="T9" s="1024"/>
      <c r="U9" s="1024"/>
      <c r="V9" s="272"/>
    </row>
    <row r="10" spans="1:24" s="30" customFormat="1" ht="8.1" customHeight="1">
      <c r="A10" s="1025" t="s">
        <v>330</v>
      </c>
      <c r="B10" s="1021">
        <v>89986</v>
      </c>
      <c r="C10" s="1021">
        <v>20635</v>
      </c>
      <c r="D10" s="1021">
        <v>9110</v>
      </c>
      <c r="E10" s="1021">
        <v>101371</v>
      </c>
      <c r="F10" s="1021">
        <v>6441</v>
      </c>
      <c r="G10" s="1021">
        <v>38532</v>
      </c>
      <c r="H10" s="1021">
        <v>86149</v>
      </c>
      <c r="I10" s="1021">
        <v>4826</v>
      </c>
      <c r="J10" s="1021">
        <v>59620</v>
      </c>
      <c r="K10" s="1021">
        <v>18702</v>
      </c>
      <c r="L10" s="1021">
        <v>45118</v>
      </c>
      <c r="M10" s="1021">
        <v>19664</v>
      </c>
      <c r="N10" s="1021">
        <v>14332</v>
      </c>
      <c r="O10" s="1021">
        <v>12164</v>
      </c>
      <c r="P10" s="1021">
        <v>72200</v>
      </c>
      <c r="Q10" s="1022">
        <f>SUM(B10:P10)</f>
        <v>598850</v>
      </c>
      <c r="R10" s="1021">
        <v>29832</v>
      </c>
      <c r="S10" s="1021">
        <f>Q10+R10</f>
        <v>628682</v>
      </c>
      <c r="T10" s="1021">
        <v>48390</v>
      </c>
      <c r="U10" s="1021">
        <f>S10+T10</f>
        <v>677072</v>
      </c>
      <c r="V10" s="1034" t="s">
        <v>330</v>
      </c>
    </row>
    <row r="11" spans="1:24" s="218" customFormat="1" ht="8.1" customHeight="1">
      <c r="A11" s="170"/>
      <c r="B11" s="1023">
        <f>(B10/S10)*100</f>
        <v>14.313436681820061</v>
      </c>
      <c r="C11" s="1023">
        <f>(C10/S10)*100</f>
        <v>3.2822635290973818</v>
      </c>
      <c r="D11" s="1023">
        <f>(D10/S10)*100</f>
        <v>1.4490632784142061</v>
      </c>
      <c r="E11" s="1023">
        <f>(E10/S10)*100</f>
        <v>16.124368122516628</v>
      </c>
      <c r="F11" s="1023">
        <f>(F10/S10)*100</f>
        <v>1.0245243223123932</v>
      </c>
      <c r="G11" s="1023">
        <f>(G10/S10)*100</f>
        <v>6.1290127600281217</v>
      </c>
      <c r="H11" s="1023">
        <f>(H10/S10)*100</f>
        <v>13.703112225258558</v>
      </c>
      <c r="I11" s="1023">
        <f>(I10/S10)*100</f>
        <v>0.76763769282403505</v>
      </c>
      <c r="J11" s="1023">
        <f>(J10/S10)*100</f>
        <v>9.4833317957250252</v>
      </c>
      <c r="K11" s="1023">
        <f>(K10/S10)*100</f>
        <v>2.9747948883537307</v>
      </c>
      <c r="L11" s="1023">
        <f>(L10/S10)*100</f>
        <v>7.1766012069695018</v>
      </c>
      <c r="M11" s="1023">
        <f>(M10/S10)*100</f>
        <v>3.1278134255474148</v>
      </c>
      <c r="N11" s="1023">
        <f>(N10/S10)*100</f>
        <v>2.2796898909146437</v>
      </c>
      <c r="O11" s="1023">
        <f>(O10/S10)*100</f>
        <v>1.9348414619791883</v>
      </c>
      <c r="P11" s="1023">
        <f>(P10/S10)*100</f>
        <v>11.484343435950132</v>
      </c>
      <c r="Q11" s="1023">
        <f>(Q10/S10)*100</f>
        <v>95.25483471771102</v>
      </c>
      <c r="R11" s="1023">
        <f>(R10/S10)*100</f>
        <v>4.7451652822889798</v>
      </c>
      <c r="S11" s="1023">
        <f>(S10/S10)*100</f>
        <v>100</v>
      </c>
      <c r="T11" s="1024"/>
      <c r="U11" s="1024"/>
      <c r="V11" s="272"/>
    </row>
    <row r="12" spans="1:24" s="30" customFormat="1" ht="8.1" customHeight="1">
      <c r="A12" s="1025" t="s">
        <v>85</v>
      </c>
      <c r="B12" s="1021">
        <v>97807</v>
      </c>
      <c r="C12" s="1021">
        <v>22793</v>
      </c>
      <c r="D12" s="1021">
        <v>10963</v>
      </c>
      <c r="E12" s="1021">
        <v>116197</v>
      </c>
      <c r="F12" s="1021">
        <v>7012</v>
      </c>
      <c r="G12" s="1021">
        <v>44180</v>
      </c>
      <c r="H12" s="1021">
        <v>96094</v>
      </c>
      <c r="I12" s="1021">
        <v>5790</v>
      </c>
      <c r="J12" s="1021">
        <v>67185</v>
      </c>
      <c r="K12" s="1021">
        <v>20003</v>
      </c>
      <c r="L12" s="1021">
        <v>49448</v>
      </c>
      <c r="M12" s="1021">
        <v>22464</v>
      </c>
      <c r="N12" s="1021">
        <v>16250</v>
      </c>
      <c r="O12" s="1021">
        <v>13368</v>
      </c>
      <c r="P12" s="1021">
        <v>85366</v>
      </c>
      <c r="Q12" s="1022">
        <f>SUM(B12:P12)</f>
        <v>674920</v>
      </c>
      <c r="R12" s="1021">
        <v>30152</v>
      </c>
      <c r="S12" s="1021">
        <f>Q12+R12</f>
        <v>705072</v>
      </c>
      <c r="T12" s="1021">
        <v>55901</v>
      </c>
      <c r="U12" s="1021">
        <f>S12+T12</f>
        <v>760973</v>
      </c>
      <c r="V12" s="1034" t="s">
        <v>85</v>
      </c>
    </row>
    <row r="13" spans="1:24" s="218" customFormat="1" ht="8.1" customHeight="1">
      <c r="A13" s="170"/>
      <c r="B13" s="1023">
        <f>(B12/S12)*100</f>
        <v>13.871916626954411</v>
      </c>
      <c r="C13" s="1023">
        <f>(C12/S12)*100</f>
        <v>3.2327194953139538</v>
      </c>
      <c r="D13" s="1023">
        <f>(D12/S12)*100</f>
        <v>1.5548766650781765</v>
      </c>
      <c r="E13" s="1023">
        <f>(E12/S12)*100</f>
        <v>16.480160891369959</v>
      </c>
      <c r="F13" s="1023">
        <f>(F12/S12)*100</f>
        <v>0.99450836226654871</v>
      </c>
      <c r="G13" s="1023">
        <f>(G12/S12)*100</f>
        <v>6.266026732021694</v>
      </c>
      <c r="H13" s="1023">
        <f>(H12/S12)*100</f>
        <v>13.628962715864478</v>
      </c>
      <c r="I13" s="1023">
        <f>(I12/S12)*100</f>
        <v>0.82119272925318265</v>
      </c>
      <c r="J13" s="1023">
        <f>(J12/S12)*100</f>
        <v>9.5288140785621902</v>
      </c>
      <c r="K13" s="1023">
        <f>(K12/S12)*100</f>
        <v>2.8370152268137154</v>
      </c>
      <c r="L13" s="1023">
        <f>(L12/S12)*100</f>
        <v>7.0131844691038641</v>
      </c>
      <c r="M13" s="1023">
        <f>(M12/S12)*100</f>
        <v>3.1860575941180476</v>
      </c>
      <c r="N13" s="1023">
        <f>(N12/S12)*100</f>
        <v>2.3047291624117823</v>
      </c>
      <c r="O13" s="1023">
        <f>(O12/S12)*100</f>
        <v>1.8959765811151201</v>
      </c>
      <c r="P13" s="1023">
        <f>(P12/S12)*100</f>
        <v>12.10741598021195</v>
      </c>
      <c r="Q13" s="1023">
        <f>(Q12/S12)*100</f>
        <v>95.723557310459071</v>
      </c>
      <c r="R13" s="1023">
        <f>(R12/S12)*100</f>
        <v>4.276442689540926</v>
      </c>
      <c r="S13" s="1023">
        <f>(S12/S12)*100</f>
        <v>100</v>
      </c>
      <c r="T13" s="1024"/>
      <c r="U13" s="1024"/>
      <c r="V13" s="272"/>
    </row>
    <row r="14" spans="1:24" s="30" customFormat="1" ht="8.1" customHeight="1">
      <c r="A14" s="1026" t="s">
        <v>81</v>
      </c>
      <c r="B14" s="1027">
        <v>110990</v>
      </c>
      <c r="C14" s="1027">
        <v>24601</v>
      </c>
      <c r="D14" s="1027">
        <v>12645</v>
      </c>
      <c r="E14" s="1027">
        <v>128573</v>
      </c>
      <c r="F14" s="1027">
        <v>8346</v>
      </c>
      <c r="G14" s="1027">
        <v>49474</v>
      </c>
      <c r="H14" s="1027">
        <v>106606</v>
      </c>
      <c r="I14" s="1027">
        <v>7028</v>
      </c>
      <c r="J14" s="1027">
        <v>80454</v>
      </c>
      <c r="K14" s="1027">
        <v>23448</v>
      </c>
      <c r="L14" s="1027">
        <v>54432</v>
      </c>
      <c r="M14" s="1027">
        <v>25426</v>
      </c>
      <c r="N14" s="1027">
        <v>18257</v>
      </c>
      <c r="O14" s="1027">
        <v>15326</v>
      </c>
      <c r="P14" s="1027">
        <v>95692</v>
      </c>
      <c r="Q14" s="1022">
        <f>SUM(B14:P14)</f>
        <v>761298</v>
      </c>
      <c r="R14" s="1027">
        <v>36241</v>
      </c>
      <c r="S14" s="1021">
        <f>Q14+R14</f>
        <v>797539</v>
      </c>
      <c r="T14" s="1027">
        <v>64604</v>
      </c>
      <c r="U14" s="1021">
        <f>S14+T14</f>
        <v>862143</v>
      </c>
      <c r="V14" s="1066" t="s">
        <v>81</v>
      </c>
    </row>
    <row r="15" spans="1:24" s="218" customFormat="1" ht="8.1" customHeight="1">
      <c r="A15" s="170"/>
      <c r="B15" s="1023">
        <f>(B14/S14)*100</f>
        <v>13.916560820223211</v>
      </c>
      <c r="C15" s="1023">
        <f>(C14/S14)*100</f>
        <v>3.0846140439527097</v>
      </c>
      <c r="D15" s="1023">
        <f>(D14/S14)*100</f>
        <v>1.5855024017634247</v>
      </c>
      <c r="E15" s="1023">
        <f>(E14/S14)*100</f>
        <v>16.121217896554274</v>
      </c>
      <c r="F15" s="1023">
        <f>(F14/S14)*100</f>
        <v>1.0464692008792047</v>
      </c>
      <c r="G15" s="1023">
        <f>(G14/S14)*100</f>
        <v>6.2033330031509433</v>
      </c>
      <c r="H15" s="1023">
        <f>(H14/S14)*100</f>
        <v>13.366869833324765</v>
      </c>
      <c r="I15" s="1023">
        <f>(I14/S14)*100</f>
        <v>0.8812108247997904</v>
      </c>
      <c r="J15" s="1023">
        <f>(J14/S14)*100</f>
        <v>10.08778254104188</v>
      </c>
      <c r="K15" s="1023">
        <f>(K14/S14)*100</f>
        <v>2.9400443113126755</v>
      </c>
      <c r="L15" s="1023">
        <f>(L14/S14)*100</f>
        <v>6.8249953920748698</v>
      </c>
      <c r="M15" s="1023">
        <f>(M14/S14)*100</f>
        <v>3.1880572611496114</v>
      </c>
      <c r="N15" s="1023">
        <f>(N14/S14)*100</f>
        <v>2.289167050137987</v>
      </c>
      <c r="O15" s="1023">
        <f>(O14/S14)*100</f>
        <v>1.9216615112239026</v>
      </c>
      <c r="P15" s="1023">
        <f>(P14/S14)*100</f>
        <v>11.998410109098113</v>
      </c>
      <c r="Q15" s="1023">
        <f>(Q14/S14)*100</f>
        <v>95.455896200687363</v>
      </c>
      <c r="R15" s="1023">
        <f>(R14/S14)*100</f>
        <v>4.5441037993126354</v>
      </c>
      <c r="S15" s="1023">
        <f>(S14/S14)*100</f>
        <v>100</v>
      </c>
      <c r="T15" s="1024"/>
      <c r="U15" s="1024"/>
      <c r="V15" s="272"/>
    </row>
    <row r="16" spans="1:24" s="30" customFormat="1" ht="8.1" customHeight="1">
      <c r="A16" s="1025" t="s">
        <v>189</v>
      </c>
      <c r="B16" s="1021">
        <v>125469</v>
      </c>
      <c r="C16" s="1021">
        <v>28482</v>
      </c>
      <c r="D16" s="1021">
        <v>14208</v>
      </c>
      <c r="E16" s="1021">
        <v>146503</v>
      </c>
      <c r="F16" s="1021">
        <v>11589</v>
      </c>
      <c r="G16" s="1021">
        <v>57072</v>
      </c>
      <c r="H16" s="1021">
        <v>121332</v>
      </c>
      <c r="I16" s="1021">
        <v>8228</v>
      </c>
      <c r="J16" s="1021">
        <v>94571</v>
      </c>
      <c r="K16" s="1021">
        <v>27545</v>
      </c>
      <c r="L16" s="1021">
        <v>60119</v>
      </c>
      <c r="M16" s="1021">
        <v>30282</v>
      </c>
      <c r="N16" s="1021">
        <v>21392</v>
      </c>
      <c r="O16" s="1021">
        <v>17731</v>
      </c>
      <c r="P16" s="1021">
        <v>104608</v>
      </c>
      <c r="Q16" s="1022">
        <f>SUM(B16:P16)</f>
        <v>869131</v>
      </c>
      <c r="R16" s="1021">
        <v>46698</v>
      </c>
      <c r="S16" s="1021">
        <f>Q16+R16</f>
        <v>915829</v>
      </c>
      <c r="T16" s="1021">
        <v>72513</v>
      </c>
      <c r="U16" s="1021">
        <f>S16+T16</f>
        <v>988342</v>
      </c>
      <c r="V16" s="1034" t="s">
        <v>189</v>
      </c>
    </row>
    <row r="17" spans="1:22" s="218" customFormat="1" ht="8.1" customHeight="1">
      <c r="A17" s="170"/>
      <c r="B17" s="1023">
        <f>(B16/S16)*100</f>
        <v>13.700046624424427</v>
      </c>
      <c r="C17" s="1023">
        <f>(C16/S16)*100</f>
        <v>3.109969219144622</v>
      </c>
      <c r="D17" s="1023">
        <f>(D16/S16)*100</f>
        <v>1.5513813168178776</v>
      </c>
      <c r="E17" s="1023">
        <f>(E16/S16)*100</f>
        <v>15.996763587962381</v>
      </c>
      <c r="F17" s="1023">
        <f>(F16/S16)*100</f>
        <v>1.2654109009432983</v>
      </c>
      <c r="G17" s="1023">
        <f>(G16/S16)*100</f>
        <v>6.2317310327582991</v>
      </c>
      <c r="H17" s="1023">
        <f>(H16/S16)*100</f>
        <v>13.248324741845913</v>
      </c>
      <c r="I17" s="1023">
        <f>(I16/S16)*100</f>
        <v>0.89842099343873139</v>
      </c>
      <c r="J17" s="1023">
        <f>(J16/S16)*100</f>
        <v>10.326272699379469</v>
      </c>
      <c r="K17" s="1023">
        <f>(K16/S16)*100</f>
        <v>3.0076575430566188</v>
      </c>
      <c r="L17" s="1023">
        <f>(L16/S16)*100</f>
        <v>6.5644350637509845</v>
      </c>
      <c r="M17" s="1023">
        <f>(M16/S16)*100</f>
        <v>3.3065124602955356</v>
      </c>
      <c r="N17" s="1023">
        <f>(N16/S16)*100</f>
        <v>2.3358072303890793</v>
      </c>
      <c r="O17" s="1023">
        <f>(O16/S16)*100</f>
        <v>1.9360601160260269</v>
      </c>
      <c r="P17" s="1023">
        <f>(P16/S16)*100</f>
        <v>11.422219650174869</v>
      </c>
      <c r="Q17" s="1023">
        <f>(Q16/S16)*100</f>
        <v>94.901013180408128</v>
      </c>
      <c r="R17" s="1023">
        <f>(R16/S16)*100</f>
        <v>5.0989868195918673</v>
      </c>
      <c r="S17" s="1023">
        <f>(S16/S16)*100</f>
        <v>100</v>
      </c>
      <c r="T17" s="1024"/>
      <c r="U17" s="1024"/>
      <c r="V17" s="272"/>
    </row>
    <row r="18" spans="1:22" s="30" customFormat="1" ht="8.1" customHeight="1">
      <c r="A18" s="1025" t="s">
        <v>705</v>
      </c>
      <c r="B18" s="1021">
        <v>138879</v>
      </c>
      <c r="C18" s="1021">
        <v>31827</v>
      </c>
      <c r="D18" s="1021">
        <v>16650</v>
      </c>
      <c r="E18" s="1021">
        <v>167928</v>
      </c>
      <c r="F18" s="1021">
        <v>14189</v>
      </c>
      <c r="G18" s="1021">
        <v>68305</v>
      </c>
      <c r="H18" s="1021">
        <v>137396</v>
      </c>
      <c r="I18" s="1021">
        <v>9755</v>
      </c>
      <c r="J18" s="1021">
        <v>112702</v>
      </c>
      <c r="K18" s="1021">
        <v>36316</v>
      </c>
      <c r="L18" s="1021">
        <v>68715</v>
      </c>
      <c r="M18" s="1021">
        <v>33499</v>
      </c>
      <c r="N18" s="1021">
        <v>25048</v>
      </c>
      <c r="O18" s="1021">
        <v>20133</v>
      </c>
      <c r="P18" s="1021">
        <v>117293</v>
      </c>
      <c r="Q18" s="1022">
        <f>SUM(B18:P18)</f>
        <v>998635</v>
      </c>
      <c r="R18" s="1021">
        <v>56569</v>
      </c>
      <c r="S18" s="1021">
        <f>Q18+R18</f>
        <v>1055204</v>
      </c>
      <c r="T18" s="1021">
        <v>89302</v>
      </c>
      <c r="U18" s="1021">
        <f>S18+T18</f>
        <v>1144506</v>
      </c>
      <c r="V18" s="1034" t="s">
        <v>705</v>
      </c>
    </row>
    <row r="19" spans="1:22" s="218" customFormat="1" ht="8.1" customHeight="1">
      <c r="A19" s="170"/>
      <c r="B19" s="1023">
        <f>(B18/S18)*100</f>
        <v>13.161341314096612</v>
      </c>
      <c r="C19" s="1023">
        <f>(C18/S18)*100</f>
        <v>3.0161940250416035</v>
      </c>
      <c r="D19" s="1023">
        <f>(D18/S18)*100</f>
        <v>1.5778939427826277</v>
      </c>
      <c r="E19" s="1023">
        <f>(E18/S18)*100</f>
        <v>15.914268710126194</v>
      </c>
      <c r="F19" s="1023">
        <f>(F18/S18)*100</f>
        <v>1.344668898146709</v>
      </c>
      <c r="G19" s="1023">
        <f>(G18/S18)*100</f>
        <v>6.473155901607651</v>
      </c>
      <c r="H19" s="1023">
        <f>(H18/S18)*100</f>
        <v>13.02079976952324</v>
      </c>
      <c r="I19" s="1023">
        <f>(I18/S18)*100</f>
        <v>0.92446579050117317</v>
      </c>
      <c r="J19" s="1023">
        <f>(J18/S18)*100</f>
        <v>10.68058877714641</v>
      </c>
      <c r="K19" s="1023">
        <f>(K18/S18)*100</f>
        <v>3.441609394960595</v>
      </c>
      <c r="L19" s="1023">
        <f>(L18/S18)*100</f>
        <v>6.5120109476461421</v>
      </c>
      <c r="M19" s="1023">
        <f>(M18/S18)*100</f>
        <v>3.17464679815467</v>
      </c>
      <c r="N19" s="1023">
        <f>(N18/S18)*100</f>
        <v>2.3737590077368926</v>
      </c>
      <c r="O19" s="1023">
        <f>(O18/S18)*100</f>
        <v>1.9079722972998585</v>
      </c>
      <c r="P19" s="1023">
        <f>(P18/S18)*100</f>
        <v>11.115670524372538</v>
      </c>
      <c r="Q19" s="1023">
        <f>(Q18/S18)*100</f>
        <v>94.639046099142917</v>
      </c>
      <c r="R19" s="1023">
        <f>(R18/S18)*100</f>
        <v>5.3609539008570861</v>
      </c>
      <c r="S19" s="1023">
        <f>(S18/S18)*100</f>
        <v>100</v>
      </c>
      <c r="T19" s="1024"/>
      <c r="U19" s="1024"/>
      <c r="V19" s="272"/>
    </row>
    <row r="20" spans="1:22" s="30" customFormat="1" ht="8.1" customHeight="1">
      <c r="A20" s="1025" t="s">
        <v>814</v>
      </c>
      <c r="B20" s="1021">
        <v>148758</v>
      </c>
      <c r="C20" s="1021">
        <v>36995</v>
      </c>
      <c r="D20" s="1021">
        <v>19461</v>
      </c>
      <c r="E20" s="1021">
        <v>197127</v>
      </c>
      <c r="F20" s="1021">
        <v>16381</v>
      </c>
      <c r="G20" s="1021">
        <v>82432</v>
      </c>
      <c r="H20" s="1021">
        <v>154579</v>
      </c>
      <c r="I20" s="1021">
        <v>11263</v>
      </c>
      <c r="J20" s="1021">
        <v>124281</v>
      </c>
      <c r="K20" s="1021">
        <v>42237</v>
      </c>
      <c r="L20" s="1021">
        <v>78820</v>
      </c>
      <c r="M20" s="1021">
        <v>37678</v>
      </c>
      <c r="N20" s="1021">
        <v>28429</v>
      </c>
      <c r="O20" s="1021">
        <v>23868</v>
      </c>
      <c r="P20" s="1021">
        <v>138952</v>
      </c>
      <c r="Q20" s="1022">
        <f>SUM(B20:P20)</f>
        <v>1141261</v>
      </c>
      <c r="R20" s="1021">
        <v>57662</v>
      </c>
      <c r="S20" s="1021">
        <f>Q20+R20</f>
        <v>1198923</v>
      </c>
      <c r="T20" s="1021">
        <v>96429</v>
      </c>
      <c r="U20" s="1021">
        <f>S20+T20</f>
        <v>1295352</v>
      </c>
      <c r="V20" s="1034" t="s">
        <v>814</v>
      </c>
    </row>
    <row r="21" spans="1:22" s="218" customFormat="1" ht="8.1" customHeight="1">
      <c r="A21" s="170"/>
      <c r="B21" s="1023">
        <f>(B20/S20)*100</f>
        <v>12.407635853178228</v>
      </c>
      <c r="C21" s="1023">
        <f>(C20/S20)*100</f>
        <v>3.0856860699144151</v>
      </c>
      <c r="D21" s="1023">
        <f>(D20/S20)*100</f>
        <v>1.623206828128245</v>
      </c>
      <c r="E21" s="1023">
        <f>(E20/S20)*100</f>
        <v>16.442006701014162</v>
      </c>
      <c r="F21" s="1023">
        <f>(F20/S20)*100</f>
        <v>1.3663095961959191</v>
      </c>
      <c r="G21" s="1023">
        <f>(G20/S20)*100</f>
        <v>6.8755040982615228</v>
      </c>
      <c r="H21" s="1023">
        <f>(H20/S20)*100</f>
        <v>12.893154939891888</v>
      </c>
      <c r="I21" s="1023">
        <f>(I20/S20)*100</f>
        <v>0.93942646858889178</v>
      </c>
      <c r="J21" s="1023">
        <f>(J20/S20)*100</f>
        <v>10.366053533045909</v>
      </c>
      <c r="K21" s="1023">
        <f>(K20/S20)*100</f>
        <v>3.5229118133524842</v>
      </c>
      <c r="L21" s="1023">
        <f>(L20/S20)*100</f>
        <v>6.5742337080863411</v>
      </c>
      <c r="M21" s="1023">
        <f>(M20/S20)*100</f>
        <v>3.1426538651773299</v>
      </c>
      <c r="N21" s="1023">
        <f>(N20/S20)*100</f>
        <v>2.3712114956506798</v>
      </c>
      <c r="O21" s="1023">
        <f>(O20/S20)*100</f>
        <v>1.9907867310911542</v>
      </c>
      <c r="P21" s="1023">
        <f>(P20/S20)*100</f>
        <v>11.589735120604075</v>
      </c>
      <c r="Q21" s="1023">
        <f>(Q20/S20)*100</f>
        <v>95.190516822181237</v>
      </c>
      <c r="R21" s="1023">
        <f>(R20/S20)*100</f>
        <v>4.809483177818759</v>
      </c>
      <c r="S21" s="1023">
        <f>(S20/S20)*100</f>
        <v>100</v>
      </c>
      <c r="T21" s="1024"/>
      <c r="U21" s="1024"/>
      <c r="V21" s="272"/>
    </row>
    <row r="22" spans="1:22" s="30" customFormat="1" ht="8.1" customHeight="1">
      <c r="A22" s="1028" t="s">
        <v>991</v>
      </c>
      <c r="B22" s="1021">
        <v>163968</v>
      </c>
      <c r="C22" s="1021">
        <v>42308</v>
      </c>
      <c r="D22" s="1021">
        <v>21080</v>
      </c>
      <c r="E22" s="1021">
        <v>223221</v>
      </c>
      <c r="F22" s="1021">
        <v>18401</v>
      </c>
      <c r="G22" s="1021">
        <v>90834</v>
      </c>
      <c r="H22" s="1021">
        <v>172575</v>
      </c>
      <c r="I22" s="1021">
        <v>13035</v>
      </c>
      <c r="J22" s="1021">
        <v>134317</v>
      </c>
      <c r="K22" s="1021">
        <v>48563</v>
      </c>
      <c r="L22" s="1021">
        <v>91229</v>
      </c>
      <c r="M22" s="1021">
        <v>44728</v>
      </c>
      <c r="N22" s="1021">
        <v>32767</v>
      </c>
      <c r="O22" s="1021">
        <v>26924</v>
      </c>
      <c r="P22" s="1021">
        <v>156551</v>
      </c>
      <c r="Q22" s="1022">
        <f>SUM(B22:P22)</f>
        <v>1280501</v>
      </c>
      <c r="R22" s="1021">
        <v>63173</v>
      </c>
      <c r="S22" s="1021">
        <f>Q22+R22</f>
        <v>1343674</v>
      </c>
      <c r="T22" s="1021">
        <v>89549</v>
      </c>
      <c r="U22" s="1021">
        <f>S22+T22</f>
        <v>1433223</v>
      </c>
      <c r="V22" s="1034" t="s">
        <v>991</v>
      </c>
    </row>
    <row r="23" spans="1:22" s="218" customFormat="1" ht="8.1" customHeight="1">
      <c r="A23" s="170"/>
      <c r="B23" s="1023">
        <f>(B22/S22)*100</f>
        <v>12.20295994415312</v>
      </c>
      <c r="C23" s="1023">
        <f>(C22/S22)*100</f>
        <v>3.1486804090873233</v>
      </c>
      <c r="D23" s="1023">
        <f>(D22/S22)*100</f>
        <v>1.5688329163174994</v>
      </c>
      <c r="E23" s="1023">
        <f>(E22/S22)*100</f>
        <v>16.612734934217674</v>
      </c>
      <c r="F23" s="1023">
        <f>(F22/S22)*100</f>
        <v>1.3694541979676618</v>
      </c>
      <c r="G23" s="1023">
        <f>(G22/S22)*100</f>
        <v>6.7601218747999887</v>
      </c>
      <c r="H23" s="1023">
        <f>(H22/S22)*100</f>
        <v>12.843517103106855</v>
      </c>
      <c r="I23" s="1023">
        <f>(I22/S22)*100</f>
        <v>0.9701013787570496</v>
      </c>
      <c r="J23" s="1023">
        <f>(J22/S22)*100</f>
        <v>9.9962490901811005</v>
      </c>
      <c r="K23" s="1023">
        <f>(K22/S22)*100</f>
        <v>3.6141951098257463</v>
      </c>
      <c r="L23" s="1023">
        <f>(L22/S22)*100</f>
        <v>6.7895188862774747</v>
      </c>
      <c r="M23" s="1023">
        <f>(M22/S22)*100</f>
        <v>3.3287836186455944</v>
      </c>
      <c r="N23" s="1023">
        <f>(N22/S22)*100</f>
        <v>2.4386123419817602</v>
      </c>
      <c r="O23" s="1023">
        <f>(O22/S22)*100</f>
        <v>2.0037598405565635</v>
      </c>
      <c r="P23" s="1023">
        <f>(P22/S22)*100</f>
        <v>11.650965933701181</v>
      </c>
      <c r="Q23" s="1023">
        <f>(Q22/S22)*100</f>
        <v>95.298487579576602</v>
      </c>
      <c r="R23" s="1023">
        <f>(R22/S22)*100</f>
        <v>4.7015124204234064</v>
      </c>
      <c r="S23" s="1023">
        <f>(S22/S22)*100</f>
        <v>100</v>
      </c>
      <c r="T23" s="1024"/>
      <c r="U23" s="1024"/>
      <c r="V23" s="272"/>
    </row>
    <row r="24" spans="1:22" s="218" customFormat="1" ht="8.1" customHeight="1">
      <c r="A24" s="1029" t="s">
        <v>1042</v>
      </c>
      <c r="B24" s="1021">
        <v>176500</v>
      </c>
      <c r="C24" s="1021">
        <v>47581</v>
      </c>
      <c r="D24" s="1021">
        <v>23876</v>
      </c>
      <c r="E24" s="1021">
        <v>254483</v>
      </c>
      <c r="F24" s="1021">
        <v>19868</v>
      </c>
      <c r="G24" s="1021">
        <v>108484</v>
      </c>
      <c r="H24" s="1021">
        <v>192585</v>
      </c>
      <c r="I24" s="1021">
        <v>14928</v>
      </c>
      <c r="J24" s="1021">
        <v>150025</v>
      </c>
      <c r="K24" s="1021">
        <v>55761</v>
      </c>
      <c r="L24" s="1021">
        <v>106061</v>
      </c>
      <c r="M24" s="1021">
        <v>50674</v>
      </c>
      <c r="N24" s="1021">
        <v>37624</v>
      </c>
      <c r="O24" s="1021">
        <v>30135</v>
      </c>
      <c r="P24" s="1021">
        <v>176402</v>
      </c>
      <c r="Q24" s="1022">
        <f>SUM(B24:P24)</f>
        <v>1444987</v>
      </c>
      <c r="R24" s="1021">
        <v>70815</v>
      </c>
      <c r="S24" s="1021">
        <f>Q24+R24</f>
        <v>1515802</v>
      </c>
      <c r="T24" s="1021">
        <v>98402</v>
      </c>
      <c r="U24" s="1021">
        <f>S24+T24</f>
        <v>1614204</v>
      </c>
      <c r="V24" s="1067" t="s">
        <v>1042</v>
      </c>
    </row>
    <row r="25" spans="1:22" s="170" customFormat="1" ht="8.1" customHeight="1">
      <c r="B25" s="1023">
        <f>(B24/S24)*100</f>
        <v>11.644000997491757</v>
      </c>
      <c r="C25" s="1023">
        <f>(C24/S24)*100</f>
        <v>3.1389983652218429</v>
      </c>
      <c r="D25" s="1023">
        <f>(D24/S24)*100</f>
        <v>1.5751397609978086</v>
      </c>
      <c r="E25" s="1023">
        <f>(E24/S24)*100</f>
        <v>16.788670288071923</v>
      </c>
      <c r="F25" s="1023">
        <f>(F24/S24)*100</f>
        <v>1.3107252794230382</v>
      </c>
      <c r="G25" s="1023">
        <f>(G24/S24)*100</f>
        <v>7.1568714119654153</v>
      </c>
      <c r="H25" s="1023">
        <f>(H24/S24)*100</f>
        <v>12.705155422673938</v>
      </c>
      <c r="I25" s="1023">
        <f>(I24/S24)*100</f>
        <v>0.9848251948473481</v>
      </c>
      <c r="J25" s="1023">
        <f>(J24/S24)*100</f>
        <v>9.8974008478679938</v>
      </c>
      <c r="K25" s="1023">
        <f>(K24/S24)*100</f>
        <v>3.6786466834058804</v>
      </c>
      <c r="L25" s="1023">
        <f>(L24/S24)*100</f>
        <v>6.9970220384984323</v>
      </c>
      <c r="M25" s="1023">
        <f>(M24/S24)*100</f>
        <v>3.3430487623053673</v>
      </c>
      <c r="N25" s="1023">
        <f>(N24/S24)*100</f>
        <v>2.4821183769384128</v>
      </c>
      <c r="O25" s="1023">
        <f>(O24/S24)*100</f>
        <v>1.9880564875887483</v>
      </c>
      <c r="P25" s="1023">
        <f>(P24/S24)*100</f>
        <v>11.637535773141874</v>
      </c>
      <c r="Q25" s="1023">
        <f>(Q24/S24)*100</f>
        <v>95.328215690439777</v>
      </c>
      <c r="R25" s="1023">
        <f>(R24/S24)*100</f>
        <v>4.6717843095602198</v>
      </c>
      <c r="S25" s="1023">
        <f>(S24/S24)*100</f>
        <v>100</v>
      </c>
      <c r="T25" s="1024"/>
      <c r="U25" s="1024"/>
      <c r="V25" s="272"/>
    </row>
    <row r="26" spans="1:22" s="62" customFormat="1" ht="8.1" customHeight="1">
      <c r="A26" s="1029" t="s">
        <v>1163</v>
      </c>
      <c r="B26" s="1021">
        <v>190315</v>
      </c>
      <c r="C26" s="1021">
        <v>53076</v>
      </c>
      <c r="D26" s="1021">
        <v>28578</v>
      </c>
      <c r="E26" s="1021">
        <v>295111</v>
      </c>
      <c r="F26" s="1021">
        <v>23829</v>
      </c>
      <c r="G26" s="1021">
        <v>126353</v>
      </c>
      <c r="H26" s="1021">
        <v>214257</v>
      </c>
      <c r="I26" s="1021">
        <v>17058</v>
      </c>
      <c r="J26" s="1021">
        <v>169165</v>
      </c>
      <c r="K26" s="1021">
        <v>63601</v>
      </c>
      <c r="L26" s="1021">
        <v>123740</v>
      </c>
      <c r="M26" s="1021">
        <v>66711</v>
      </c>
      <c r="N26" s="1021">
        <v>46512</v>
      </c>
      <c r="O26" s="1021">
        <v>34758</v>
      </c>
      <c r="P26" s="1021">
        <v>194248</v>
      </c>
      <c r="Q26" s="1022">
        <f>SUM(B26:P26)</f>
        <v>1647312</v>
      </c>
      <c r="R26" s="1021">
        <v>85552</v>
      </c>
      <c r="S26" s="1021">
        <f>Q26+R26</f>
        <v>1732864</v>
      </c>
      <c r="T26" s="1021">
        <v>99811</v>
      </c>
      <c r="U26" s="1021">
        <f>S26+T26</f>
        <v>1832675</v>
      </c>
      <c r="V26" s="1067" t="s">
        <v>1163</v>
      </c>
    </row>
    <row r="27" spans="1:22" s="170" customFormat="1" ht="8.1" customHeight="1">
      <c r="B27" s="1023">
        <f>(B26/S26)*100</f>
        <v>10.982685311715173</v>
      </c>
      <c r="C27" s="1023">
        <f>(C26/S26)*100</f>
        <v>3.0629062638499041</v>
      </c>
      <c r="D27" s="1023">
        <f>(D26/S26)*100</f>
        <v>1.6491773157039444</v>
      </c>
      <c r="E27" s="1023">
        <f>(E26/S26)*100</f>
        <v>17.030245881961886</v>
      </c>
      <c r="F27" s="1023">
        <f>(F26/S26)*100</f>
        <v>1.375122340818437</v>
      </c>
      <c r="G27" s="1023">
        <f>(G26/S26)*100</f>
        <v>7.2915704867779585</v>
      </c>
      <c r="H27" s="1023">
        <f>(H26/S26)*100</f>
        <v>12.364328648988034</v>
      </c>
      <c r="I27" s="1023">
        <f>(I26/S26)*100</f>
        <v>0.98438192495198706</v>
      </c>
      <c r="J27" s="1023">
        <f>(J26/S26)*100</f>
        <v>9.7621625240065004</v>
      </c>
      <c r="K27" s="1023">
        <f>(K26/S26)*100</f>
        <v>3.6702822610429906</v>
      </c>
      <c r="L27" s="1023">
        <f>(L26/S26)*100</f>
        <v>7.1407796572610422</v>
      </c>
      <c r="M27" s="1023">
        <f>(M26/S26)*100</f>
        <v>3.8497539333727286</v>
      </c>
      <c r="N27" s="1023">
        <f>(N26/S26)*100</f>
        <v>2.6841113901610281</v>
      </c>
      <c r="O27" s="1023">
        <f>(O26/S26)*100</f>
        <v>2.0058123430344215</v>
      </c>
      <c r="P27" s="1023">
        <f>(P26/S26)*100</f>
        <v>11.209650613089082</v>
      </c>
      <c r="Q27" s="1023">
        <f>(Q26/S26)*100</f>
        <v>95.062970896735109</v>
      </c>
      <c r="R27" s="1023">
        <f>(R26/S26)*100</f>
        <v>4.9370291032648836</v>
      </c>
      <c r="S27" s="1023">
        <f>(S26/S26)*100</f>
        <v>100</v>
      </c>
      <c r="T27" s="1024"/>
      <c r="U27" s="1024"/>
      <c r="V27" s="272"/>
    </row>
    <row r="28" spans="1:22" s="62" customFormat="1" ht="8.1" customHeight="1">
      <c r="A28" s="1025" t="s">
        <v>1187</v>
      </c>
      <c r="B28" s="1021">
        <v>205398</v>
      </c>
      <c r="C28" s="1021">
        <v>59627</v>
      </c>
      <c r="D28" s="1021">
        <v>34127</v>
      </c>
      <c r="E28" s="1021">
        <v>341829</v>
      </c>
      <c r="F28" s="1021">
        <v>26244</v>
      </c>
      <c r="G28" s="1021">
        <v>146107</v>
      </c>
      <c r="H28" s="1021">
        <v>243958</v>
      </c>
      <c r="I28" s="1021">
        <v>19318</v>
      </c>
      <c r="J28" s="1021">
        <v>187076</v>
      </c>
      <c r="K28" s="1021">
        <v>73205</v>
      </c>
      <c r="L28" s="1021">
        <v>144539</v>
      </c>
      <c r="M28" s="1021">
        <v>78441</v>
      </c>
      <c r="N28" s="1021">
        <v>56856</v>
      </c>
      <c r="O28" s="1021">
        <v>38987</v>
      </c>
      <c r="P28" s="1021">
        <v>214213</v>
      </c>
      <c r="Q28" s="1022">
        <f>SUM(B28:P28)</f>
        <v>1869925</v>
      </c>
      <c r="R28" s="1021">
        <v>105892</v>
      </c>
      <c r="S28" s="1021">
        <f>Q28+R28</f>
        <v>1975817</v>
      </c>
      <c r="T28" s="1021">
        <v>84901</v>
      </c>
      <c r="U28" s="1021">
        <f>S28+T28</f>
        <v>2060718</v>
      </c>
      <c r="V28" s="1034" t="s">
        <v>1187</v>
      </c>
    </row>
    <row r="29" spans="1:22" s="170" customFormat="1" ht="8.1" customHeight="1">
      <c r="B29" s="1023">
        <f>(B28/S28)*100</f>
        <v>10.395598377784987</v>
      </c>
      <c r="C29" s="1023">
        <f>(C28/S28)*100</f>
        <v>3.017840214959179</v>
      </c>
      <c r="D29" s="1023">
        <f>(D28/S28)*100</f>
        <v>1.7272348603134806</v>
      </c>
      <c r="E29" s="1023">
        <f>(E28/S28)*100</f>
        <v>17.300640696987628</v>
      </c>
      <c r="F29" s="1023">
        <f>(F28/S28)*100</f>
        <v>1.3282606638165377</v>
      </c>
      <c r="G29" s="1023">
        <f>(G28/S28)*100</f>
        <v>7.3947637863223159</v>
      </c>
      <c r="H29" s="1023">
        <f>(H28/S28)*100</f>
        <v>12.34719612190805</v>
      </c>
      <c r="I29" s="1023">
        <f>(I28/S28)*100</f>
        <v>0.97772212709982753</v>
      </c>
      <c r="J29" s="1023">
        <f>(J28/S28)*100</f>
        <v>9.4682857774783802</v>
      </c>
      <c r="K29" s="1023">
        <f>(K28/S28)*100</f>
        <v>3.7050496073269943</v>
      </c>
      <c r="L29" s="1023">
        <f>(L28/S28)*100</f>
        <v>7.315404210005279</v>
      </c>
      <c r="M29" s="1023">
        <f>(M28/S28)*100</f>
        <v>3.9700539068142442</v>
      </c>
      <c r="N29" s="1023">
        <f>(N28/S28)*100</f>
        <v>2.8775944330876797</v>
      </c>
      <c r="O29" s="1023">
        <f>(O28/S28)*100</f>
        <v>1.9732090573165428</v>
      </c>
      <c r="P29" s="1023">
        <f>(P28/S28)*100</f>
        <v>10.841742934694864</v>
      </c>
      <c r="Q29" s="1023">
        <f>(Q28/S28)*100</f>
        <v>94.640596775915981</v>
      </c>
      <c r="R29" s="1023">
        <f>(R28/S28)*100</f>
        <v>5.3594032240840122</v>
      </c>
      <c r="S29" s="1023">
        <f>(S28/S28)*100</f>
        <v>100</v>
      </c>
      <c r="T29" s="1024"/>
      <c r="U29" s="1024"/>
      <c r="V29" s="272"/>
    </row>
    <row r="30" spans="1:22" s="62" customFormat="1" ht="8.1" customHeight="1">
      <c r="A30" s="1025" t="s">
        <v>1311</v>
      </c>
      <c r="B30" s="1021">
        <v>227353</v>
      </c>
      <c r="C30" s="1021">
        <v>66882</v>
      </c>
      <c r="D30" s="1021">
        <v>38884</v>
      </c>
      <c r="E30" s="1021">
        <v>404144</v>
      </c>
      <c r="F30" s="1021">
        <v>29336</v>
      </c>
      <c r="G30" s="1021">
        <v>169855</v>
      </c>
      <c r="H30" s="1021">
        <v>279823</v>
      </c>
      <c r="I30" s="1021">
        <v>22123</v>
      </c>
      <c r="J30" s="1021">
        <v>204630</v>
      </c>
      <c r="K30" s="1021">
        <v>83728</v>
      </c>
      <c r="L30" s="1021">
        <v>166419</v>
      </c>
      <c r="M30" s="1027">
        <v>90228</v>
      </c>
      <c r="N30" s="1021">
        <v>64478</v>
      </c>
      <c r="O30" s="1021">
        <v>44064</v>
      </c>
      <c r="P30" s="1021">
        <v>236378</v>
      </c>
      <c r="Q30" s="1022">
        <f>SUM(B30:P30)</f>
        <v>2128325</v>
      </c>
      <c r="R30" s="1021">
        <v>122156</v>
      </c>
      <c r="S30" s="1021">
        <f>Q30+R30</f>
        <v>2250481</v>
      </c>
      <c r="T30" s="1021">
        <v>102628</v>
      </c>
      <c r="U30" s="1021">
        <f>S30+T30</f>
        <v>2353109</v>
      </c>
      <c r="V30" s="1034" t="s">
        <v>1311</v>
      </c>
    </row>
    <row r="31" spans="1:22" s="170" customFormat="1" ht="8.1" customHeight="1">
      <c r="B31" s="1023">
        <f>(B30/S30)*100</f>
        <v>10.102418105285048</v>
      </c>
      <c r="C31" s="1023">
        <f>(C30/S30)*100</f>
        <v>2.97189800758149</v>
      </c>
      <c r="D31" s="1023">
        <f>(D30/S30)*100</f>
        <v>1.7278084107353049</v>
      </c>
      <c r="E31" s="1023">
        <f>(E30/S30)*100</f>
        <v>17.958116509315118</v>
      </c>
      <c r="F31" s="1023">
        <f>(F30/S30)*100</f>
        <v>1.3035435535781019</v>
      </c>
      <c r="G31" s="1023">
        <f>(G30/S30)*100</f>
        <v>7.5474976238413038</v>
      </c>
      <c r="H31" s="1023">
        <f>(H30/S30)*100</f>
        <v>12.433919682059081</v>
      </c>
      <c r="I31" s="1023">
        <f>(I30/S30)*100</f>
        <v>0.98303429355768834</v>
      </c>
      <c r="J31" s="1023">
        <f>(J30/S30)*100</f>
        <v>9.0927228445830028</v>
      </c>
      <c r="K31" s="1023">
        <f>(K30/S30)*100</f>
        <v>3.7204490951045575</v>
      </c>
      <c r="L31" s="1023">
        <f>(L30/S30)*100</f>
        <v>7.3948191519946178</v>
      </c>
      <c r="M31" s="1023">
        <f>(M30/S30)*100</f>
        <v>4.0092762391684262</v>
      </c>
      <c r="N31" s="1023">
        <f>(N30/S30)*100</f>
        <v>2.8650763992230996</v>
      </c>
      <c r="O31" s="1023">
        <f>(O30/S30)*100</f>
        <v>1.9579814270815885</v>
      </c>
      <c r="P31" s="1023">
        <f>(P30/S30)*100</f>
        <v>10.503443486081419</v>
      </c>
      <c r="Q31" s="1023">
        <f>(Q30/S30)*100</f>
        <v>94.572004829189851</v>
      </c>
      <c r="R31" s="1023">
        <f>(R30/S30)*100</f>
        <v>5.427995170810151</v>
      </c>
      <c r="S31" s="1023">
        <f>(S30/S30)*100</f>
        <v>100</v>
      </c>
      <c r="T31" s="1024"/>
      <c r="U31" s="1024"/>
      <c r="V31" s="272"/>
    </row>
    <row r="32" spans="1:22" s="62" customFormat="1" ht="8.1" customHeight="1">
      <c r="A32" s="1025" t="s">
        <v>1420</v>
      </c>
      <c r="B32" s="1021">
        <v>248119</v>
      </c>
      <c r="C32" s="1021">
        <v>74275</v>
      </c>
      <c r="D32" s="1021">
        <v>43964</v>
      </c>
      <c r="E32" s="1021">
        <v>481359</v>
      </c>
      <c r="F32" s="1021">
        <v>32087</v>
      </c>
      <c r="G32" s="1021">
        <v>196403</v>
      </c>
      <c r="H32" s="1021">
        <v>322722</v>
      </c>
      <c r="I32" s="1021">
        <v>25234</v>
      </c>
      <c r="J32" s="1021">
        <v>226025</v>
      </c>
      <c r="K32" s="1021">
        <v>94202</v>
      </c>
      <c r="L32" s="1021">
        <v>190487</v>
      </c>
      <c r="M32" s="1021">
        <v>98957</v>
      </c>
      <c r="N32" s="1021">
        <v>73091</v>
      </c>
      <c r="O32" s="1021">
        <v>52006</v>
      </c>
      <c r="P32" s="1021">
        <v>260961</v>
      </c>
      <c r="Q32" s="1022">
        <f>SUM(B32:P32)</f>
        <v>2419892</v>
      </c>
      <c r="R32" s="1021">
        <v>122592</v>
      </c>
      <c r="S32" s="1021">
        <f>Q32+R32</f>
        <v>2542484</v>
      </c>
      <c r="T32" s="1021">
        <v>113610</v>
      </c>
      <c r="U32" s="1021">
        <f>S32+T32</f>
        <v>2656094</v>
      </c>
      <c r="V32" s="1034" t="s">
        <v>1420</v>
      </c>
    </row>
    <row r="33" spans="1:22" s="170" customFormat="1" ht="8.1" customHeight="1">
      <c r="B33" s="1023">
        <f>(B32/S32)*100</f>
        <v>9.7589208034347514</v>
      </c>
      <c r="C33" s="1023">
        <f>(C32/S32)*100</f>
        <v>2.921355650615697</v>
      </c>
      <c r="D33" s="1023">
        <f>(D32/S32)*100</f>
        <v>1.7291750901873915</v>
      </c>
      <c r="E33" s="1023">
        <f>(E32/S32)*100</f>
        <v>18.932626518003655</v>
      </c>
      <c r="F33" s="1023">
        <f>(F32/S32)*100</f>
        <v>1.2620335073888371</v>
      </c>
      <c r="G33" s="1023">
        <f>(G32/S32)*100</f>
        <v>7.724847039352067</v>
      </c>
      <c r="H33" s="1023">
        <f>(H32/S32)*100</f>
        <v>12.69317722353415</v>
      </c>
      <c r="I33" s="1023">
        <f>(I32/S32)*100</f>
        <v>0.9924939547308852</v>
      </c>
      <c r="J33" s="1023">
        <f>(J32/S32)*100</f>
        <v>8.8899281175417428</v>
      </c>
      <c r="K33" s="1023">
        <f>(K32/S32)*100</f>
        <v>3.7051167283648585</v>
      </c>
      <c r="L33" s="1023">
        <f>(L32/S32)*100</f>
        <v>7.4921612092740801</v>
      </c>
      <c r="M33" s="1023">
        <f>(M32/S32)*100</f>
        <v>3.892138554264255</v>
      </c>
      <c r="N33" s="1023">
        <f>(N32/S32)*100</f>
        <v>2.874787019308676</v>
      </c>
      <c r="O33" s="1023">
        <f>(O32/S32)*100</f>
        <v>2.045479932223762</v>
      </c>
      <c r="P33" s="1023">
        <f>(P32/S32)*100</f>
        <v>10.264017394013099</v>
      </c>
      <c r="Q33" s="1023">
        <f>(Q32/S32)*100</f>
        <v>95.178258742237915</v>
      </c>
      <c r="R33" s="1023">
        <f>(R32/S32)*100</f>
        <v>4.8217412577620937</v>
      </c>
      <c r="S33" s="1023">
        <f>(S32/S32)*100</f>
        <v>100</v>
      </c>
      <c r="T33" s="1024"/>
      <c r="U33" s="1024"/>
      <c r="V33" s="272"/>
    </row>
    <row r="34" spans="1:22" s="218" customFormat="1" ht="8.1" customHeight="1">
      <c r="A34" s="1020" t="s">
        <v>1502</v>
      </c>
      <c r="B34" s="1021">
        <v>270751</v>
      </c>
      <c r="C34" s="1021">
        <v>83091</v>
      </c>
      <c r="D34" s="1021">
        <v>46548</v>
      </c>
      <c r="E34" s="1021">
        <v>507100</v>
      </c>
      <c r="F34" s="1021">
        <v>33010</v>
      </c>
      <c r="G34" s="1021">
        <v>222537</v>
      </c>
      <c r="H34" s="1021">
        <v>349066</v>
      </c>
      <c r="I34" s="1021">
        <v>27262</v>
      </c>
      <c r="J34" s="1021">
        <v>241277</v>
      </c>
      <c r="K34" s="1021">
        <v>99809</v>
      </c>
      <c r="L34" s="1021">
        <v>212524</v>
      </c>
      <c r="M34" s="1021">
        <v>106897</v>
      </c>
      <c r="N34" s="1021">
        <v>81095</v>
      </c>
      <c r="O34" s="1021">
        <v>58777</v>
      </c>
      <c r="P34" s="1021">
        <v>286167</v>
      </c>
      <c r="Q34" s="1022">
        <f>SUM(B34:P34)</f>
        <v>2625911</v>
      </c>
      <c r="R34" s="1021">
        <v>113421</v>
      </c>
      <c r="S34" s="1021">
        <f>Q34+R34</f>
        <v>2739332</v>
      </c>
      <c r="T34" s="1021">
        <v>133898</v>
      </c>
      <c r="U34" s="1021">
        <f>S34+T34</f>
        <v>2873230</v>
      </c>
      <c r="V34" s="1034" t="s">
        <v>1502</v>
      </c>
    </row>
    <row r="35" spans="1:22" s="218" customFormat="1" ht="8.1" customHeight="1">
      <c r="A35" s="170"/>
      <c r="B35" s="1023">
        <f>(B34/S34)*100</f>
        <v>9.8838329928610325</v>
      </c>
      <c r="C35" s="1023">
        <f>(C34/S34)*100</f>
        <v>3.0332577431286167</v>
      </c>
      <c r="D35" s="1023">
        <f>(D34/S34)*100</f>
        <v>1.6992463856151792</v>
      </c>
      <c r="E35" s="1023">
        <f>(E34/S34)*100</f>
        <v>18.511812368854887</v>
      </c>
      <c r="F35" s="1023">
        <f>(F34/S34)*100</f>
        <v>1.2050383086095442</v>
      </c>
      <c r="G35" s="1023">
        <f>(G34/S34)*100</f>
        <v>8.123768860437508</v>
      </c>
      <c r="H35" s="1023">
        <f>(H34/S34)*100</f>
        <v>12.742741661105701</v>
      </c>
      <c r="I35" s="1023">
        <f>(I34/S34)*100</f>
        <v>0.99520613054569518</v>
      </c>
      <c r="J35" s="1023">
        <f>(J34/S34)*100</f>
        <v>8.8078772489059372</v>
      </c>
      <c r="K35" s="1023">
        <f>(K34/S34)*100</f>
        <v>3.6435525157228117</v>
      </c>
      <c r="L35" s="1023">
        <f>(L34/S34)*100</f>
        <v>7.758241790334286</v>
      </c>
      <c r="M35" s="1023">
        <f>(M34/S34)*100</f>
        <v>3.90230172903467</v>
      </c>
      <c r="N35" s="1023">
        <f>(N34/S34)*100</f>
        <v>2.9603932637591939</v>
      </c>
      <c r="O35" s="1023">
        <f>(O34/S34)*100</f>
        <v>2.1456690901285422</v>
      </c>
      <c r="P35" s="1023">
        <f>(P34/S34)*100</f>
        <v>10.446597929714251</v>
      </c>
      <c r="Q35" s="1023">
        <f>(Q34/S34)*100</f>
        <v>95.85953801875786</v>
      </c>
      <c r="R35" s="1023">
        <f>(R34/S34)*100</f>
        <v>4.1404619812421428</v>
      </c>
      <c r="S35" s="1023">
        <f>(S34/S34)*100</f>
        <v>100</v>
      </c>
      <c r="T35" s="1024"/>
      <c r="U35" s="1024"/>
      <c r="V35" s="272"/>
    </row>
    <row r="36" spans="1:22" s="30" customFormat="1" ht="9" customHeight="1">
      <c r="A36" s="1025" t="s">
        <v>1994</v>
      </c>
      <c r="B36" s="1021">
        <v>292221</v>
      </c>
      <c r="C36" s="1021">
        <v>92389</v>
      </c>
      <c r="D36" s="1021">
        <v>48718</v>
      </c>
      <c r="E36" s="1021">
        <v>559627</v>
      </c>
      <c r="F36" s="1021">
        <v>34921</v>
      </c>
      <c r="G36" s="1021">
        <v>251150</v>
      </c>
      <c r="H36" s="1021">
        <v>387606</v>
      </c>
      <c r="I36" s="1021">
        <v>30911</v>
      </c>
      <c r="J36" s="1021">
        <v>265227</v>
      </c>
      <c r="K36" s="1021">
        <v>107014</v>
      </c>
      <c r="L36" s="1021">
        <v>236065</v>
      </c>
      <c r="M36" s="1021">
        <v>117376</v>
      </c>
      <c r="N36" s="1021">
        <v>90419</v>
      </c>
      <c r="O36" s="1021">
        <v>66427</v>
      </c>
      <c r="P36" s="1021">
        <v>313313</v>
      </c>
      <c r="Q36" s="1022">
        <f>SUM(B36:P36)</f>
        <v>2893384</v>
      </c>
      <c r="R36" s="1021">
        <v>117681</v>
      </c>
      <c r="S36" s="1021">
        <f>Q36+R36</f>
        <v>3011065</v>
      </c>
      <c r="T36" s="1021">
        <v>186746</v>
      </c>
      <c r="U36" s="1021">
        <f>S36+T36</f>
        <v>3197811</v>
      </c>
      <c r="V36" s="1034" t="s">
        <v>1994</v>
      </c>
    </row>
    <row r="37" spans="1:22" s="218" customFormat="1" ht="8.1" customHeight="1">
      <c r="A37" s="170"/>
      <c r="B37" s="1023">
        <f>(B36/S36)*100</f>
        <v>9.7049050751146186</v>
      </c>
      <c r="C37" s="1023">
        <f>(C36/S36)*100</f>
        <v>3.0683163598261745</v>
      </c>
      <c r="D37" s="1023">
        <f>(D36/S36)*100</f>
        <v>1.6179657363756679</v>
      </c>
      <c r="E37" s="1023">
        <f>(E36/S36)*100</f>
        <v>18.585683138690133</v>
      </c>
      <c r="F37" s="1023">
        <f>(F36/S36)*100</f>
        <v>1.15975576747762</v>
      </c>
      <c r="G37" s="1023">
        <f>(G36/S36)*100</f>
        <v>8.3409026374389121</v>
      </c>
      <c r="H37" s="1023">
        <f>(H36/S36)*100</f>
        <v>12.872721113625909</v>
      </c>
      <c r="I37" s="1023">
        <f>(I36/S36)*100</f>
        <v>1.0265802963403314</v>
      </c>
      <c r="J37" s="1023">
        <f>(J36/S36)*100</f>
        <v>8.8084116417280924</v>
      </c>
      <c r="K37" s="1023">
        <f>(K36/S36)*100</f>
        <v>3.5540249048094283</v>
      </c>
      <c r="L37" s="1023">
        <f>(L36/S36)*100</f>
        <v>7.8399171057416561</v>
      </c>
      <c r="M37" s="1023">
        <f>(M36/S36)*100</f>
        <v>3.8981556359626914</v>
      </c>
      <c r="N37" s="1023">
        <f>(N36/S36)*100</f>
        <v>3.0028910036814218</v>
      </c>
      <c r="O37" s="1023">
        <f>(O36/S36)*100</f>
        <v>2.2060965140241078</v>
      </c>
      <c r="P37" s="1023">
        <f>(P36/S36)*100</f>
        <v>10.405388126792348</v>
      </c>
      <c r="Q37" s="1023">
        <f>(Q36/S36)*100</f>
        <v>96.091715057629116</v>
      </c>
      <c r="R37" s="1023">
        <f>(R36/S36)*100</f>
        <v>3.908284942370889</v>
      </c>
      <c r="S37" s="1023">
        <f>(S36/S36)*100</f>
        <v>100</v>
      </c>
      <c r="T37" s="1024"/>
      <c r="U37" s="1024"/>
      <c r="V37" s="272"/>
    </row>
    <row r="38" spans="1:22" s="30" customFormat="1" ht="8.1" customHeight="1">
      <c r="A38" s="1030" t="s">
        <v>1983</v>
      </c>
      <c r="B38" s="1031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1032"/>
      <c r="P38" s="1032"/>
      <c r="Q38" s="1032"/>
      <c r="R38" s="1032"/>
      <c r="S38" s="1032"/>
      <c r="T38" s="1033"/>
      <c r="U38" s="1033"/>
      <c r="V38" s="1034"/>
    </row>
    <row r="39" spans="1:22" s="218" customFormat="1" ht="8.1" customHeight="1">
      <c r="A39" s="1222" t="s">
        <v>558</v>
      </c>
      <c r="B39" s="1035">
        <v>70171</v>
      </c>
      <c r="C39" s="1035">
        <v>16814</v>
      </c>
      <c r="D39" s="1035">
        <v>7009</v>
      </c>
      <c r="E39" s="1035">
        <v>73834</v>
      </c>
      <c r="F39" s="1035">
        <v>5553</v>
      </c>
      <c r="G39" s="1035">
        <v>29825</v>
      </c>
      <c r="H39" s="1035">
        <v>62352</v>
      </c>
      <c r="I39" s="1035">
        <v>3467</v>
      </c>
      <c r="J39" s="1035">
        <v>46497</v>
      </c>
      <c r="K39" s="1035">
        <v>14216</v>
      </c>
      <c r="L39" s="1035">
        <v>37935</v>
      </c>
      <c r="M39" s="1035">
        <v>14089</v>
      </c>
      <c r="N39" s="1035">
        <v>9962</v>
      </c>
      <c r="O39" s="1035">
        <v>9288</v>
      </c>
      <c r="P39" s="1035">
        <v>56600</v>
      </c>
      <c r="Q39" s="1036">
        <f>SUM(B39:P39)</f>
        <v>457612</v>
      </c>
      <c r="R39" s="1035">
        <v>24725</v>
      </c>
      <c r="S39" s="1035">
        <f>Q39+R39</f>
        <v>482337</v>
      </c>
      <c r="T39" s="1035">
        <v>27208</v>
      </c>
      <c r="U39" s="1035">
        <f>S39+T39</f>
        <v>509545</v>
      </c>
      <c r="V39" s="272" t="s">
        <v>558</v>
      </c>
    </row>
    <row r="40" spans="1:22" s="30" customFormat="1" ht="8.1" customHeight="1">
      <c r="A40" s="1025"/>
      <c r="B40" s="1032">
        <f>(B39/S39)*100</f>
        <v>14.548127139323752</v>
      </c>
      <c r="C40" s="1032">
        <f>(C39/S39)*100</f>
        <v>3.4859444745064136</v>
      </c>
      <c r="D40" s="1032">
        <f>(D39/S39)*100</f>
        <v>1.4531333901400889</v>
      </c>
      <c r="E40" s="1032">
        <f>(E39/S39)*100</f>
        <v>15.307554676502114</v>
      </c>
      <c r="F40" s="1032">
        <f>(F39/S39)*100</f>
        <v>1.151269755378501</v>
      </c>
      <c r="G40" s="1032">
        <f>(G39/S39)*100</f>
        <v>6.1834360623381581</v>
      </c>
      <c r="H40" s="1032">
        <f>(H39/S39)*100</f>
        <v>12.927061369955032</v>
      </c>
      <c r="I40" s="1032">
        <f>(I39/S39)*100</f>
        <v>0.71879204788353368</v>
      </c>
      <c r="J40" s="1032">
        <f>(J39/S39)*100</f>
        <v>9.6399405394983173</v>
      </c>
      <c r="K40" s="1032">
        <f>(K39/S39)*100</f>
        <v>2.9473169174249541</v>
      </c>
      <c r="L40" s="1032">
        <f>(L39/S39)*100</f>
        <v>7.8648330938741999</v>
      </c>
      <c r="M40" s="1032">
        <f>(M39/S39)*100</f>
        <v>2.9209867789533042</v>
      </c>
      <c r="N40" s="1032">
        <f>(N39/S39)*100</f>
        <v>2.0653609405871829</v>
      </c>
      <c r="O40" s="1032">
        <f>(O39/S39)*100</f>
        <v>1.9256246151549643</v>
      </c>
      <c r="P40" s="1032">
        <f>(P39/S39)*100</f>
        <v>11.734534153506781</v>
      </c>
      <c r="Q40" s="1032">
        <f>(Q39/S39)*100</f>
        <v>94.8739159550273</v>
      </c>
      <c r="R40" s="1032">
        <f>(R39/S39)*100</f>
        <v>5.1260840449727052</v>
      </c>
      <c r="S40" s="1032">
        <f>(S39/S39)*100</f>
        <v>100</v>
      </c>
      <c r="T40" s="1033"/>
      <c r="U40" s="1033"/>
      <c r="V40" s="1034"/>
    </row>
    <row r="41" spans="1:22" s="218" customFormat="1" ht="8.1" customHeight="1">
      <c r="A41" s="170" t="s">
        <v>567</v>
      </c>
      <c r="B41" s="1060">
        <v>74410</v>
      </c>
      <c r="C41" s="1035">
        <v>18397</v>
      </c>
      <c r="D41" s="1035">
        <v>7433</v>
      </c>
      <c r="E41" s="1035">
        <v>81612</v>
      </c>
      <c r="F41" s="1035">
        <v>5831</v>
      </c>
      <c r="G41" s="1035">
        <v>31836</v>
      </c>
      <c r="H41" s="1035">
        <v>67571</v>
      </c>
      <c r="I41" s="1035">
        <v>3659</v>
      </c>
      <c r="J41" s="1035">
        <v>50878</v>
      </c>
      <c r="K41" s="1035">
        <v>15139</v>
      </c>
      <c r="L41" s="1035">
        <v>39382</v>
      </c>
      <c r="M41" s="1035">
        <v>15293</v>
      </c>
      <c r="N41" s="1035">
        <v>10835</v>
      </c>
      <c r="O41" s="1035">
        <v>9749</v>
      </c>
      <c r="P41" s="1035">
        <v>58399</v>
      </c>
      <c r="Q41" s="756">
        <f>SUM(B41:P41)</f>
        <v>490424</v>
      </c>
      <c r="R41" s="1035">
        <v>25959</v>
      </c>
      <c r="S41" s="872">
        <f>Q41+R41</f>
        <v>516383</v>
      </c>
      <c r="T41" s="1035">
        <v>33121</v>
      </c>
      <c r="U41" s="872">
        <f>S41+T41</f>
        <v>549504</v>
      </c>
      <c r="V41" s="272" t="s">
        <v>567</v>
      </c>
    </row>
    <row r="42" spans="1:22" s="30" customFormat="1" ht="8.1" customHeight="1">
      <c r="A42" s="1025"/>
      <c r="B42" s="1032">
        <f t="shared" ref="B42:S42" si="0">(B41/$S41)*100</f>
        <v>14.409846954682862</v>
      </c>
      <c r="C42" s="1032">
        <f t="shared" si="0"/>
        <v>3.562665695811055</v>
      </c>
      <c r="D42" s="1032">
        <f t="shared" si="0"/>
        <v>1.4394354577900512</v>
      </c>
      <c r="E42" s="1032">
        <f t="shared" si="0"/>
        <v>15.804548174513878</v>
      </c>
      <c r="F42" s="1032">
        <f t="shared" si="0"/>
        <v>1.1292006127235017</v>
      </c>
      <c r="G42" s="1032">
        <f t="shared" si="0"/>
        <v>6.1651913405359977</v>
      </c>
      <c r="H42" s="1032">
        <f t="shared" si="0"/>
        <v>13.085442394501756</v>
      </c>
      <c r="I42" s="1032">
        <f t="shared" si="0"/>
        <v>0.70858258308271183</v>
      </c>
      <c r="J42" s="1032">
        <f t="shared" si="0"/>
        <v>9.8527643241547462</v>
      </c>
      <c r="K42" s="1032">
        <f t="shared" si="0"/>
        <v>2.9317386513498702</v>
      </c>
      <c r="L42" s="1032">
        <f t="shared" si="0"/>
        <v>7.6265097805311166</v>
      </c>
      <c r="M42" s="1032">
        <f t="shared" si="0"/>
        <v>2.9615614766558931</v>
      </c>
      <c r="N42" s="1032">
        <f t="shared" si="0"/>
        <v>2.0982487804594654</v>
      </c>
      <c r="O42" s="1032">
        <f t="shared" si="0"/>
        <v>1.8879397656390702</v>
      </c>
      <c r="P42" s="1032">
        <f t="shared" si="0"/>
        <v>11.309241396405382</v>
      </c>
      <c r="Q42" s="1032">
        <f t="shared" si="0"/>
        <v>94.972917388837345</v>
      </c>
      <c r="R42" s="1032">
        <f t="shared" si="0"/>
        <v>5.027082611162645</v>
      </c>
      <c r="S42" s="1032">
        <f t="shared" si="0"/>
        <v>100</v>
      </c>
      <c r="T42" s="1061"/>
      <c r="U42" s="1061"/>
      <c r="V42" s="1034"/>
    </row>
    <row r="43" spans="1:22" s="218" customFormat="1" ht="8.1" customHeight="1">
      <c r="A43" s="170" t="s">
        <v>330</v>
      </c>
      <c r="B43" s="1060">
        <v>77292</v>
      </c>
      <c r="C43" s="1035">
        <v>19685</v>
      </c>
      <c r="D43" s="1035">
        <v>8003</v>
      </c>
      <c r="E43" s="1035">
        <v>87596</v>
      </c>
      <c r="F43" s="1035">
        <v>6284</v>
      </c>
      <c r="G43" s="1035">
        <v>33742</v>
      </c>
      <c r="H43" s="1035">
        <v>72481</v>
      </c>
      <c r="I43" s="1035">
        <v>3866</v>
      </c>
      <c r="J43" s="1035">
        <v>55079</v>
      </c>
      <c r="K43" s="1035">
        <v>15733</v>
      </c>
      <c r="L43" s="1035">
        <v>40877</v>
      </c>
      <c r="M43" s="1035">
        <v>16289</v>
      </c>
      <c r="N43" s="1035">
        <v>11609</v>
      </c>
      <c r="O43" s="1035">
        <v>10321</v>
      </c>
      <c r="P43" s="1035">
        <v>60261</v>
      </c>
      <c r="Q43" s="756">
        <f>SUM(B43:P43)</f>
        <v>519118</v>
      </c>
      <c r="R43" s="1035">
        <v>28319</v>
      </c>
      <c r="S43" s="872">
        <f>Q43+R43</f>
        <v>547437</v>
      </c>
      <c r="T43" s="1035">
        <v>42109</v>
      </c>
      <c r="U43" s="872">
        <f>S43+T43</f>
        <v>589546</v>
      </c>
      <c r="V43" s="272" t="s">
        <v>330</v>
      </c>
    </row>
    <row r="44" spans="1:22" s="30" customFormat="1" ht="8.1" customHeight="1">
      <c r="A44" s="1025"/>
      <c r="B44" s="1032">
        <f t="shared" ref="B44:S44" si="1">(B43/$S43)*100</f>
        <v>14.118884912784486</v>
      </c>
      <c r="C44" s="1032">
        <f t="shared" si="1"/>
        <v>3.5958475587145191</v>
      </c>
      <c r="D44" s="1032">
        <f t="shared" si="1"/>
        <v>1.4619033788362861</v>
      </c>
      <c r="E44" s="1032">
        <f t="shared" si="1"/>
        <v>16.001110630081637</v>
      </c>
      <c r="F44" s="1032">
        <f t="shared" si="1"/>
        <v>1.1478946435845585</v>
      </c>
      <c r="G44" s="1032">
        <f t="shared" si="1"/>
        <v>6.1636316142314094</v>
      </c>
      <c r="H44" s="1032">
        <f t="shared" si="1"/>
        <v>13.240062326806553</v>
      </c>
      <c r="I44" s="1032">
        <f t="shared" si="1"/>
        <v>0.70619998282907448</v>
      </c>
      <c r="J44" s="1032">
        <f t="shared" si="1"/>
        <v>10.061249056969112</v>
      </c>
      <c r="K44" s="1032">
        <f t="shared" si="1"/>
        <v>2.8739380056517922</v>
      </c>
      <c r="L44" s="1032">
        <f t="shared" si="1"/>
        <v>7.4669779353605987</v>
      </c>
      <c r="M44" s="1032">
        <f t="shared" si="1"/>
        <v>2.9755022039065682</v>
      </c>
      <c r="N44" s="1032">
        <f t="shared" si="1"/>
        <v>2.12060931212176</v>
      </c>
      <c r="O44" s="1032">
        <f t="shared" si="1"/>
        <v>1.8853310974596162</v>
      </c>
      <c r="P44" s="1032">
        <f t="shared" si="1"/>
        <v>11.007841998257334</v>
      </c>
      <c r="Q44" s="1032">
        <f t="shared" si="1"/>
        <v>94.826984657595304</v>
      </c>
      <c r="R44" s="1032">
        <f t="shared" si="1"/>
        <v>5.1730153424046961</v>
      </c>
      <c r="S44" s="1032">
        <f t="shared" si="1"/>
        <v>100</v>
      </c>
      <c r="T44" s="1061"/>
      <c r="U44" s="1061"/>
      <c r="V44" s="1034"/>
    </row>
    <row r="45" spans="1:22" s="218" customFormat="1" ht="8.1" customHeight="1">
      <c r="A45" s="170" t="s">
        <v>85</v>
      </c>
      <c r="B45" s="1060">
        <v>79682</v>
      </c>
      <c r="C45" s="1035">
        <v>20657</v>
      </c>
      <c r="D45" s="1035">
        <v>8841</v>
      </c>
      <c r="E45" s="1035">
        <v>93459</v>
      </c>
      <c r="F45" s="1035">
        <v>6740</v>
      </c>
      <c r="G45" s="1035">
        <v>35962</v>
      </c>
      <c r="H45" s="1035">
        <v>76728</v>
      </c>
      <c r="I45" s="1035">
        <v>4093</v>
      </c>
      <c r="J45" s="1035">
        <v>59513</v>
      </c>
      <c r="K45" s="1035">
        <v>15728</v>
      </c>
      <c r="L45" s="1035">
        <v>42442</v>
      </c>
      <c r="M45" s="1035">
        <v>17447</v>
      </c>
      <c r="N45" s="1035">
        <v>12293</v>
      </c>
      <c r="O45" s="1035">
        <v>10634</v>
      </c>
      <c r="P45" s="1035">
        <v>62191</v>
      </c>
      <c r="Q45" s="756">
        <f>SUM(B45:P45)</f>
        <v>546410</v>
      </c>
      <c r="R45" s="1035">
        <v>28646</v>
      </c>
      <c r="S45" s="872">
        <f>Q45+R45</f>
        <v>575056</v>
      </c>
      <c r="T45" s="1035">
        <v>45558</v>
      </c>
      <c r="U45" s="872">
        <f>S45+T45</f>
        <v>620614</v>
      </c>
      <c r="V45" s="272" t="s">
        <v>85</v>
      </c>
    </row>
    <row r="46" spans="1:22" s="30" customFormat="1" ht="8.1" customHeight="1">
      <c r="A46" s="1025"/>
      <c r="B46" s="1032">
        <f t="shared" ref="B46:S46" si="2">(B45/$S45)*100</f>
        <v>13.856389638574329</v>
      </c>
      <c r="C46" s="1032">
        <f t="shared" si="2"/>
        <v>3.5921718928243509</v>
      </c>
      <c r="D46" s="1032">
        <f t="shared" si="2"/>
        <v>1.5374154864917504</v>
      </c>
      <c r="E46" s="1032">
        <f t="shared" si="2"/>
        <v>16.252156311733117</v>
      </c>
      <c r="F46" s="1032">
        <f t="shared" si="2"/>
        <v>1.1720597646142288</v>
      </c>
      <c r="G46" s="1032">
        <f t="shared" si="2"/>
        <v>6.2536518182576994</v>
      </c>
      <c r="H46" s="1032">
        <f t="shared" si="2"/>
        <v>13.342700536991181</v>
      </c>
      <c r="I46" s="1032">
        <f t="shared" si="2"/>
        <v>0.71175676803650434</v>
      </c>
      <c r="J46" s="1032">
        <f t="shared" si="2"/>
        <v>10.34907904621463</v>
      </c>
      <c r="K46" s="1032">
        <f t="shared" si="2"/>
        <v>2.73503797890988</v>
      </c>
      <c r="L46" s="1032">
        <f t="shared" si="2"/>
        <v>7.3804985949194517</v>
      </c>
      <c r="M46" s="1032">
        <f t="shared" si="2"/>
        <v>3.0339653877187613</v>
      </c>
      <c r="N46" s="1032">
        <f t="shared" si="2"/>
        <v>2.1377048496146465</v>
      </c>
      <c r="O46" s="1032">
        <f t="shared" si="2"/>
        <v>1.8492112072563367</v>
      </c>
      <c r="P46" s="1032">
        <f t="shared" si="2"/>
        <v>10.81477282212515</v>
      </c>
      <c r="Q46" s="1032">
        <f t="shared" si="2"/>
        <v>95.018572104282015</v>
      </c>
      <c r="R46" s="1032">
        <f t="shared" si="2"/>
        <v>4.9814278957179825</v>
      </c>
      <c r="S46" s="1032">
        <f t="shared" si="2"/>
        <v>100</v>
      </c>
      <c r="T46" s="1061"/>
      <c r="U46" s="1061"/>
      <c r="V46" s="1034"/>
    </row>
    <row r="47" spans="1:22" s="218" customFormat="1" ht="8.1" customHeight="1">
      <c r="A47" s="532" t="s">
        <v>81</v>
      </c>
      <c r="B47" s="1060">
        <v>84904</v>
      </c>
      <c r="C47" s="1035">
        <v>21607</v>
      </c>
      <c r="D47" s="1035">
        <v>9561</v>
      </c>
      <c r="E47" s="1035">
        <v>99671</v>
      </c>
      <c r="F47" s="1035">
        <v>7412</v>
      </c>
      <c r="G47" s="1035">
        <v>38554</v>
      </c>
      <c r="H47" s="1035">
        <v>81219</v>
      </c>
      <c r="I47" s="1035">
        <v>4339</v>
      </c>
      <c r="J47" s="1035">
        <v>64006</v>
      </c>
      <c r="K47" s="1035">
        <v>16711</v>
      </c>
      <c r="L47" s="1035">
        <v>44078</v>
      </c>
      <c r="M47" s="1035">
        <v>18882</v>
      </c>
      <c r="N47" s="1035">
        <v>12930</v>
      </c>
      <c r="O47" s="1035">
        <v>11360</v>
      </c>
      <c r="P47" s="1035">
        <v>64191</v>
      </c>
      <c r="Q47" s="756">
        <f>SUM(B47:P47)</f>
        <v>579425</v>
      </c>
      <c r="R47" s="1035">
        <v>27672</v>
      </c>
      <c r="S47" s="872">
        <f>Q47+R47</f>
        <v>607097</v>
      </c>
      <c r="T47" s="1035">
        <v>49143</v>
      </c>
      <c r="U47" s="872">
        <f>S47+T47</f>
        <v>656240</v>
      </c>
      <c r="V47" s="1068" t="s">
        <v>81</v>
      </c>
    </row>
    <row r="48" spans="1:22" s="30" customFormat="1" ht="8.1" customHeight="1">
      <c r="A48" s="1025"/>
      <c r="B48" s="1032">
        <f t="shared" ref="B48:S48" si="3">(B47/$S47)*100</f>
        <v>13.98524453258705</v>
      </c>
      <c r="C48" s="1032">
        <f t="shared" si="3"/>
        <v>3.5590688143739801</v>
      </c>
      <c r="D48" s="1032">
        <f t="shared" si="3"/>
        <v>1.5748718903239516</v>
      </c>
      <c r="E48" s="1032">
        <f t="shared" si="3"/>
        <v>16.417640014692875</v>
      </c>
      <c r="F48" s="1032">
        <f t="shared" si="3"/>
        <v>1.2208922132706963</v>
      </c>
      <c r="G48" s="1032">
        <f t="shared" si="3"/>
        <v>6.3505502415594215</v>
      </c>
      <c r="H48" s="1032">
        <f t="shared" si="3"/>
        <v>13.378257510743751</v>
      </c>
      <c r="I48" s="1032">
        <f t="shared" si="3"/>
        <v>0.71471280536718185</v>
      </c>
      <c r="J48" s="1032">
        <f t="shared" si="3"/>
        <v>10.54296100952566</v>
      </c>
      <c r="K48" s="1032">
        <f t="shared" si="3"/>
        <v>2.7526079028557215</v>
      </c>
      <c r="L48" s="1032">
        <f t="shared" si="3"/>
        <v>7.2604542601923576</v>
      </c>
      <c r="M48" s="1032">
        <f t="shared" si="3"/>
        <v>3.1102113830244589</v>
      </c>
      <c r="N48" s="1032">
        <f t="shared" si="3"/>
        <v>2.1298079219630472</v>
      </c>
      <c r="O48" s="1032">
        <f t="shared" si="3"/>
        <v>1.8712001541763508</v>
      </c>
      <c r="P48" s="1032">
        <f t="shared" si="3"/>
        <v>10.573433899360399</v>
      </c>
      <c r="Q48" s="1032">
        <f t="shared" si="3"/>
        <v>95.441914554016904</v>
      </c>
      <c r="R48" s="1032">
        <f t="shared" si="3"/>
        <v>4.5580854459830968</v>
      </c>
      <c r="S48" s="1032">
        <f t="shared" si="3"/>
        <v>100</v>
      </c>
      <c r="T48" s="1061"/>
      <c r="U48" s="1061"/>
      <c r="V48" s="1034"/>
    </row>
    <row r="49" spans="1:27" s="218" customFormat="1" ht="8.1" customHeight="1">
      <c r="A49" s="170" t="s">
        <v>189</v>
      </c>
      <c r="B49" s="1035">
        <v>88206</v>
      </c>
      <c r="C49" s="1035">
        <v>23051</v>
      </c>
      <c r="D49" s="1035">
        <v>9907</v>
      </c>
      <c r="E49" s="1035">
        <v>109651</v>
      </c>
      <c r="F49" s="1035">
        <v>8402</v>
      </c>
      <c r="G49" s="1035">
        <v>41235</v>
      </c>
      <c r="H49" s="1035">
        <v>86650</v>
      </c>
      <c r="I49" s="1035">
        <v>4608</v>
      </c>
      <c r="J49" s="1035">
        <v>69409</v>
      </c>
      <c r="K49" s="1035">
        <v>18456</v>
      </c>
      <c r="L49" s="1035">
        <v>45790</v>
      </c>
      <c r="M49" s="1035">
        <v>20552</v>
      </c>
      <c r="N49" s="1035">
        <v>13659</v>
      </c>
      <c r="O49" s="1035">
        <v>12080</v>
      </c>
      <c r="P49" s="1035">
        <v>66265</v>
      </c>
      <c r="Q49" s="756">
        <f>SUM(B49:P49)</f>
        <v>617921</v>
      </c>
      <c r="R49" s="1035">
        <v>28421</v>
      </c>
      <c r="S49" s="872">
        <f>Q49+R49</f>
        <v>646342</v>
      </c>
      <c r="T49" s="1035">
        <v>51126</v>
      </c>
      <c r="U49" s="872">
        <f>S49+T49</f>
        <v>697468</v>
      </c>
      <c r="V49" s="272" t="s">
        <v>189</v>
      </c>
    </row>
    <row r="50" spans="1:27" s="30" customFormat="1" ht="8.1" customHeight="1">
      <c r="A50" s="1025"/>
      <c r="B50" s="1032">
        <f t="shared" ref="B50:S50" si="4">(B49/$S49)*100</f>
        <v>13.646954708188543</v>
      </c>
      <c r="C50" s="1032">
        <f t="shared" si="4"/>
        <v>3.5663781713086879</v>
      </c>
      <c r="D50" s="1032">
        <f t="shared" si="4"/>
        <v>1.5327798595789845</v>
      </c>
      <c r="E50" s="1032">
        <f t="shared" si="4"/>
        <v>16.964857614080472</v>
      </c>
      <c r="F50" s="1032">
        <f t="shared" si="4"/>
        <v>1.2999309962837011</v>
      </c>
      <c r="G50" s="1032">
        <f t="shared" si="4"/>
        <v>6.3797494205853873</v>
      </c>
      <c r="H50" s="1032">
        <f t="shared" si="4"/>
        <v>13.406215285406178</v>
      </c>
      <c r="I50" s="1032">
        <f t="shared" si="4"/>
        <v>0.71293525718582429</v>
      </c>
      <c r="J50" s="1032">
        <f t="shared" si="4"/>
        <v>10.738742028214165</v>
      </c>
      <c r="K50" s="1032">
        <f t="shared" si="4"/>
        <v>2.8554542332078063</v>
      </c>
      <c r="L50" s="1032">
        <f t="shared" si="4"/>
        <v>7.0844846845787526</v>
      </c>
      <c r="M50" s="1032">
        <f t="shared" si="4"/>
        <v>3.1797407564416362</v>
      </c>
      <c r="N50" s="1032">
        <f t="shared" si="4"/>
        <v>2.11327749086397</v>
      </c>
      <c r="O50" s="1032">
        <f t="shared" si="4"/>
        <v>1.8689795804697822</v>
      </c>
      <c r="P50" s="1032">
        <f t="shared" si="4"/>
        <v>10.25231224336342</v>
      </c>
      <c r="Q50" s="1032">
        <f t="shared" si="4"/>
        <v>95.602792329757307</v>
      </c>
      <c r="R50" s="1032">
        <f t="shared" si="4"/>
        <v>4.3972076702426888</v>
      </c>
      <c r="S50" s="1032">
        <f t="shared" si="4"/>
        <v>100</v>
      </c>
      <c r="T50" s="1061"/>
      <c r="U50" s="1061"/>
      <c r="V50" s="1034"/>
    </row>
    <row r="51" spans="1:27" s="218" customFormat="1" ht="8.1" customHeight="1">
      <c r="A51" s="170" t="s">
        <v>705</v>
      </c>
      <c r="B51" s="1035">
        <v>90332</v>
      </c>
      <c r="C51" s="1035">
        <v>24279</v>
      </c>
      <c r="D51" s="1035">
        <v>10593</v>
      </c>
      <c r="E51" s="1035">
        <v>120567</v>
      </c>
      <c r="F51" s="1035">
        <v>9291</v>
      </c>
      <c r="G51" s="1035">
        <v>44709</v>
      </c>
      <c r="H51" s="1035">
        <v>92457</v>
      </c>
      <c r="I51" s="1035">
        <v>4902</v>
      </c>
      <c r="J51" s="1035">
        <v>75761</v>
      </c>
      <c r="K51" s="1035">
        <v>21180</v>
      </c>
      <c r="L51" s="1035">
        <v>47587</v>
      </c>
      <c r="M51" s="1035">
        <v>22099</v>
      </c>
      <c r="N51" s="1035">
        <v>14718</v>
      </c>
      <c r="O51" s="1035">
        <v>12540</v>
      </c>
      <c r="P51" s="1035">
        <v>68416</v>
      </c>
      <c r="Q51" s="756">
        <f>SUM(B51:P51)</f>
        <v>659431</v>
      </c>
      <c r="R51" s="1035">
        <v>29062</v>
      </c>
      <c r="S51" s="872">
        <f>Q51+R51</f>
        <v>688493</v>
      </c>
      <c r="T51" s="1035">
        <v>58267</v>
      </c>
      <c r="U51" s="872">
        <f>S51+T51</f>
        <v>746760</v>
      </c>
      <c r="V51" s="272" t="s">
        <v>705</v>
      </c>
    </row>
    <row r="52" spans="1:27" s="30" customFormat="1" ht="8.1" customHeight="1">
      <c r="A52" s="1025"/>
      <c r="B52" s="1032">
        <f t="shared" ref="B52:S52" si="5">(B51/$S51)*100</f>
        <v>13.120249588594218</v>
      </c>
      <c r="C52" s="1032">
        <f t="shared" si="5"/>
        <v>3.5263975087618902</v>
      </c>
      <c r="D52" s="1032">
        <f t="shared" si="5"/>
        <v>1.5385777342689033</v>
      </c>
      <c r="E52" s="1032">
        <f t="shared" si="5"/>
        <v>17.511724883186901</v>
      </c>
      <c r="F52" s="1032">
        <f t="shared" si="5"/>
        <v>1.3494690577827226</v>
      </c>
      <c r="G52" s="1032">
        <f t="shared" si="5"/>
        <v>6.4937479393399791</v>
      </c>
      <c r="H52" s="1032">
        <f t="shared" si="5"/>
        <v>13.428894701906918</v>
      </c>
      <c r="I52" s="1032">
        <f t="shared" si="5"/>
        <v>0.71198980962769409</v>
      </c>
      <c r="J52" s="1032">
        <f t="shared" si="5"/>
        <v>11.003888202203944</v>
      </c>
      <c r="K52" s="1032">
        <f t="shared" si="5"/>
        <v>3.0762839999825706</v>
      </c>
      <c r="L52" s="1032">
        <f t="shared" si="5"/>
        <v>6.9117623563347772</v>
      </c>
      <c r="M52" s="1032">
        <f t="shared" si="5"/>
        <v>3.2097639336928627</v>
      </c>
      <c r="N52" s="1032">
        <f t="shared" si="5"/>
        <v>2.1377123659935542</v>
      </c>
      <c r="O52" s="1032">
        <f t="shared" si="5"/>
        <v>1.8213692804429384</v>
      </c>
      <c r="P52" s="1032">
        <f t="shared" si="5"/>
        <v>9.9370654458360512</v>
      </c>
      <c r="Q52" s="1032">
        <f t="shared" si="5"/>
        <v>95.778896807955931</v>
      </c>
      <c r="R52" s="1032">
        <f t="shared" si="5"/>
        <v>4.2211031920440734</v>
      </c>
      <c r="S52" s="1032">
        <f t="shared" si="5"/>
        <v>100</v>
      </c>
      <c r="T52" s="1061"/>
      <c r="U52" s="1061"/>
      <c r="V52" s="1034"/>
    </row>
    <row r="53" spans="1:27" s="218" customFormat="1" ht="8.1" customHeight="1">
      <c r="A53" s="170" t="s">
        <v>814</v>
      </c>
      <c r="B53" s="1035">
        <v>91656</v>
      </c>
      <c r="C53" s="1035">
        <v>25779</v>
      </c>
      <c r="D53" s="1035">
        <v>11584</v>
      </c>
      <c r="E53" s="1035">
        <v>132994</v>
      </c>
      <c r="F53" s="1035">
        <v>10126</v>
      </c>
      <c r="G53" s="1035">
        <v>48305</v>
      </c>
      <c r="H53" s="1035">
        <v>98173</v>
      </c>
      <c r="I53" s="1035">
        <v>5220</v>
      </c>
      <c r="J53" s="1035">
        <v>80514</v>
      </c>
      <c r="K53" s="1035">
        <v>23110</v>
      </c>
      <c r="L53" s="1035">
        <v>49509</v>
      </c>
      <c r="M53" s="1035">
        <v>23542</v>
      </c>
      <c r="N53" s="1035">
        <v>15645</v>
      </c>
      <c r="O53" s="1035">
        <v>13137</v>
      </c>
      <c r="P53" s="1035">
        <v>70642</v>
      </c>
      <c r="Q53" s="756">
        <f>SUM(B53:P53)</f>
        <v>699936</v>
      </c>
      <c r="R53" s="1035">
        <v>29960</v>
      </c>
      <c r="S53" s="872">
        <f>Q53+R53</f>
        <v>729896</v>
      </c>
      <c r="T53" s="1035">
        <v>58705</v>
      </c>
      <c r="U53" s="872">
        <f>S53+T53</f>
        <v>788601</v>
      </c>
      <c r="V53" s="272" t="s">
        <v>814</v>
      </c>
    </row>
    <row r="54" spans="1:27" s="30" customFormat="1" ht="8.1" customHeight="1">
      <c r="A54" s="1025"/>
      <c r="B54" s="1032">
        <f t="shared" ref="B54:S54" si="6">(B53/$S53)*100</f>
        <v>12.55740543858303</v>
      </c>
      <c r="C54" s="1032">
        <f t="shared" si="6"/>
        <v>3.531873033966483</v>
      </c>
      <c r="D54" s="1032">
        <f t="shared" si="6"/>
        <v>1.5870754189637977</v>
      </c>
      <c r="E54" s="1032">
        <f t="shared" si="6"/>
        <v>18.220952026042067</v>
      </c>
      <c r="F54" s="1032">
        <f t="shared" si="6"/>
        <v>1.3873209333932506</v>
      </c>
      <c r="G54" s="1032">
        <f t="shared" si="6"/>
        <v>6.6180661354494337</v>
      </c>
      <c r="H54" s="1032">
        <f t="shared" si="6"/>
        <v>13.450272367570173</v>
      </c>
      <c r="I54" s="1032">
        <f t="shared" si="6"/>
        <v>0.71517038043776104</v>
      </c>
      <c r="J54" s="1032">
        <f t="shared" si="6"/>
        <v>11.03088659206243</v>
      </c>
      <c r="K54" s="1032">
        <f t="shared" si="6"/>
        <v>3.1662045003671757</v>
      </c>
      <c r="L54" s="1032">
        <f t="shared" si="6"/>
        <v>6.7830211427381437</v>
      </c>
      <c r="M54" s="1032">
        <f t="shared" si="6"/>
        <v>3.2253910146103006</v>
      </c>
      <c r="N54" s="1032">
        <f t="shared" si="6"/>
        <v>2.1434560540131744</v>
      </c>
      <c r="O54" s="1032">
        <f t="shared" si="6"/>
        <v>1.7998454574350318</v>
      </c>
      <c r="P54" s="1032">
        <f t="shared" si="6"/>
        <v>9.6783651369510171</v>
      </c>
      <c r="Q54" s="1032">
        <f t="shared" si="6"/>
        <v>95.895305632583273</v>
      </c>
      <c r="R54" s="1032">
        <f t="shared" si="6"/>
        <v>4.1046943674167284</v>
      </c>
      <c r="S54" s="1032">
        <f t="shared" si="6"/>
        <v>100</v>
      </c>
      <c r="T54" s="1061"/>
      <c r="U54" s="1061"/>
      <c r="V54" s="1034"/>
    </row>
    <row r="55" spans="1:27" s="218" customFormat="1" ht="8.1" customHeight="1">
      <c r="A55" s="255" t="s">
        <v>991</v>
      </c>
      <c r="B55" s="1035">
        <v>95151</v>
      </c>
      <c r="C55" s="1035">
        <v>27419</v>
      </c>
      <c r="D55" s="1035">
        <v>12127</v>
      </c>
      <c r="E55" s="1035">
        <v>144653</v>
      </c>
      <c r="F55" s="1035">
        <v>10585</v>
      </c>
      <c r="G55" s="1035">
        <v>52209</v>
      </c>
      <c r="H55" s="1035">
        <v>104776</v>
      </c>
      <c r="I55" s="1035">
        <v>5570</v>
      </c>
      <c r="J55" s="1035">
        <v>85382</v>
      </c>
      <c r="K55" s="1035">
        <v>24790</v>
      </c>
      <c r="L55" s="1035">
        <v>51615</v>
      </c>
      <c r="M55" s="1035">
        <v>25165</v>
      </c>
      <c r="N55" s="1035">
        <v>16781</v>
      </c>
      <c r="O55" s="1035">
        <v>13802</v>
      </c>
      <c r="P55" s="1035">
        <v>72955</v>
      </c>
      <c r="Q55" s="756">
        <f>SUM(B55:P55)</f>
        <v>742980</v>
      </c>
      <c r="R55" s="1035">
        <v>31156</v>
      </c>
      <c r="S55" s="872">
        <f>Q55+R55</f>
        <v>774136</v>
      </c>
      <c r="T55" s="1035">
        <v>51592</v>
      </c>
      <c r="U55" s="872">
        <f>S55+T55</f>
        <v>825728</v>
      </c>
      <c r="V55" s="272" t="s">
        <v>991</v>
      </c>
    </row>
    <row r="56" spans="1:27" s="30" customFormat="1" ht="8.1" customHeight="1">
      <c r="A56" s="1025"/>
      <c r="B56" s="1032">
        <f t="shared" ref="B56:S56" si="7">(B55/$S55)*100</f>
        <v>12.291251149668792</v>
      </c>
      <c r="C56" s="1032">
        <f t="shared" si="7"/>
        <v>3.5418841133857617</v>
      </c>
      <c r="D56" s="1032">
        <f t="shared" si="7"/>
        <v>1.5665206113654448</v>
      </c>
      <c r="E56" s="1032">
        <f t="shared" si="7"/>
        <v>18.685734806287268</v>
      </c>
      <c r="F56" s="1032">
        <f t="shared" si="7"/>
        <v>1.3673308049231658</v>
      </c>
      <c r="G56" s="1032">
        <f t="shared" si="7"/>
        <v>6.7441638161770028</v>
      </c>
      <c r="H56" s="1032">
        <f t="shared" si="7"/>
        <v>13.53457273657342</v>
      </c>
      <c r="I56" s="1032">
        <f t="shared" si="7"/>
        <v>0.71951181704506706</v>
      </c>
      <c r="J56" s="1032">
        <f t="shared" si="7"/>
        <v>11.029328180061384</v>
      </c>
      <c r="K56" s="1032">
        <f t="shared" si="7"/>
        <v>3.2022797027912406</v>
      </c>
      <c r="L56" s="1032">
        <f t="shared" si="7"/>
        <v>6.6674331125280322</v>
      </c>
      <c r="M56" s="1032">
        <f t="shared" si="7"/>
        <v>3.2507208035797328</v>
      </c>
      <c r="N56" s="1032">
        <f t="shared" si="7"/>
        <v>2.1677069662178221</v>
      </c>
      <c r="O56" s="1032">
        <f t="shared" si="7"/>
        <v>1.7828908615540422</v>
      </c>
      <c r="P56" s="1032">
        <f t="shared" si="7"/>
        <v>9.4240546880651461</v>
      </c>
      <c r="Q56" s="1032">
        <f t="shared" si="7"/>
        <v>95.975384170223322</v>
      </c>
      <c r="R56" s="1032">
        <f t="shared" si="7"/>
        <v>4.0246158297766801</v>
      </c>
      <c r="S56" s="1032">
        <f t="shared" si="7"/>
        <v>100</v>
      </c>
      <c r="T56" s="1061"/>
      <c r="U56" s="1061"/>
      <c r="V56" s="1034"/>
    </row>
    <row r="57" spans="1:27" s="218" customFormat="1" ht="8.1" customHeight="1">
      <c r="A57" s="1037" t="s">
        <v>1042</v>
      </c>
      <c r="B57" s="1035">
        <v>97480</v>
      </c>
      <c r="C57" s="1035">
        <v>29170</v>
      </c>
      <c r="D57" s="1035">
        <v>13290</v>
      </c>
      <c r="E57" s="1035">
        <v>159568</v>
      </c>
      <c r="F57" s="1035">
        <v>11243</v>
      </c>
      <c r="G57" s="1035">
        <v>56698</v>
      </c>
      <c r="H57" s="1035">
        <v>111426</v>
      </c>
      <c r="I57" s="1035">
        <v>5950</v>
      </c>
      <c r="J57" s="1035">
        <v>90475</v>
      </c>
      <c r="K57" s="1035">
        <v>26719</v>
      </c>
      <c r="L57" s="1035">
        <v>53888</v>
      </c>
      <c r="M57" s="1035">
        <v>27637</v>
      </c>
      <c r="N57" s="1035">
        <v>18125</v>
      </c>
      <c r="O57" s="1035">
        <v>14517</v>
      </c>
      <c r="P57" s="1035">
        <v>75352</v>
      </c>
      <c r="Q57" s="756">
        <f>SUM(B57:P57)</f>
        <v>791538</v>
      </c>
      <c r="R57" s="1035">
        <v>33324</v>
      </c>
      <c r="S57" s="872">
        <f>Q57+R57</f>
        <v>824862</v>
      </c>
      <c r="T57" s="1035">
        <v>53548</v>
      </c>
      <c r="U57" s="872">
        <f>S57+T57</f>
        <v>878410</v>
      </c>
      <c r="V57" s="1069" t="s">
        <v>1042</v>
      </c>
    </row>
    <row r="58" spans="1:27" s="30" customFormat="1" ht="8.1" customHeight="1">
      <c r="A58" s="1025"/>
      <c r="B58" s="1032">
        <f t="shared" ref="B58:S60" si="8">(B57/$S57)*100</f>
        <v>11.817734360414226</v>
      </c>
      <c r="C58" s="1032">
        <f t="shared" si="8"/>
        <v>3.5363491105178806</v>
      </c>
      <c r="D58" s="1032">
        <f t="shared" si="8"/>
        <v>1.6111785971471591</v>
      </c>
      <c r="E58" s="1032">
        <f t="shared" si="8"/>
        <v>19.344811616973505</v>
      </c>
      <c r="F58" s="1032">
        <f t="shared" si="8"/>
        <v>1.3630158741704674</v>
      </c>
      <c r="G58" s="1032">
        <f t="shared" si="8"/>
        <v>6.8736346200940286</v>
      </c>
      <c r="H58" s="1032">
        <f t="shared" si="8"/>
        <v>13.50844141201801</v>
      </c>
      <c r="I58" s="1032">
        <f t="shared" si="8"/>
        <v>0.72133278051358896</v>
      </c>
      <c r="J58" s="1032">
        <f t="shared" si="8"/>
        <v>10.968501397809574</v>
      </c>
      <c r="K58" s="1032">
        <f t="shared" si="8"/>
        <v>3.2392084979063167</v>
      </c>
      <c r="L58" s="1032">
        <f t="shared" si="8"/>
        <v>6.5329715758514766</v>
      </c>
      <c r="M58" s="1032">
        <f t="shared" si="8"/>
        <v>3.350499841185556</v>
      </c>
      <c r="N58" s="1032">
        <f t="shared" si="8"/>
        <v>2.197337251564504</v>
      </c>
      <c r="O58" s="1032">
        <f t="shared" si="8"/>
        <v>1.7599307520530707</v>
      </c>
      <c r="P58" s="1032">
        <f t="shared" si="8"/>
        <v>9.1351038113041927</v>
      </c>
      <c r="Q58" s="1032">
        <f t="shared" si="8"/>
        <v>95.960051499523559</v>
      </c>
      <c r="R58" s="1032">
        <f t="shared" si="8"/>
        <v>4.0399485004764433</v>
      </c>
      <c r="S58" s="1032">
        <f t="shared" si="8"/>
        <v>100</v>
      </c>
      <c r="T58" s="1061"/>
      <c r="U58" s="1061"/>
      <c r="V58" s="1034"/>
    </row>
    <row r="59" spans="1:27" s="218" customFormat="1" ht="8.1" customHeight="1">
      <c r="A59" s="1037" t="s">
        <v>1163</v>
      </c>
      <c r="B59" s="1035">
        <v>99228</v>
      </c>
      <c r="C59" s="1035">
        <v>30950</v>
      </c>
      <c r="D59" s="1035">
        <v>14997</v>
      </c>
      <c r="E59" s="1035">
        <v>178223</v>
      </c>
      <c r="F59" s="1035">
        <v>12742</v>
      </c>
      <c r="G59" s="1035">
        <v>61552</v>
      </c>
      <c r="H59" s="1035">
        <v>118665</v>
      </c>
      <c r="I59" s="1035">
        <v>6366</v>
      </c>
      <c r="J59" s="1035">
        <v>95972</v>
      </c>
      <c r="K59" s="1035">
        <v>28787</v>
      </c>
      <c r="L59" s="1035">
        <v>56297</v>
      </c>
      <c r="M59" s="1035">
        <v>30796</v>
      </c>
      <c r="N59" s="1035">
        <v>20248</v>
      </c>
      <c r="O59" s="1035">
        <v>15612</v>
      </c>
      <c r="P59" s="1035">
        <v>77838</v>
      </c>
      <c r="Q59" s="756">
        <f>SUM(B59:P59)</f>
        <v>848273</v>
      </c>
      <c r="R59" s="1035">
        <v>35266</v>
      </c>
      <c r="S59" s="872">
        <f>Q59+R59</f>
        <v>883539</v>
      </c>
      <c r="T59" s="1035">
        <v>50891</v>
      </c>
      <c r="U59" s="872">
        <f>S59+T59</f>
        <v>934430</v>
      </c>
      <c r="V59" s="1069" t="s">
        <v>1163</v>
      </c>
    </row>
    <row r="60" spans="1:27" s="30" customFormat="1" ht="8.1" customHeight="1">
      <c r="A60" s="1025"/>
      <c r="B60" s="1032">
        <f t="shared" si="8"/>
        <v>11.230743634406631</v>
      </c>
      <c r="C60" s="1032">
        <f t="shared" si="8"/>
        <v>3.5029579905357884</v>
      </c>
      <c r="D60" s="1032">
        <f t="shared" si="8"/>
        <v>1.6973783839762593</v>
      </c>
      <c r="E60" s="1032">
        <f t="shared" si="8"/>
        <v>20.171492146922773</v>
      </c>
      <c r="F60" s="1032">
        <f t="shared" si="8"/>
        <v>1.4421547888661395</v>
      </c>
      <c r="G60" s="1032">
        <f t="shared" si="8"/>
        <v>6.9665289251521436</v>
      </c>
      <c r="H60" s="1032">
        <f t="shared" si="8"/>
        <v>13.430646524941173</v>
      </c>
      <c r="I60" s="1032">
        <f t="shared" si="8"/>
        <v>0.7205114884572158</v>
      </c>
      <c r="J60" s="1032">
        <f t="shared" si="8"/>
        <v>10.862225662930555</v>
      </c>
      <c r="K60" s="1032">
        <f t="shared" si="8"/>
        <v>3.2581470653813809</v>
      </c>
      <c r="L60" s="1032">
        <f t="shared" si="8"/>
        <v>6.3717617445296693</v>
      </c>
      <c r="M60" s="1032">
        <f t="shared" si="8"/>
        <v>3.4855280864794875</v>
      </c>
      <c r="N60" s="1032">
        <f t="shared" si="8"/>
        <v>2.2916928398180501</v>
      </c>
      <c r="O60" s="1032">
        <f t="shared" si="8"/>
        <v>1.7669848190062918</v>
      </c>
      <c r="P60" s="1032">
        <f t="shared" si="8"/>
        <v>8.8097978697035444</v>
      </c>
      <c r="Q60" s="1032">
        <f t="shared" si="8"/>
        <v>96.00855197110711</v>
      </c>
      <c r="R60" s="1032">
        <f t="shared" si="8"/>
        <v>3.9914480288928953</v>
      </c>
      <c r="S60" s="1032">
        <f t="shared" si="8"/>
        <v>100</v>
      </c>
      <c r="T60" s="1061"/>
      <c r="U60" s="1061"/>
      <c r="V60" s="1034"/>
    </row>
    <row r="61" spans="1:27" s="218" customFormat="1" ht="8.1" customHeight="1">
      <c r="A61" s="170" t="s">
        <v>1187</v>
      </c>
      <c r="B61" s="1035">
        <v>101173</v>
      </c>
      <c r="C61" s="1035">
        <v>32879</v>
      </c>
      <c r="D61" s="1035">
        <v>16330</v>
      </c>
      <c r="E61" s="1035">
        <v>197765</v>
      </c>
      <c r="F61" s="1035">
        <v>13820</v>
      </c>
      <c r="G61" s="1035">
        <v>66951</v>
      </c>
      <c r="H61" s="1035">
        <v>127417</v>
      </c>
      <c r="I61" s="1035">
        <v>6820</v>
      </c>
      <c r="J61" s="1035">
        <v>102463</v>
      </c>
      <c r="K61" s="1035">
        <v>31413</v>
      </c>
      <c r="L61" s="1035">
        <v>58997</v>
      </c>
      <c r="M61" s="1035">
        <v>33615</v>
      </c>
      <c r="N61" s="1035">
        <v>22547</v>
      </c>
      <c r="O61" s="1035">
        <v>16804</v>
      </c>
      <c r="P61" s="1035">
        <v>80653</v>
      </c>
      <c r="Q61" s="756">
        <f>SUM(B61:P61)</f>
        <v>909647</v>
      </c>
      <c r="R61" s="1035">
        <v>38252</v>
      </c>
      <c r="S61" s="872">
        <f>Q61+R61</f>
        <v>947899</v>
      </c>
      <c r="T61" s="872">
        <v>40731</v>
      </c>
      <c r="U61" s="872">
        <f>S61+T61</f>
        <v>988630</v>
      </c>
      <c r="V61" s="272" t="s">
        <v>1187</v>
      </c>
    </row>
    <row r="62" spans="1:27" s="30" customFormat="1" ht="8.1" customHeight="1">
      <c r="A62" s="1025"/>
      <c r="B62" s="1032">
        <f t="shared" ref="B62:S68" si="9">(B61/$S61)*100</f>
        <v>10.673394528319999</v>
      </c>
      <c r="C62" s="1032">
        <f t="shared" si="9"/>
        <v>3.4686184920545329</v>
      </c>
      <c r="D62" s="1032">
        <f t="shared" si="9"/>
        <v>1.7227573823793463</v>
      </c>
      <c r="E62" s="1032">
        <f t="shared" si="9"/>
        <v>20.863509719917417</v>
      </c>
      <c r="F62" s="1032">
        <f t="shared" si="9"/>
        <v>1.4579612384863789</v>
      </c>
      <c r="G62" s="1032">
        <f t="shared" si="9"/>
        <v>7.0630942748119789</v>
      </c>
      <c r="H62" s="1032">
        <f t="shared" si="9"/>
        <v>13.442043930840732</v>
      </c>
      <c r="I62" s="1032">
        <f t="shared" si="9"/>
        <v>0.71948593679284401</v>
      </c>
      <c r="J62" s="1032">
        <f t="shared" si="9"/>
        <v>10.809484976774952</v>
      </c>
      <c r="K62" s="1032">
        <f t="shared" si="9"/>
        <v>3.313960664585573</v>
      </c>
      <c r="L62" s="1032">
        <f t="shared" si="9"/>
        <v>6.2239753391447818</v>
      </c>
      <c r="M62" s="1032">
        <f t="shared" si="9"/>
        <v>3.5462638952040249</v>
      </c>
      <c r="N62" s="1032">
        <f t="shared" si="9"/>
        <v>2.3786289467548758</v>
      </c>
      <c r="O62" s="1032">
        <f t="shared" si="9"/>
        <v>1.7727627099511656</v>
      </c>
      <c r="P62" s="1032">
        <f t="shared" si="9"/>
        <v>8.508606929641239</v>
      </c>
      <c r="Q62" s="1032">
        <f t="shared" si="9"/>
        <v>95.964548965659844</v>
      </c>
      <c r="R62" s="1032">
        <f t="shared" si="9"/>
        <v>4.0354510343401566</v>
      </c>
      <c r="S62" s="1032">
        <f t="shared" si="9"/>
        <v>100</v>
      </c>
      <c r="T62" s="1061"/>
      <c r="U62" s="1061"/>
      <c r="V62" s="1034"/>
      <c r="W62" s="62"/>
      <c r="X62" s="62"/>
      <c r="Y62" s="62"/>
      <c r="Z62" s="62"/>
      <c r="AA62" s="62"/>
    </row>
    <row r="63" spans="1:27" s="218" customFormat="1" ht="8.1" customHeight="1">
      <c r="A63" s="170" t="s">
        <v>1311</v>
      </c>
      <c r="B63" s="1035">
        <v>104688</v>
      </c>
      <c r="C63" s="1035">
        <v>34974</v>
      </c>
      <c r="D63" s="1035">
        <v>17474</v>
      </c>
      <c r="E63" s="1035">
        <v>224270</v>
      </c>
      <c r="F63" s="1035">
        <v>15089</v>
      </c>
      <c r="G63" s="1035">
        <v>73595</v>
      </c>
      <c r="H63" s="1035">
        <v>136914</v>
      </c>
      <c r="I63" s="1035">
        <v>7316</v>
      </c>
      <c r="J63" s="1035">
        <v>109208</v>
      </c>
      <c r="K63" s="1035">
        <v>33893</v>
      </c>
      <c r="L63" s="1035">
        <v>61936</v>
      </c>
      <c r="M63" s="1035">
        <v>36463</v>
      </c>
      <c r="N63" s="1035">
        <v>24127</v>
      </c>
      <c r="O63" s="1035">
        <v>17984</v>
      </c>
      <c r="P63" s="1035">
        <v>83598</v>
      </c>
      <c r="Q63" s="756">
        <f>SUM(B63:P63)</f>
        <v>981529</v>
      </c>
      <c r="R63" s="1035">
        <v>40909</v>
      </c>
      <c r="S63" s="872">
        <f>Q63+R63</f>
        <v>1022438</v>
      </c>
      <c r="T63" s="872">
        <v>46626</v>
      </c>
      <c r="U63" s="872">
        <f>S63+T63</f>
        <v>1069064</v>
      </c>
      <c r="V63" s="272" t="s">
        <v>1311</v>
      </c>
      <c r="W63" s="170"/>
      <c r="X63" s="1038"/>
      <c r="Y63" s="170"/>
      <c r="Z63" s="170"/>
      <c r="AA63" s="170"/>
    </row>
    <row r="64" spans="1:27" ht="8.1" customHeight="1">
      <c r="A64" s="1025"/>
      <c r="B64" s="1032">
        <f t="shared" si="9"/>
        <v>10.239056060122961</v>
      </c>
      <c r="C64" s="1032">
        <f t="shared" si="9"/>
        <v>3.4206475111449302</v>
      </c>
      <c r="D64" s="1032">
        <f t="shared" si="9"/>
        <v>1.7090522848329188</v>
      </c>
      <c r="E64" s="1032">
        <f t="shared" si="9"/>
        <v>21.934826365999697</v>
      </c>
      <c r="F64" s="1032">
        <f t="shared" si="9"/>
        <v>1.4757863068469677</v>
      </c>
      <c r="G64" s="1032">
        <f t="shared" si="9"/>
        <v>7.1979914674532841</v>
      </c>
      <c r="H64" s="1032">
        <f t="shared" si="9"/>
        <v>13.390934218016154</v>
      </c>
      <c r="I64" s="1032">
        <f t="shared" si="9"/>
        <v>0.7155446100399242</v>
      </c>
      <c r="J64" s="1032">
        <f t="shared" si="9"/>
        <v>10.681136655718976</v>
      </c>
      <c r="K64" s="1032">
        <f t="shared" si="9"/>
        <v>3.3149198288795998</v>
      </c>
      <c r="L64" s="1032">
        <f t="shared" si="9"/>
        <v>6.05767782496347</v>
      </c>
      <c r="M64" s="1032">
        <f t="shared" si="9"/>
        <v>3.5662798135437059</v>
      </c>
      <c r="N64" s="1032">
        <f t="shared" si="9"/>
        <v>2.3597518871559937</v>
      </c>
      <c r="O64" s="1032">
        <f t="shared" si="9"/>
        <v>1.7589330599997259</v>
      </c>
      <c r="P64" s="1032">
        <f t="shared" si="9"/>
        <v>8.1763392988132289</v>
      </c>
      <c r="Q64" s="1032">
        <f t="shared" si="9"/>
        <v>95.998877193531541</v>
      </c>
      <c r="R64" s="1032">
        <f t="shared" si="9"/>
        <v>4.0011228064684605</v>
      </c>
      <c r="S64" s="1032">
        <f t="shared" si="9"/>
        <v>100</v>
      </c>
      <c r="T64" s="1061"/>
      <c r="U64" s="1061"/>
      <c r="V64" s="1034"/>
      <c r="W64" s="70"/>
      <c r="X64" s="590"/>
      <c r="Y64" s="70"/>
      <c r="Z64" s="70"/>
      <c r="AA64" s="70"/>
    </row>
    <row r="65" spans="1:27" s="432" customFormat="1" ht="9" customHeight="1">
      <c r="A65" s="170" t="s">
        <v>1420</v>
      </c>
      <c r="B65" s="1035">
        <v>107991</v>
      </c>
      <c r="C65" s="1035">
        <v>37146</v>
      </c>
      <c r="D65" s="1035">
        <v>18501</v>
      </c>
      <c r="E65" s="1035">
        <v>256118</v>
      </c>
      <c r="F65" s="1035">
        <v>16535</v>
      </c>
      <c r="G65" s="1035">
        <v>81139</v>
      </c>
      <c r="H65" s="1035">
        <v>148058</v>
      </c>
      <c r="I65" s="1035">
        <v>7870</v>
      </c>
      <c r="J65" s="1035">
        <v>117056</v>
      </c>
      <c r="K65" s="1035">
        <v>36394</v>
      </c>
      <c r="L65" s="1035">
        <v>65173</v>
      </c>
      <c r="M65" s="1035">
        <v>38795</v>
      </c>
      <c r="N65" s="1035">
        <v>25976</v>
      </c>
      <c r="O65" s="1035">
        <v>20105</v>
      </c>
      <c r="P65" s="1035">
        <v>86706</v>
      </c>
      <c r="Q65" s="756">
        <f>SUM(B65:P65)</f>
        <v>1063563</v>
      </c>
      <c r="R65" s="1035">
        <v>42231</v>
      </c>
      <c r="S65" s="872">
        <f>Q65+R65</f>
        <v>1105794</v>
      </c>
      <c r="T65" s="1035">
        <v>49412</v>
      </c>
      <c r="U65" s="872">
        <f>S65+T65</f>
        <v>1155206</v>
      </c>
      <c r="V65" s="272" t="s">
        <v>1420</v>
      </c>
      <c r="W65" s="469"/>
      <c r="X65" s="1039"/>
      <c r="Y65" s="469"/>
      <c r="Z65" s="469"/>
      <c r="AA65" s="469"/>
    </row>
    <row r="66" spans="1:27" ht="8.1" customHeight="1">
      <c r="A66" s="1025"/>
      <c r="B66" s="1032">
        <f t="shared" si="9"/>
        <v>9.765923852001368</v>
      </c>
      <c r="C66" s="1032">
        <f t="shared" si="9"/>
        <v>3.3592151883623895</v>
      </c>
      <c r="D66" s="1032">
        <f t="shared" si="9"/>
        <v>1.6730964356833189</v>
      </c>
      <c r="E66" s="1032">
        <f t="shared" si="9"/>
        <v>23.161456835540797</v>
      </c>
      <c r="F66" s="1032">
        <f t="shared" si="9"/>
        <v>1.4953056355885455</v>
      </c>
      <c r="G66" s="1032">
        <f t="shared" si="9"/>
        <v>7.3376234633213784</v>
      </c>
      <c r="H66" s="1032">
        <f t="shared" si="9"/>
        <v>13.389293123312299</v>
      </c>
      <c r="I66" s="1032">
        <f t="shared" si="9"/>
        <v>0.71170579692058378</v>
      </c>
      <c r="J66" s="1032">
        <f t="shared" si="9"/>
        <v>10.585696793435305</v>
      </c>
      <c r="K66" s="1032">
        <f t="shared" si="9"/>
        <v>3.2912097551623538</v>
      </c>
      <c r="L66" s="1032">
        <f t="shared" si="9"/>
        <v>5.8937740664174338</v>
      </c>
      <c r="M66" s="1032">
        <f t="shared" si="9"/>
        <v>3.5083388045151267</v>
      </c>
      <c r="N66" s="1032">
        <f t="shared" si="9"/>
        <v>2.349081293622501</v>
      </c>
      <c r="O66" s="1032">
        <f t="shared" si="9"/>
        <v>1.8181505777748839</v>
      </c>
      <c r="P66" s="1032">
        <f t="shared" si="9"/>
        <v>7.8410626210668539</v>
      </c>
      <c r="Q66" s="1032">
        <f t="shared" si="9"/>
        <v>96.180934242725129</v>
      </c>
      <c r="R66" s="1032">
        <f t="shared" si="9"/>
        <v>3.819065757274863</v>
      </c>
      <c r="S66" s="1032">
        <f t="shared" si="9"/>
        <v>100</v>
      </c>
      <c r="T66" s="1061"/>
      <c r="U66" s="1061"/>
      <c r="V66" s="1034"/>
      <c r="W66" s="70"/>
      <c r="X66" s="590"/>
      <c r="Y66" s="70"/>
      <c r="Z66" s="70"/>
      <c r="AA66" s="70"/>
    </row>
    <row r="67" spans="1:27" s="432" customFormat="1" ht="8.25" customHeight="1">
      <c r="A67" s="1222" t="s">
        <v>1502</v>
      </c>
      <c r="B67" s="1035">
        <v>112423</v>
      </c>
      <c r="C67" s="1035">
        <v>39383</v>
      </c>
      <c r="D67" s="1035">
        <v>18681</v>
      </c>
      <c r="E67" s="1035">
        <v>260728</v>
      </c>
      <c r="F67" s="1035">
        <v>16814</v>
      </c>
      <c r="G67" s="1035">
        <v>88169</v>
      </c>
      <c r="H67" s="1035">
        <v>154029</v>
      </c>
      <c r="I67" s="1035">
        <v>8007</v>
      </c>
      <c r="J67" s="1035">
        <v>121355</v>
      </c>
      <c r="K67" s="1035">
        <v>37521</v>
      </c>
      <c r="L67" s="1035">
        <v>68317</v>
      </c>
      <c r="M67" s="1035">
        <v>40906</v>
      </c>
      <c r="N67" s="1035">
        <v>27290</v>
      </c>
      <c r="O67" s="1035">
        <v>22109</v>
      </c>
      <c r="P67" s="1035">
        <v>89319</v>
      </c>
      <c r="Q67" s="756">
        <f>SUM(B67:P67)</f>
        <v>1105051</v>
      </c>
      <c r="R67" s="1035">
        <v>39546</v>
      </c>
      <c r="S67" s="872">
        <f>Q67+R67</f>
        <v>1144597</v>
      </c>
      <c r="T67" s="1035">
        <v>55948</v>
      </c>
      <c r="U67" s="872">
        <f>S67+T67</f>
        <v>1200545</v>
      </c>
      <c r="V67" s="272" t="s">
        <v>1502</v>
      </c>
      <c r="W67" s="469"/>
      <c r="X67" s="469"/>
      <c r="Y67" s="469"/>
      <c r="Z67" s="469"/>
      <c r="AA67" s="469"/>
    </row>
    <row r="68" spans="1:27" ht="6.75" customHeight="1">
      <c r="A68" s="1025"/>
      <c r="B68" s="1032">
        <f>(B67/$S67)*100</f>
        <v>9.822059641952583</v>
      </c>
      <c r="C68" s="1032">
        <f t="shared" si="9"/>
        <v>3.4407743511471724</v>
      </c>
      <c r="D68" s="1032">
        <f t="shared" si="9"/>
        <v>1.6321028274580485</v>
      </c>
      <c r="E68" s="1032">
        <f t="shared" si="9"/>
        <v>22.779021786707464</v>
      </c>
      <c r="F68" s="1032">
        <f t="shared" si="9"/>
        <v>1.4689886484063823</v>
      </c>
      <c r="G68" s="1032">
        <f t="shared" si="9"/>
        <v>7.7030605531903369</v>
      </c>
      <c r="H68" s="1032">
        <f t="shared" si="9"/>
        <v>13.457050822254471</v>
      </c>
      <c r="I68" s="1032">
        <f t="shared" si="9"/>
        <v>0.69954752633459638</v>
      </c>
      <c r="J68" s="1032">
        <f t="shared" si="9"/>
        <v>10.602421638358305</v>
      </c>
      <c r="K68" s="1032">
        <f t="shared" si="9"/>
        <v>3.2780970070688635</v>
      </c>
      <c r="L68" s="1032">
        <f t="shared" si="9"/>
        <v>5.9686509749719772</v>
      </c>
      <c r="M68" s="1032">
        <f t="shared" si="9"/>
        <v>3.5738342840318467</v>
      </c>
      <c r="N68" s="1032">
        <f t="shared" si="9"/>
        <v>2.3842452845848801</v>
      </c>
      <c r="O68" s="1032">
        <f t="shared" si="9"/>
        <v>1.9315968851919059</v>
      </c>
      <c r="P68" s="1032">
        <f t="shared" si="9"/>
        <v>7.8035325970625475</v>
      </c>
      <c r="Q68" s="1032">
        <f t="shared" si="9"/>
        <v>96.544984828721383</v>
      </c>
      <c r="R68" s="1032">
        <f t="shared" si="9"/>
        <v>3.4550151712786246</v>
      </c>
      <c r="S68" s="1032">
        <f t="shared" si="9"/>
        <v>100</v>
      </c>
      <c r="T68" s="1061"/>
      <c r="U68" s="1061"/>
      <c r="V68" s="1034"/>
      <c r="W68" s="1040"/>
      <c r="X68" s="70"/>
    </row>
    <row r="69" spans="1:27" s="432" customFormat="1" ht="10.5" customHeight="1">
      <c r="A69" s="170" t="s">
        <v>1555</v>
      </c>
      <c r="B69" s="1035">
        <v>115405</v>
      </c>
      <c r="C69" s="1035">
        <v>41643</v>
      </c>
      <c r="D69" s="1035">
        <v>18735</v>
      </c>
      <c r="E69" s="1035">
        <v>275764</v>
      </c>
      <c r="F69" s="1035">
        <v>17611</v>
      </c>
      <c r="G69" s="1035">
        <v>95824</v>
      </c>
      <c r="H69" s="1035">
        <v>164109</v>
      </c>
      <c r="I69" s="1035">
        <v>8556</v>
      </c>
      <c r="J69" s="1035">
        <v>128718</v>
      </c>
      <c r="K69" s="1035">
        <v>39139</v>
      </c>
      <c r="L69" s="1035">
        <v>71662</v>
      </c>
      <c r="M69" s="1035">
        <v>43424</v>
      </c>
      <c r="N69" s="1035">
        <v>28807</v>
      </c>
      <c r="O69" s="1035">
        <v>24308</v>
      </c>
      <c r="P69" s="1035">
        <v>92044</v>
      </c>
      <c r="Q69" s="756">
        <f>SUM(B69:P69)</f>
        <v>1165749</v>
      </c>
      <c r="R69" s="1035">
        <v>41497</v>
      </c>
      <c r="S69" s="872">
        <f>Q69+R69</f>
        <v>1207246</v>
      </c>
      <c r="T69" s="1035">
        <v>74873</v>
      </c>
      <c r="U69" s="872">
        <f>S69+T69</f>
        <v>1282119</v>
      </c>
      <c r="V69" s="272" t="s">
        <v>1994</v>
      </c>
      <c r="W69" s="469"/>
      <c r="X69" s="469"/>
    </row>
    <row r="70" spans="1:27" ht="8.25" customHeight="1" thickBot="1">
      <c r="A70" s="812"/>
      <c r="B70" s="1062">
        <f>(B69/$S69)*100</f>
        <v>9.5593607268112706</v>
      </c>
      <c r="C70" s="1062">
        <f t="shared" ref="C70:S70" si="10">(C69/$S69)*100</f>
        <v>3.4494212447173158</v>
      </c>
      <c r="D70" s="1062">
        <f t="shared" si="10"/>
        <v>1.5518792358806737</v>
      </c>
      <c r="E70" s="1062">
        <f t="shared" si="10"/>
        <v>22.842403288145082</v>
      </c>
      <c r="F70" s="1062">
        <f t="shared" si="10"/>
        <v>1.4587747650437441</v>
      </c>
      <c r="G70" s="1062">
        <f t="shared" si="10"/>
        <v>7.9374046383255781</v>
      </c>
      <c r="H70" s="1062">
        <f t="shared" si="10"/>
        <v>13.59366690798727</v>
      </c>
      <c r="I70" s="1062">
        <f t="shared" si="10"/>
        <v>0.70872050932452879</v>
      </c>
      <c r="J70" s="1062">
        <f t="shared" si="10"/>
        <v>10.6621185740106</v>
      </c>
      <c r="K70" s="1062">
        <f t="shared" si="10"/>
        <v>3.2420070143119131</v>
      </c>
      <c r="L70" s="1062">
        <f t="shared" si="10"/>
        <v>5.9359898479680195</v>
      </c>
      <c r="M70" s="1062">
        <f t="shared" si="10"/>
        <v>3.5969471010879306</v>
      </c>
      <c r="N70" s="1062">
        <f t="shared" si="10"/>
        <v>2.3861748144123069</v>
      </c>
      <c r="O70" s="1062">
        <f t="shared" si="10"/>
        <v>2.0135084315872653</v>
      </c>
      <c r="P70" s="1062">
        <f t="shared" si="10"/>
        <v>7.6242952968988922</v>
      </c>
      <c r="Q70" s="1062">
        <f t="shared" si="10"/>
        <v>96.562672396512397</v>
      </c>
      <c r="R70" s="1062">
        <f t="shared" si="10"/>
        <v>3.4373276034876077</v>
      </c>
      <c r="S70" s="1062">
        <f t="shared" si="10"/>
        <v>100</v>
      </c>
      <c r="T70" s="1063"/>
      <c r="U70" s="1063"/>
      <c r="V70" s="813"/>
      <c r="W70" s="70"/>
      <c r="X70" s="70"/>
    </row>
    <row r="71" spans="1:27" ht="12.75" customHeight="1">
      <c r="A71" s="77" t="s">
        <v>270</v>
      </c>
      <c r="B71" s="2350" t="s">
        <v>1995</v>
      </c>
      <c r="C71" s="2350"/>
      <c r="D71" s="2350"/>
      <c r="E71" s="2350"/>
      <c r="F71" s="2350"/>
      <c r="G71" s="2350"/>
      <c r="H71" s="2350"/>
      <c r="I71" s="2350"/>
      <c r="J71" s="2350"/>
      <c r="K71" s="2350"/>
      <c r="L71" s="2351" t="s">
        <v>1996</v>
      </c>
      <c r="M71" s="2352"/>
      <c r="N71" s="2352"/>
      <c r="O71" s="2352"/>
      <c r="P71" s="2353"/>
      <c r="Q71" s="2352"/>
      <c r="R71" s="2352"/>
      <c r="S71" s="2352"/>
      <c r="T71" s="2352"/>
      <c r="U71" s="2354" t="s">
        <v>1559</v>
      </c>
      <c r="V71" s="2354"/>
      <c r="W71" s="70"/>
      <c r="X71" s="70"/>
    </row>
    <row r="72" spans="1:27">
      <c r="H72" s="1041"/>
      <c r="W72" s="70"/>
      <c r="X72" s="70"/>
    </row>
    <row r="73" spans="1:27">
      <c r="H73" s="1041"/>
      <c r="W73" s="70"/>
      <c r="X73" s="70"/>
    </row>
    <row r="74" spans="1:27">
      <c r="H74" s="1042"/>
      <c r="W74" s="70"/>
      <c r="X74" s="70"/>
    </row>
    <row r="75" spans="1:27">
      <c r="H75" s="1042"/>
      <c r="W75" s="70"/>
      <c r="X75" s="70"/>
    </row>
    <row r="76" spans="1:27">
      <c r="H76" s="1043"/>
    </row>
    <row r="77" spans="1:27">
      <c r="H77" s="1043"/>
    </row>
    <row r="78" spans="1:27">
      <c r="H78" s="1042"/>
    </row>
    <row r="79" spans="1:27">
      <c r="H79" s="1042"/>
    </row>
    <row r="80" spans="1:27">
      <c r="H80" s="1042"/>
    </row>
    <row r="81" spans="8:8">
      <c r="H81" s="1042"/>
    </row>
    <row r="82" spans="8:8">
      <c r="H82" s="1042"/>
    </row>
    <row r="83" spans="8:8">
      <c r="H83" s="1042"/>
    </row>
    <row r="84" spans="8:8">
      <c r="H84" s="1043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41" activePane="bottomLeft" state="frozen"/>
      <selection activeCell="X47" sqref="X47:X50"/>
      <selection pane="bottomLeft" sqref="A1:XFD1048576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2" customFormat="1" ht="15.75" customHeight="1">
      <c r="A1" s="1007"/>
      <c r="B1" s="1007"/>
      <c r="C1" s="1008" t="s">
        <v>2026</v>
      </c>
      <c r="D1" s="1008"/>
      <c r="E1" s="2368" t="s">
        <v>2410</v>
      </c>
      <c r="F1" s="2368"/>
      <c r="G1" s="2368"/>
      <c r="H1" s="2368"/>
      <c r="I1" s="2368"/>
      <c r="J1" s="2368"/>
      <c r="K1" s="2368"/>
      <c r="L1" s="2368"/>
      <c r="M1" s="2368"/>
      <c r="N1" s="2367" t="s">
        <v>1964</v>
      </c>
      <c r="O1" s="2367"/>
      <c r="P1" s="2367"/>
      <c r="Q1" s="2367"/>
      <c r="R1" s="2367"/>
      <c r="S1" s="2367"/>
      <c r="T1" s="2367"/>
      <c r="U1" s="2367"/>
      <c r="V1" s="2367"/>
      <c r="W1" s="2367"/>
      <c r="X1" s="2367"/>
      <c r="Y1" s="2362" t="s">
        <v>1077</v>
      </c>
      <c r="Z1" s="2363"/>
      <c r="AA1" s="50"/>
    </row>
    <row r="2" spans="1:27" s="89" customFormat="1" ht="11.25" customHeight="1">
      <c r="A2" s="1810"/>
      <c r="B2" s="1810"/>
      <c r="E2" s="1810"/>
      <c r="F2" s="1810"/>
      <c r="G2" s="1810"/>
      <c r="H2" s="1810"/>
      <c r="I2" s="1810"/>
      <c r="J2" s="2364"/>
      <c r="K2" s="2364"/>
      <c r="L2" s="2364"/>
      <c r="M2" s="90"/>
      <c r="N2" s="90"/>
      <c r="O2" s="90"/>
      <c r="Y2" s="2365" t="s">
        <v>24</v>
      </c>
      <c r="Z2" s="2365"/>
    </row>
    <row r="3" spans="1:27" s="39" customFormat="1" ht="69" customHeight="1">
      <c r="A3" s="2269" t="s">
        <v>481</v>
      </c>
      <c r="B3" s="1807" t="s">
        <v>1965</v>
      </c>
      <c r="C3" s="1807" t="s">
        <v>1255</v>
      </c>
      <c r="D3" s="1807" t="s">
        <v>265</v>
      </c>
      <c r="E3" s="1807" t="s">
        <v>1966</v>
      </c>
      <c r="F3" s="1807" t="s">
        <v>1967</v>
      </c>
      <c r="G3" s="1807" t="s">
        <v>266</v>
      </c>
      <c r="H3" s="1807" t="s">
        <v>1264</v>
      </c>
      <c r="I3" s="1807" t="s">
        <v>1968</v>
      </c>
      <c r="J3" s="1807" t="s">
        <v>1969</v>
      </c>
      <c r="K3" s="1807" t="s">
        <v>1970</v>
      </c>
      <c r="L3" s="1807" t="s">
        <v>2640</v>
      </c>
      <c r="M3" s="1807" t="s">
        <v>1972</v>
      </c>
      <c r="N3" s="1807" t="s">
        <v>1973</v>
      </c>
      <c r="O3" s="1807" t="s">
        <v>1974</v>
      </c>
      <c r="P3" s="1807" t="s">
        <v>1260</v>
      </c>
      <c r="Q3" s="1807" t="s">
        <v>268</v>
      </c>
      <c r="R3" s="1807" t="s">
        <v>1975</v>
      </c>
      <c r="S3" s="1807" t="s">
        <v>1976</v>
      </c>
      <c r="T3" s="1807" t="s">
        <v>1977</v>
      </c>
      <c r="U3" s="1807" t="s">
        <v>1978</v>
      </c>
      <c r="V3" s="1807" t="s">
        <v>1979</v>
      </c>
      <c r="W3" s="1807" t="s">
        <v>1980</v>
      </c>
      <c r="X3" s="1807" t="s">
        <v>264</v>
      </c>
      <c r="Y3" s="1806" t="s">
        <v>1981</v>
      </c>
      <c r="Z3" s="2269" t="s">
        <v>481</v>
      </c>
    </row>
    <row r="4" spans="1:27" s="46" customFormat="1" ht="11.25" customHeight="1">
      <c r="A4" s="2188"/>
      <c r="B4" s="595">
        <v>1</v>
      </c>
      <c r="C4" s="595">
        <v>2</v>
      </c>
      <c r="D4" s="595">
        <v>3</v>
      </c>
      <c r="E4" s="595">
        <v>4</v>
      </c>
      <c r="F4" s="595">
        <v>5</v>
      </c>
      <c r="G4" s="595">
        <v>6</v>
      </c>
      <c r="H4" s="595">
        <v>7</v>
      </c>
      <c r="I4" s="595">
        <v>8</v>
      </c>
      <c r="J4" s="595">
        <v>9</v>
      </c>
      <c r="K4" s="595">
        <v>10</v>
      </c>
      <c r="L4" s="595">
        <v>11</v>
      </c>
      <c r="M4" s="595">
        <v>12</v>
      </c>
      <c r="N4" s="595">
        <v>13</v>
      </c>
      <c r="O4" s="595">
        <v>14</v>
      </c>
      <c r="P4" s="595">
        <v>15</v>
      </c>
      <c r="Q4" s="595">
        <v>16</v>
      </c>
      <c r="R4" s="595">
        <v>17</v>
      </c>
      <c r="S4" s="595">
        <v>18</v>
      </c>
      <c r="T4" s="595">
        <v>19</v>
      </c>
      <c r="U4" s="595">
        <v>20</v>
      </c>
      <c r="V4" s="595">
        <v>21</v>
      </c>
      <c r="W4" s="595">
        <v>22</v>
      </c>
      <c r="X4" s="595">
        <v>23</v>
      </c>
      <c r="Y4" s="595">
        <v>24</v>
      </c>
      <c r="Z4" s="2271"/>
    </row>
    <row r="5" spans="1:27" s="1010" customFormat="1" ht="13.5" customHeight="1">
      <c r="A5" s="2366" t="s">
        <v>1982</v>
      </c>
      <c r="B5" s="2366"/>
      <c r="C5" s="2366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213"/>
    </row>
    <row r="6" spans="1:27" ht="12" customHeight="1">
      <c r="A6" s="392" t="s">
        <v>1163</v>
      </c>
      <c r="B6" s="288">
        <v>279505</v>
      </c>
      <c r="C6" s="288">
        <v>33052</v>
      </c>
      <c r="D6" s="288">
        <v>422387</v>
      </c>
      <c r="E6" s="288">
        <v>24555</v>
      </c>
      <c r="F6" s="288">
        <v>2103</v>
      </c>
      <c r="G6" s="288">
        <v>162843</v>
      </c>
      <c r="H6" s="288">
        <v>288510</v>
      </c>
      <c r="I6" s="288">
        <v>158030</v>
      </c>
      <c r="J6" s="288">
        <v>23886</v>
      </c>
      <c r="K6" s="288">
        <v>24833</v>
      </c>
      <c r="L6" s="288">
        <v>65072</v>
      </c>
      <c r="M6" s="288">
        <v>192509</v>
      </c>
      <c r="N6" s="288">
        <v>3906</v>
      </c>
      <c r="O6" s="288">
        <v>14244</v>
      </c>
      <c r="P6" s="288">
        <v>66730</v>
      </c>
      <c r="Q6" s="288">
        <v>54479</v>
      </c>
      <c r="R6" s="288">
        <v>54600</v>
      </c>
      <c r="S6" s="288">
        <v>3007</v>
      </c>
      <c r="T6" s="288">
        <v>113176</v>
      </c>
      <c r="U6" s="288">
        <f>SUM(B6:T6)</f>
        <v>1987427</v>
      </c>
      <c r="V6" s="288">
        <v>88394</v>
      </c>
      <c r="W6" s="288">
        <f>U6+V6</f>
        <v>2075821</v>
      </c>
      <c r="X6" s="288">
        <v>97254</v>
      </c>
      <c r="Y6" s="288">
        <f>W6+X6</f>
        <v>2173075</v>
      </c>
      <c r="Z6" s="349" t="s">
        <v>1163</v>
      </c>
    </row>
    <row r="7" spans="1:27" s="160" customFormat="1" ht="12" customHeight="1">
      <c r="A7" s="1803"/>
      <c r="B7" s="1011">
        <f t="shared" ref="B7:W7" si="0">(B6/$W6)*100</f>
        <v>13.464792966252869</v>
      </c>
      <c r="C7" s="1011">
        <f t="shared" si="0"/>
        <v>1.592237480977406</v>
      </c>
      <c r="D7" s="1011">
        <f t="shared" si="0"/>
        <v>20.347949076534057</v>
      </c>
      <c r="E7" s="1011">
        <f t="shared" si="0"/>
        <v>1.1829054624652124</v>
      </c>
      <c r="F7" s="1011">
        <f t="shared" si="0"/>
        <v>0.10130931327893879</v>
      </c>
      <c r="G7" s="1011">
        <f t="shared" si="0"/>
        <v>7.8447515464965427</v>
      </c>
      <c r="H7" s="1011">
        <f t="shared" si="0"/>
        <v>13.898597229722601</v>
      </c>
      <c r="I7" s="1011">
        <f t="shared" si="0"/>
        <v>7.6128914776370404</v>
      </c>
      <c r="J7" s="1011">
        <f t="shared" si="0"/>
        <v>1.1506772501097158</v>
      </c>
      <c r="K7" s="1011">
        <f t="shared" si="0"/>
        <v>1.1962977539970931</v>
      </c>
      <c r="L7" s="1011">
        <f t="shared" si="0"/>
        <v>3.1347596926709964</v>
      </c>
      <c r="M7" s="1011">
        <f t="shared" si="0"/>
        <v>9.2738728435640638</v>
      </c>
      <c r="N7" s="1011">
        <f t="shared" si="0"/>
        <v>0.18816651339397761</v>
      </c>
      <c r="O7" s="1011">
        <f t="shared" si="0"/>
        <v>0.68618633302197063</v>
      </c>
      <c r="P7" s="1011">
        <f t="shared" si="0"/>
        <v>3.2146317047568167</v>
      </c>
      <c r="Q7" s="1011">
        <f t="shared" si="0"/>
        <v>2.6244555768536881</v>
      </c>
      <c r="R7" s="1011">
        <f>(R6/$W6)*100</f>
        <v>2.6302845958297945</v>
      </c>
      <c r="S7" s="1011">
        <f>(S6/$W6)*100</f>
        <v>0.14485834761282404</v>
      </c>
      <c r="T7" s="1011">
        <f t="shared" si="0"/>
        <v>5.4521078647918104</v>
      </c>
      <c r="U7" s="1011">
        <f t="shared" si="0"/>
        <v>95.741733029967421</v>
      </c>
      <c r="V7" s="1011">
        <f t="shared" si="0"/>
        <v>4.2582669700325804</v>
      </c>
      <c r="W7" s="1011">
        <f t="shared" si="0"/>
        <v>100</v>
      </c>
      <c r="X7" s="249"/>
      <c r="Y7" s="249"/>
      <c r="Z7" s="373"/>
    </row>
    <row r="8" spans="1:27" ht="12" customHeight="1">
      <c r="A8" s="392" t="s">
        <v>1187</v>
      </c>
      <c r="B8" s="288">
        <v>301167</v>
      </c>
      <c r="C8" s="288">
        <v>39984</v>
      </c>
      <c r="D8" s="288">
        <v>466606</v>
      </c>
      <c r="E8" s="288">
        <v>29234</v>
      </c>
      <c r="F8" s="288">
        <v>2263</v>
      </c>
      <c r="G8" s="288">
        <v>188219</v>
      </c>
      <c r="H8" s="288">
        <v>324632</v>
      </c>
      <c r="I8" s="288">
        <v>178722</v>
      </c>
      <c r="J8" s="288">
        <v>26670</v>
      </c>
      <c r="K8" s="288">
        <v>27264</v>
      </c>
      <c r="L8" s="288">
        <v>72247</v>
      </c>
      <c r="M8" s="288">
        <v>214151</v>
      </c>
      <c r="N8" s="288">
        <v>4282</v>
      </c>
      <c r="O8" s="288">
        <v>15722</v>
      </c>
      <c r="P8" s="288">
        <v>78463</v>
      </c>
      <c r="Q8" s="288">
        <v>60858</v>
      </c>
      <c r="R8" s="288">
        <v>63515</v>
      </c>
      <c r="S8" s="288">
        <v>3365</v>
      </c>
      <c r="T8" s="288">
        <v>124429</v>
      </c>
      <c r="U8" s="288">
        <f>SUM(B8:T8)</f>
        <v>2221793</v>
      </c>
      <c r="V8" s="288">
        <v>102514</v>
      </c>
      <c r="W8" s="288">
        <f>U8+V8</f>
        <v>2324307</v>
      </c>
      <c r="X8" s="288">
        <v>80250</v>
      </c>
      <c r="Y8" s="288">
        <f>W8+X8</f>
        <v>2404557</v>
      </c>
      <c r="Z8" s="349" t="s">
        <v>1187</v>
      </c>
    </row>
    <row r="9" spans="1:27" s="160" customFormat="1" ht="12" customHeight="1">
      <c r="A9" s="1803"/>
      <c r="B9" s="1011">
        <f t="shared" ref="B9:W9" si="1">(B8/$W8)*100</f>
        <v>12.95728146066763</v>
      </c>
      <c r="C9" s="1011">
        <f t="shared" si="1"/>
        <v>1.7202546823633882</v>
      </c>
      <c r="D9" s="1011">
        <f t="shared" si="1"/>
        <v>20.075058931543897</v>
      </c>
      <c r="E9" s="1011">
        <f t="shared" si="1"/>
        <v>1.2577512350993221</v>
      </c>
      <c r="F9" s="1011">
        <f t="shared" si="1"/>
        <v>9.7362353596147158E-2</v>
      </c>
      <c r="G9" s="1011">
        <f t="shared" si="1"/>
        <v>8.0978545433111897</v>
      </c>
      <c r="H9" s="1011">
        <f t="shared" si="1"/>
        <v>13.966829682997986</v>
      </c>
      <c r="I9" s="1011">
        <f t="shared" si="1"/>
        <v>7.6892596373886928</v>
      </c>
      <c r="J9" s="1011">
        <f t="shared" si="1"/>
        <v>1.1474387849797811</v>
      </c>
      <c r="K9" s="1011">
        <f t="shared" si="1"/>
        <v>1.1729947894146513</v>
      </c>
      <c r="L9" s="1011">
        <f t="shared" si="1"/>
        <v>3.1083243306499528</v>
      </c>
      <c r="M9" s="1011">
        <f t="shared" si="1"/>
        <v>9.2135419288415861</v>
      </c>
      <c r="N9" s="1011">
        <f t="shared" si="1"/>
        <v>0.18422695452881224</v>
      </c>
      <c r="O9" s="1011">
        <f t="shared" si="1"/>
        <v>0.67641666957075808</v>
      </c>
      <c r="P9" s="1011">
        <f t="shared" si="1"/>
        <v>3.3757588821098077</v>
      </c>
      <c r="Q9" s="1011">
        <f t="shared" si="1"/>
        <v>2.6183288180089805</v>
      </c>
      <c r="R9" s="1011">
        <f t="shared" si="1"/>
        <v>2.7326424607420621</v>
      </c>
      <c r="S9" s="1011">
        <f t="shared" si="1"/>
        <v>0.14477433488777516</v>
      </c>
      <c r="T9" s="1011">
        <f t="shared" si="1"/>
        <v>5.3533805990344652</v>
      </c>
      <c r="U9" s="1011">
        <f t="shared" si="1"/>
        <v>95.589481079736885</v>
      </c>
      <c r="V9" s="1011">
        <f t="shared" si="1"/>
        <v>4.4105189202631152</v>
      </c>
      <c r="W9" s="1011">
        <f t="shared" si="1"/>
        <v>100</v>
      </c>
      <c r="X9" s="249"/>
      <c r="Y9" s="249"/>
      <c r="Z9" s="373"/>
    </row>
    <row r="10" spans="1:27" ht="12" customHeight="1">
      <c r="A10" s="392" t="s">
        <v>1311</v>
      </c>
      <c r="B10" s="288">
        <v>329380</v>
      </c>
      <c r="C10" s="288">
        <v>44276</v>
      </c>
      <c r="D10" s="288">
        <v>549024</v>
      </c>
      <c r="E10" s="288">
        <v>32625</v>
      </c>
      <c r="F10" s="288">
        <v>2487</v>
      </c>
      <c r="G10" s="288">
        <v>215693</v>
      </c>
      <c r="H10" s="288">
        <v>373716</v>
      </c>
      <c r="I10" s="290">
        <v>197806</v>
      </c>
      <c r="J10" s="288">
        <v>30106</v>
      </c>
      <c r="K10" s="288">
        <v>29460</v>
      </c>
      <c r="L10" s="288">
        <v>81724</v>
      </c>
      <c r="M10" s="288">
        <v>235990</v>
      </c>
      <c r="N10" s="288">
        <v>4714</v>
      </c>
      <c r="O10" s="288">
        <v>17269</v>
      </c>
      <c r="P10" s="288">
        <v>90249</v>
      </c>
      <c r="Q10" s="288">
        <v>68164</v>
      </c>
      <c r="R10" s="288">
        <v>73365</v>
      </c>
      <c r="S10" s="288">
        <v>3772</v>
      </c>
      <c r="T10" s="288">
        <v>136783</v>
      </c>
      <c r="U10" s="288">
        <f>SUM(B10:T10)</f>
        <v>2516603</v>
      </c>
      <c r="V10" s="288">
        <v>122645</v>
      </c>
      <c r="W10" s="288">
        <f>U10+V10</f>
        <v>2639248</v>
      </c>
      <c r="X10" s="288">
        <v>105543</v>
      </c>
      <c r="Y10" s="288">
        <f>W10+X10</f>
        <v>2744791</v>
      </c>
      <c r="Z10" s="349" t="s">
        <v>1311</v>
      </c>
    </row>
    <row r="11" spans="1:27" s="160" customFormat="1" ht="12" customHeight="1">
      <c r="A11" s="1803"/>
      <c r="B11" s="1011">
        <f t="shared" ref="B11:W11" si="2">(B10/$W10)*100</f>
        <v>12.480070080568405</v>
      </c>
      <c r="C11" s="1011">
        <f t="shared" si="2"/>
        <v>1.6775990736755317</v>
      </c>
      <c r="D11" s="1011">
        <f t="shared" si="2"/>
        <v>20.802289136905664</v>
      </c>
      <c r="E11" s="1011">
        <f t="shared" si="2"/>
        <v>1.2361475693076209</v>
      </c>
      <c r="F11" s="1011">
        <f t="shared" si="2"/>
        <v>9.4231387122392429E-2</v>
      </c>
      <c r="G11" s="1011">
        <f t="shared" si="2"/>
        <v>8.1725173231162813</v>
      </c>
      <c r="H11" s="1011">
        <f t="shared" si="2"/>
        <v>14.159942529084041</v>
      </c>
      <c r="I11" s="1011">
        <f t="shared" si="2"/>
        <v>7.4947863937000232</v>
      </c>
      <c r="J11" s="1011">
        <f t="shared" si="2"/>
        <v>1.1407037156038387</v>
      </c>
      <c r="K11" s="1011">
        <f t="shared" si="2"/>
        <v>1.116227046492031</v>
      </c>
      <c r="L11" s="1011">
        <f t="shared" si="2"/>
        <v>3.0964880905470045</v>
      </c>
      <c r="M11" s="1011">
        <f t="shared" si="2"/>
        <v>8.9415621419434625</v>
      </c>
      <c r="N11" s="1011">
        <f t="shared" si="2"/>
        <v>0.17861148327099235</v>
      </c>
      <c r="O11" s="1011">
        <f t="shared" si="2"/>
        <v>0.65431516856316652</v>
      </c>
      <c r="P11" s="1011">
        <f t="shared" si="2"/>
        <v>3.4194967657453939</v>
      </c>
      <c r="Q11" s="1011">
        <f t="shared" si="2"/>
        <v>2.5827053766830552</v>
      </c>
      <c r="R11" s="1011">
        <f t="shared" si="2"/>
        <v>2.7797690857395745</v>
      </c>
      <c r="S11" s="1011">
        <f t="shared" si="2"/>
        <v>0.14291949828132863</v>
      </c>
      <c r="T11" s="1011">
        <f t="shared" si="2"/>
        <v>5.1826505125702473</v>
      </c>
      <c r="U11" s="1011">
        <f t="shared" si="2"/>
        <v>95.353032378920062</v>
      </c>
      <c r="V11" s="1011">
        <f t="shared" si="2"/>
        <v>4.646967621079944</v>
      </c>
      <c r="W11" s="1011">
        <f t="shared" si="2"/>
        <v>100</v>
      </c>
      <c r="X11" s="249"/>
      <c r="Y11" s="249"/>
      <c r="Z11" s="373"/>
    </row>
    <row r="12" spans="1:27" ht="12" customHeight="1">
      <c r="A12" s="392" t="s">
        <v>1420</v>
      </c>
      <c r="B12" s="288">
        <v>353443</v>
      </c>
      <c r="C12" s="288">
        <v>52609</v>
      </c>
      <c r="D12" s="288">
        <v>625937</v>
      </c>
      <c r="E12" s="288">
        <v>38144</v>
      </c>
      <c r="F12" s="288">
        <v>2674</v>
      </c>
      <c r="G12" s="288">
        <v>250255</v>
      </c>
      <c r="H12" s="288">
        <v>418395</v>
      </c>
      <c r="I12" s="288">
        <v>219712</v>
      </c>
      <c r="J12" s="290">
        <v>33550</v>
      </c>
      <c r="K12" s="288">
        <v>32204</v>
      </c>
      <c r="L12" s="288">
        <v>93297</v>
      </c>
      <c r="M12" s="288">
        <v>260715</v>
      </c>
      <c r="N12" s="288">
        <v>5179</v>
      </c>
      <c r="O12" s="288">
        <v>20017</v>
      </c>
      <c r="P12" s="288">
        <v>99006</v>
      </c>
      <c r="Q12" s="288">
        <v>76961</v>
      </c>
      <c r="R12" s="288">
        <v>86811</v>
      </c>
      <c r="S12" s="288">
        <v>4244</v>
      </c>
      <c r="T12" s="288">
        <v>150690</v>
      </c>
      <c r="U12" s="288">
        <f>SUM(B12:T12)</f>
        <v>2823843</v>
      </c>
      <c r="V12" s="288">
        <v>127586</v>
      </c>
      <c r="W12" s="288">
        <f>U12+V12</f>
        <v>2951429</v>
      </c>
      <c r="X12" s="288">
        <v>120895</v>
      </c>
      <c r="Y12" s="288">
        <f>W12+X12</f>
        <v>3072324</v>
      </c>
      <c r="Z12" s="349" t="s">
        <v>1420</v>
      </c>
    </row>
    <row r="13" spans="1:27" s="160" customFormat="1" ht="12" customHeight="1">
      <c r="A13" s="1803"/>
      <c r="B13" s="1011">
        <f t="shared" ref="B13:W13" si="3">(B12/$W12)*100</f>
        <v>11.975317718976129</v>
      </c>
      <c r="C13" s="1011">
        <f t="shared" si="3"/>
        <v>1.7824924807610145</v>
      </c>
      <c r="D13" s="1011">
        <f t="shared" si="3"/>
        <v>21.20793012469553</v>
      </c>
      <c r="E13" s="1011">
        <f t="shared" si="3"/>
        <v>1.2923909062355896</v>
      </c>
      <c r="F13" s="1011">
        <f t="shared" si="3"/>
        <v>9.0600180454959281E-2</v>
      </c>
      <c r="G13" s="1011">
        <f t="shared" si="3"/>
        <v>8.4791129991607459</v>
      </c>
      <c r="H13" s="1011">
        <f t="shared" si="3"/>
        <v>14.176014398449022</v>
      </c>
      <c r="I13" s="1011">
        <f t="shared" si="3"/>
        <v>7.4442583575617105</v>
      </c>
      <c r="J13" s="1011">
        <f t="shared" si="3"/>
        <v>1.1367374922452818</v>
      </c>
      <c r="K13" s="1011">
        <f t="shared" si="3"/>
        <v>1.0911324649856053</v>
      </c>
      <c r="L13" s="1011">
        <f t="shared" si="3"/>
        <v>3.1610789214309412</v>
      </c>
      <c r="M13" s="1011">
        <f t="shared" si="3"/>
        <v>8.8335175943585291</v>
      </c>
      <c r="N13" s="1011">
        <f t="shared" si="3"/>
        <v>0.17547432108310923</v>
      </c>
      <c r="O13" s="1011">
        <f t="shared" si="3"/>
        <v>0.67821384149847408</v>
      </c>
      <c r="P13" s="1011">
        <f t="shared" si="3"/>
        <v>3.3545106455212035</v>
      </c>
      <c r="Q13" s="1011">
        <f t="shared" si="3"/>
        <v>2.6075843261010179</v>
      </c>
      <c r="R13" s="1011">
        <f t="shared" si="3"/>
        <v>2.9413209668943416</v>
      </c>
      <c r="S13" s="1011">
        <f t="shared" si="3"/>
        <v>0.14379475162709318</v>
      </c>
      <c r="T13" s="1011">
        <f t="shared" si="3"/>
        <v>5.1056623757508648</v>
      </c>
      <c r="U13" s="1011">
        <f t="shared" si="3"/>
        <v>95.677144867791171</v>
      </c>
      <c r="V13" s="1011">
        <f t="shared" si="3"/>
        <v>4.3228551322088391</v>
      </c>
      <c r="W13" s="1011">
        <f t="shared" si="3"/>
        <v>100</v>
      </c>
      <c r="X13" s="249"/>
      <c r="Y13" s="249"/>
      <c r="Z13" s="373"/>
    </row>
    <row r="14" spans="1:27" ht="12" customHeight="1">
      <c r="A14" s="392" t="s">
        <v>1502</v>
      </c>
      <c r="B14" s="288">
        <v>380446</v>
      </c>
      <c r="C14" s="288">
        <v>55224</v>
      </c>
      <c r="D14" s="288">
        <v>653064</v>
      </c>
      <c r="E14" s="288">
        <v>44523</v>
      </c>
      <c r="F14" s="288">
        <v>2761</v>
      </c>
      <c r="G14" s="288">
        <v>287880</v>
      </c>
      <c r="H14" s="288">
        <v>445757</v>
      </c>
      <c r="I14" s="288">
        <v>232252</v>
      </c>
      <c r="J14" s="288">
        <v>36015</v>
      </c>
      <c r="K14" s="288">
        <v>35107</v>
      </c>
      <c r="L14" s="288">
        <v>103217</v>
      </c>
      <c r="M14" s="288">
        <v>288001</v>
      </c>
      <c r="N14" s="288">
        <v>5656</v>
      </c>
      <c r="O14" s="288">
        <v>23005</v>
      </c>
      <c r="P14" s="288">
        <v>106965</v>
      </c>
      <c r="Q14" s="288">
        <v>85643</v>
      </c>
      <c r="R14" s="288">
        <v>101522</v>
      </c>
      <c r="S14" s="288">
        <v>4761</v>
      </c>
      <c r="T14" s="288">
        <v>165249</v>
      </c>
      <c r="U14" s="288">
        <f>SUM(B14:T14)</f>
        <v>3057048</v>
      </c>
      <c r="V14" s="288">
        <v>113421</v>
      </c>
      <c r="W14" s="288">
        <f>U14+V14</f>
        <v>3170469</v>
      </c>
      <c r="X14" s="288">
        <v>131232</v>
      </c>
      <c r="Y14" s="288">
        <f>W14+X14</f>
        <v>3301701</v>
      </c>
      <c r="Z14" s="349" t="s">
        <v>1502</v>
      </c>
    </row>
    <row r="15" spans="1:27" s="160" customFormat="1" ht="12" customHeight="1">
      <c r="A15" s="1803"/>
      <c r="B15" s="1011">
        <f t="shared" ref="B15:W15" si="4">(B14/$W14)*100</f>
        <v>11.999675757750667</v>
      </c>
      <c r="C15" s="1011">
        <f t="shared" si="4"/>
        <v>1.7418243168439749</v>
      </c>
      <c r="D15" s="1011">
        <f t="shared" si="4"/>
        <v>20.598340497888483</v>
      </c>
      <c r="E15" s="1011">
        <f t="shared" si="4"/>
        <v>1.4043032750044238</v>
      </c>
      <c r="F15" s="1011">
        <f t="shared" si="4"/>
        <v>8.7084907627231173E-2</v>
      </c>
      <c r="G15" s="1011">
        <f t="shared" si="4"/>
        <v>9.0800446243126807</v>
      </c>
      <c r="H15" s="1011">
        <f t="shared" si="4"/>
        <v>14.059654896483769</v>
      </c>
      <c r="I15" s="1011">
        <f t="shared" si="4"/>
        <v>7.3254777132342257</v>
      </c>
      <c r="J15" s="1011">
        <f t="shared" si="4"/>
        <v>1.1359518102842197</v>
      </c>
      <c r="K15" s="1011">
        <f t="shared" si="4"/>
        <v>1.1073125143314759</v>
      </c>
      <c r="L15" s="1011">
        <f t="shared" si="4"/>
        <v>3.2555751215356468</v>
      </c>
      <c r="M15" s="1011">
        <f t="shared" si="4"/>
        <v>9.0838610943680571</v>
      </c>
      <c r="N15" s="1011">
        <f t="shared" si="4"/>
        <v>0.17839631928273073</v>
      </c>
      <c r="O15" s="1011">
        <f t="shared" si="4"/>
        <v>0.72560242664413377</v>
      </c>
      <c r="P15" s="1011">
        <f t="shared" si="4"/>
        <v>3.3737910700278095</v>
      </c>
      <c r="Q15" s="1011">
        <f t="shared" si="4"/>
        <v>2.701272272335733</v>
      </c>
      <c r="R15" s="1011">
        <f t="shared" si="4"/>
        <v>3.2021129996855358</v>
      </c>
      <c r="S15" s="1011">
        <f t="shared" si="4"/>
        <v>0.15016705730287852</v>
      </c>
      <c r="T15" s="1011">
        <f t="shared" si="4"/>
        <v>5.2121310758755248</v>
      </c>
      <c r="U15" s="1011">
        <f t="shared" si="4"/>
        <v>96.42257975081921</v>
      </c>
      <c r="V15" s="1011">
        <f t="shared" si="4"/>
        <v>3.5774202491807996</v>
      </c>
      <c r="W15" s="1011">
        <f t="shared" si="4"/>
        <v>100</v>
      </c>
      <c r="X15" s="249"/>
      <c r="Y15" s="249"/>
      <c r="Z15" s="373"/>
    </row>
    <row r="16" spans="1:27" ht="12" customHeight="1">
      <c r="A16" s="392" t="s">
        <v>1555</v>
      </c>
      <c r="B16" s="290">
        <v>410661</v>
      </c>
      <c r="C16" s="290">
        <v>59102</v>
      </c>
      <c r="D16" s="290">
        <v>749659</v>
      </c>
      <c r="E16" s="290">
        <v>44902</v>
      </c>
      <c r="F16" s="290">
        <v>2968</v>
      </c>
      <c r="G16" s="290">
        <v>319490</v>
      </c>
      <c r="H16" s="290">
        <v>497652</v>
      </c>
      <c r="I16" s="290">
        <v>256215</v>
      </c>
      <c r="J16" s="290">
        <v>39857</v>
      </c>
      <c r="K16" s="290">
        <v>38448</v>
      </c>
      <c r="L16" s="290">
        <v>115271</v>
      </c>
      <c r="M16" s="290">
        <v>313028</v>
      </c>
      <c r="N16" s="290">
        <v>6273</v>
      </c>
      <c r="O16" s="290">
        <v>27138</v>
      </c>
      <c r="P16" s="290">
        <v>116996</v>
      </c>
      <c r="Q16" s="290">
        <v>95642</v>
      </c>
      <c r="R16" s="290">
        <v>118500</v>
      </c>
      <c r="S16" s="290">
        <v>5341</v>
      </c>
      <c r="T16" s="290">
        <v>180676</v>
      </c>
      <c r="U16" s="288">
        <f>SUM(B16:T16)</f>
        <v>3397819</v>
      </c>
      <c r="V16" s="290">
        <v>132366</v>
      </c>
      <c r="W16" s="288">
        <f>U16+V16</f>
        <v>3530185</v>
      </c>
      <c r="X16" s="290">
        <v>185812</v>
      </c>
      <c r="Y16" s="288">
        <f>W16+X16</f>
        <v>3715997</v>
      </c>
      <c r="Z16" s="349" t="s">
        <v>1555</v>
      </c>
    </row>
    <row r="17" spans="1:27" s="160" customFormat="1" ht="12" customHeight="1">
      <c r="A17" s="1803"/>
      <c r="B17" s="1011">
        <f t="shared" ref="B17:W19" si="5">(B16/$W16)*100</f>
        <v>11.632846437226378</v>
      </c>
      <c r="C17" s="1011">
        <f t="shared" si="5"/>
        <v>1.6741898795672183</v>
      </c>
      <c r="D17" s="1011">
        <f t="shared" si="5"/>
        <v>21.235685948470124</v>
      </c>
      <c r="E17" s="1011">
        <f t="shared" si="5"/>
        <v>1.2719446714548954</v>
      </c>
      <c r="F17" s="1011">
        <f t="shared" si="5"/>
        <v>8.4074913920941824E-2</v>
      </c>
      <c r="G17" s="1011">
        <f t="shared" si="5"/>
        <v>9.0502339112539421</v>
      </c>
      <c r="H17" s="1011">
        <f t="shared" si="5"/>
        <v>14.097051570951663</v>
      </c>
      <c r="I17" s="1011">
        <f t="shared" si="5"/>
        <v>7.2578349293308992</v>
      </c>
      <c r="J17" s="1011">
        <f t="shared" si="5"/>
        <v>1.1290343140656933</v>
      </c>
      <c r="K17" s="1011">
        <f t="shared" si="5"/>
        <v>1.0891213916551115</v>
      </c>
      <c r="L17" s="1011">
        <f t="shared" si="5"/>
        <v>3.2652962946701094</v>
      </c>
      <c r="M17" s="1011">
        <f t="shared" si="5"/>
        <v>8.8671840144355052</v>
      </c>
      <c r="N17" s="1011">
        <f t="shared" si="5"/>
        <v>0.17769606975271834</v>
      </c>
      <c r="O17" s="1011">
        <f t="shared" si="5"/>
        <v>0.76874158153184602</v>
      </c>
      <c r="P17" s="1011">
        <f t="shared" si="5"/>
        <v>3.3141605893175572</v>
      </c>
      <c r="Q17" s="1011">
        <f t="shared" si="5"/>
        <v>2.709263112273153</v>
      </c>
      <c r="R17" s="1011">
        <f t="shared" si="5"/>
        <v>3.3567645888246651</v>
      </c>
      <c r="S17" s="1011">
        <f t="shared" si="5"/>
        <v>0.15129518707943068</v>
      </c>
      <c r="T17" s="1011">
        <f t="shared" si="5"/>
        <v>5.1180320578100016</v>
      </c>
      <c r="U17" s="1011">
        <f t="shared" si="5"/>
        <v>96.250451463591844</v>
      </c>
      <c r="V17" s="1011">
        <f t="shared" si="5"/>
        <v>3.7495485364081489</v>
      </c>
      <c r="W17" s="1011">
        <f t="shared" si="5"/>
        <v>100</v>
      </c>
      <c r="X17" s="249"/>
      <c r="Y17" s="249"/>
      <c r="Z17" s="373"/>
    </row>
    <row r="18" spans="1:27" s="160" customFormat="1" ht="12" customHeight="1">
      <c r="A18" s="392" t="s">
        <v>1836</v>
      </c>
      <c r="B18" s="290">
        <v>445531</v>
      </c>
      <c r="C18" s="290">
        <v>58916</v>
      </c>
      <c r="D18" s="290">
        <v>864437</v>
      </c>
      <c r="E18" s="290">
        <v>50414</v>
      </c>
      <c r="F18" s="290">
        <v>3809</v>
      </c>
      <c r="G18" s="290">
        <v>369633</v>
      </c>
      <c r="H18" s="290">
        <v>567097</v>
      </c>
      <c r="I18" s="290">
        <v>285272</v>
      </c>
      <c r="J18" s="290">
        <v>44452</v>
      </c>
      <c r="K18" s="290">
        <v>41422</v>
      </c>
      <c r="L18" s="290">
        <v>129539</v>
      </c>
      <c r="M18" s="290">
        <v>340182</v>
      </c>
      <c r="N18" s="290">
        <v>6942</v>
      </c>
      <c r="O18" s="290">
        <v>31136</v>
      </c>
      <c r="P18" s="290">
        <v>127366</v>
      </c>
      <c r="Q18" s="290">
        <v>109514</v>
      </c>
      <c r="R18" s="290">
        <v>138207</v>
      </c>
      <c r="S18" s="290">
        <v>6074</v>
      </c>
      <c r="T18" s="290">
        <v>199886</v>
      </c>
      <c r="U18" s="288">
        <f>SUM(B18:T18)</f>
        <v>3819829</v>
      </c>
      <c r="V18" s="288">
        <v>151887</v>
      </c>
      <c r="W18" s="288">
        <f>U18+V18</f>
        <v>3971716</v>
      </c>
      <c r="X18" s="288">
        <v>157346</v>
      </c>
      <c r="Y18" s="288">
        <f>W18+X18</f>
        <v>4129062</v>
      </c>
      <c r="Z18" s="349" t="s">
        <v>1836</v>
      </c>
    </row>
    <row r="19" spans="1:27" s="160" customFormat="1" ht="12" customHeight="1">
      <c r="A19" s="1803"/>
      <c r="B19" s="1011">
        <f>(B18/$W18)*100</f>
        <v>11.217594611497901</v>
      </c>
      <c r="C19" s="1011">
        <f t="shared" si="5"/>
        <v>1.4833890439296262</v>
      </c>
      <c r="D19" s="1011">
        <f t="shared" si="5"/>
        <v>21.764824071006082</v>
      </c>
      <c r="E19" s="1011">
        <f t="shared" si="5"/>
        <v>1.2693253999027121</v>
      </c>
      <c r="F19" s="1011">
        <f t="shared" si="5"/>
        <v>9.5903131039580869E-2</v>
      </c>
      <c r="G19" s="1011">
        <f t="shared" si="5"/>
        <v>9.306632196259752</v>
      </c>
      <c r="H19" s="1011">
        <f t="shared" si="5"/>
        <v>14.278387477855919</v>
      </c>
      <c r="I19" s="1011">
        <f t="shared" si="5"/>
        <v>7.1825880803159148</v>
      </c>
      <c r="J19" s="1011">
        <f t="shared" si="5"/>
        <v>1.1192139619247701</v>
      </c>
      <c r="K19" s="1011">
        <f t="shared" si="5"/>
        <v>1.0429245192757992</v>
      </c>
      <c r="L19" s="1011">
        <f t="shared" si="5"/>
        <v>3.261537330463709</v>
      </c>
      <c r="M19" s="1011">
        <f t="shared" si="5"/>
        <v>8.565113920532081</v>
      </c>
      <c r="N19" s="1011">
        <f t="shared" si="5"/>
        <v>0.17478591117793921</v>
      </c>
      <c r="O19" s="1011">
        <f t="shared" si="5"/>
        <v>0.78394326281133897</v>
      </c>
      <c r="P19" s="1011">
        <f t="shared" si="5"/>
        <v>3.2068254628477968</v>
      </c>
      <c r="Q19" s="1011">
        <f t="shared" si="5"/>
        <v>2.7573472020658074</v>
      </c>
      <c r="R19" s="1011">
        <f t="shared" si="5"/>
        <v>3.4797805281142966</v>
      </c>
      <c r="S19" s="1011">
        <f t="shared" si="5"/>
        <v>0.15293137777222743</v>
      </c>
      <c r="T19" s="1011">
        <f t="shared" si="5"/>
        <v>5.0327364796475882</v>
      </c>
      <c r="U19" s="1011">
        <f t="shared" si="5"/>
        <v>96.17578396844084</v>
      </c>
      <c r="V19" s="1011">
        <f t="shared" si="5"/>
        <v>3.8242160315591551</v>
      </c>
      <c r="W19" s="1011">
        <f>(W18/$W18)*100</f>
        <v>100</v>
      </c>
      <c r="X19" s="249"/>
      <c r="Y19" s="249"/>
      <c r="Z19" s="373"/>
    </row>
    <row r="20" spans="1:27" s="160" customFormat="1" ht="12" customHeight="1">
      <c r="A20" s="392" t="s">
        <v>2088</v>
      </c>
      <c r="B20" s="290">
        <v>494158</v>
      </c>
      <c r="C20" s="290">
        <v>70244</v>
      </c>
      <c r="D20" s="290">
        <v>1003345</v>
      </c>
      <c r="E20" s="290">
        <v>55295</v>
      </c>
      <c r="F20" s="290">
        <v>4380</v>
      </c>
      <c r="G20" s="290">
        <v>420310</v>
      </c>
      <c r="H20" s="290">
        <v>647367</v>
      </c>
      <c r="I20" s="290">
        <v>324082</v>
      </c>
      <c r="J20" s="290">
        <v>51156</v>
      </c>
      <c r="K20" s="290">
        <v>47326</v>
      </c>
      <c r="L20" s="290">
        <v>144785</v>
      </c>
      <c r="M20" s="290">
        <v>373414</v>
      </c>
      <c r="N20" s="290">
        <v>8423</v>
      </c>
      <c r="O20" s="290">
        <v>37504</v>
      </c>
      <c r="P20" s="290">
        <v>147281</v>
      </c>
      <c r="Q20" s="290">
        <v>125974</v>
      </c>
      <c r="R20" s="290">
        <v>161533</v>
      </c>
      <c r="S20" s="290">
        <v>6912</v>
      </c>
      <c r="T20" s="290">
        <v>219599</v>
      </c>
      <c r="U20" s="290">
        <f>SUM(B20:T20)</f>
        <v>4343088</v>
      </c>
      <c r="V20" s="290">
        <v>147754</v>
      </c>
      <c r="W20" s="290">
        <f>U20+V20</f>
        <v>4490842</v>
      </c>
      <c r="X20" s="290">
        <v>179238</v>
      </c>
      <c r="Y20" s="290">
        <f>W20+X20</f>
        <v>4670080</v>
      </c>
      <c r="Z20" s="349" t="s">
        <v>2088</v>
      </c>
    </row>
    <row r="21" spans="1:27" s="160" customFormat="1" ht="12" customHeight="1">
      <c r="A21" s="1803"/>
      <c r="B21" s="1011">
        <f>(B20/$W20)*100</f>
        <v>11.003682605622732</v>
      </c>
      <c r="C21" s="1011">
        <f t="shared" ref="C21:W21" si="6">(C20/$W20)*100</f>
        <v>1.5641610192476154</v>
      </c>
      <c r="D21" s="1011">
        <f t="shared" si="6"/>
        <v>22.342024056958586</v>
      </c>
      <c r="E21" s="1011">
        <f t="shared" si="6"/>
        <v>1.2312835766655785</v>
      </c>
      <c r="F21" s="1011">
        <f t="shared" si="6"/>
        <v>9.7531821426805929E-2</v>
      </c>
      <c r="G21" s="1011">
        <f t="shared" si="6"/>
        <v>9.3592693753198173</v>
      </c>
      <c r="H21" s="1011">
        <f t="shared" si="6"/>
        <v>14.415270009499331</v>
      </c>
      <c r="I21" s="1011">
        <f t="shared" si="6"/>
        <v>7.2165086190963752</v>
      </c>
      <c r="J21" s="1011">
        <f t="shared" si="6"/>
        <v>1.1391182321711608</v>
      </c>
      <c r="K21" s="1011">
        <f t="shared" si="6"/>
        <v>1.0538335572705519</v>
      </c>
      <c r="L21" s="1011">
        <f t="shared" si="6"/>
        <v>3.224005654173538</v>
      </c>
      <c r="M21" s="1011">
        <f t="shared" si="6"/>
        <v>8.3150108598788375</v>
      </c>
      <c r="N21" s="1011">
        <f t="shared" si="6"/>
        <v>0.18755948216392382</v>
      </c>
      <c r="O21" s="1011">
        <f t="shared" si="6"/>
        <v>0.83512178785181046</v>
      </c>
      <c r="P21" s="1011">
        <f t="shared" si="6"/>
        <v>3.279585431863334</v>
      </c>
      <c r="Q21" s="1011">
        <f t="shared" si="6"/>
        <v>2.805130975438459</v>
      </c>
      <c r="R21" s="1011">
        <f t="shared" si="6"/>
        <v>3.5969423996658092</v>
      </c>
      <c r="S21" s="1011">
        <f t="shared" si="6"/>
        <v>0.15391323052558964</v>
      </c>
      <c r="T21" s="1011">
        <f t="shared" si="6"/>
        <v>4.8899293272842819</v>
      </c>
      <c r="U21" s="1011">
        <f t="shared" si="6"/>
        <v>96.709882022124134</v>
      </c>
      <c r="V21" s="1011">
        <f t="shared" si="6"/>
        <v>3.2901179778758638</v>
      </c>
      <c r="W21" s="1011">
        <f t="shared" si="6"/>
        <v>100</v>
      </c>
      <c r="X21" s="249"/>
      <c r="Y21" s="249"/>
      <c r="Z21" s="373"/>
      <c r="AA21" s="779"/>
    </row>
    <row r="22" spans="1:27" s="160" customFormat="1" ht="12" customHeight="1">
      <c r="A22" s="392" t="s">
        <v>2228</v>
      </c>
      <c r="B22" s="290">
        <v>558536</v>
      </c>
      <c r="C22" s="290">
        <v>73802</v>
      </c>
      <c r="D22" s="290">
        <v>1095229</v>
      </c>
      <c r="E22" s="290">
        <v>59646</v>
      </c>
      <c r="F22" s="290">
        <v>4708</v>
      </c>
      <c r="G22" s="290">
        <v>472379</v>
      </c>
      <c r="H22" s="290">
        <v>730353</v>
      </c>
      <c r="I22" s="290">
        <v>359554</v>
      </c>
      <c r="J22" s="290">
        <v>59718</v>
      </c>
      <c r="K22" s="290">
        <v>50188</v>
      </c>
      <c r="L22" s="290">
        <v>160769</v>
      </c>
      <c r="M22" s="290">
        <v>408979</v>
      </c>
      <c r="N22" s="290">
        <v>9907</v>
      </c>
      <c r="O22" s="290">
        <v>44634</v>
      </c>
      <c r="P22" s="290">
        <v>161463</v>
      </c>
      <c r="Q22" s="290">
        <v>147257</v>
      </c>
      <c r="R22" s="290">
        <v>186191</v>
      </c>
      <c r="S22" s="290">
        <v>7966</v>
      </c>
      <c r="T22" s="290">
        <v>245220</v>
      </c>
      <c r="U22" s="290">
        <v>4836497</v>
      </c>
      <c r="V22" s="290">
        <v>166157</v>
      </c>
      <c r="W22" s="290">
        <f>U22+V22</f>
        <v>5002654</v>
      </c>
      <c r="X22" s="290">
        <v>215427</v>
      </c>
      <c r="Y22" s="290">
        <f>W22+X22</f>
        <v>5218081</v>
      </c>
      <c r="Z22" s="349" t="s">
        <v>2228</v>
      </c>
      <c r="AA22" s="779"/>
    </row>
    <row r="23" spans="1:27" s="160" customFormat="1" ht="12" customHeight="1">
      <c r="A23" s="1803"/>
      <c r="B23" s="1011">
        <f>(B22/$W22)*100</f>
        <v>11.164793727489448</v>
      </c>
      <c r="C23" s="1011">
        <f t="shared" ref="C23:W25" si="7">(C22/$W22)*100</f>
        <v>1.4752569336196346</v>
      </c>
      <c r="D23" s="1011">
        <f t="shared" si="7"/>
        <v>21.892959217247483</v>
      </c>
      <c r="E23" s="1011">
        <f t="shared" si="7"/>
        <v>1.1922871339892787</v>
      </c>
      <c r="F23" s="1011">
        <f t="shared" si="7"/>
        <v>9.4110046387377577E-2</v>
      </c>
      <c r="G23" s="1011">
        <f t="shared" si="7"/>
        <v>9.4425678849666603</v>
      </c>
      <c r="H23" s="1011">
        <f t="shared" si="7"/>
        <v>14.59931068588793</v>
      </c>
      <c r="I23" s="1011">
        <f t="shared" si="7"/>
        <v>7.1872649997381393</v>
      </c>
      <c r="J23" s="1011">
        <f t="shared" si="7"/>
        <v>1.1937263700427814</v>
      </c>
      <c r="K23" s="1011">
        <f t="shared" si="7"/>
        <v>1.00322748684998</v>
      </c>
      <c r="L23" s="1011">
        <f t="shared" si="7"/>
        <v>3.2136741817443304</v>
      </c>
      <c r="M23" s="1011">
        <f t="shared" si="7"/>
        <v>8.1752405822989171</v>
      </c>
      <c r="N23" s="1011">
        <f t="shared" si="7"/>
        <v>0.19803488308405898</v>
      </c>
      <c r="O23" s="1011">
        <f t="shared" si="7"/>
        <v>0.89220641683394453</v>
      </c>
      <c r="P23" s="1011">
        <f t="shared" si="7"/>
        <v>3.2275468181489262</v>
      </c>
      <c r="Q23" s="1011">
        <f t="shared" si="7"/>
        <v>2.9435775490369709</v>
      </c>
      <c r="R23" s="1011">
        <f t="shared" si="7"/>
        <v>3.7218444449686103</v>
      </c>
      <c r="S23" s="1011">
        <f t="shared" si="7"/>
        <v>0.15923547780837932</v>
      </c>
      <c r="T23" s="1011">
        <f t="shared" si="7"/>
        <v>4.9017981255549552</v>
      </c>
      <c r="U23" s="1011">
        <f t="shared" si="7"/>
        <v>96.678622986918541</v>
      </c>
      <c r="V23" s="1011">
        <f t="shared" si="7"/>
        <v>3.3213770130814564</v>
      </c>
      <c r="W23" s="1011">
        <f t="shared" si="7"/>
        <v>100</v>
      </c>
      <c r="X23" s="249"/>
      <c r="Y23" s="249"/>
      <c r="Z23" s="373"/>
      <c r="AA23" s="779"/>
    </row>
    <row r="24" spans="1:27" s="160" customFormat="1" ht="12" customHeight="1">
      <c r="A24" s="392" t="s">
        <v>2618</v>
      </c>
      <c r="B24" s="290">
        <v>630038</v>
      </c>
      <c r="C24" s="290">
        <v>76882</v>
      </c>
      <c r="D24" s="290">
        <v>1237649</v>
      </c>
      <c r="E24" s="290">
        <v>66399</v>
      </c>
      <c r="F24" s="290">
        <v>4947</v>
      </c>
      <c r="G24" s="290">
        <v>490752</v>
      </c>
      <c r="H24" s="290">
        <v>820008</v>
      </c>
      <c r="I24" s="290">
        <v>398253</v>
      </c>
      <c r="J24" s="290">
        <v>68947</v>
      </c>
      <c r="K24" s="290">
        <v>54205</v>
      </c>
      <c r="L24" s="290">
        <v>179561</v>
      </c>
      <c r="M24" s="290">
        <v>445040</v>
      </c>
      <c r="N24" s="290">
        <v>11952</v>
      </c>
      <c r="O24" s="290">
        <v>54597</v>
      </c>
      <c r="P24" s="290">
        <v>172852</v>
      </c>
      <c r="Q24" s="290">
        <v>169656</v>
      </c>
      <c r="R24" s="290">
        <v>217022</v>
      </c>
      <c r="S24" s="290">
        <v>9193</v>
      </c>
      <c r="T24" s="290">
        <v>273962</v>
      </c>
      <c r="U24" s="290">
        <v>5381915</v>
      </c>
      <c r="V24" s="290">
        <v>133111</v>
      </c>
      <c r="W24" s="290">
        <f>U24+V24</f>
        <v>5515026</v>
      </c>
      <c r="X24" s="290">
        <v>302809</v>
      </c>
      <c r="Y24" s="290">
        <f>W24+X24</f>
        <v>5817835</v>
      </c>
      <c r="Z24" s="392" t="s">
        <v>2618</v>
      </c>
      <c r="AA24" s="779"/>
    </row>
    <row r="25" spans="1:27" s="160" customFormat="1" ht="12" customHeight="1">
      <c r="A25" s="1803"/>
      <c r="B25" s="1011">
        <f>(B24/$W24)*100</f>
        <v>11.424025924809783</v>
      </c>
      <c r="C25" s="1011">
        <f t="shared" si="7"/>
        <v>1.3940460117504434</v>
      </c>
      <c r="D25" s="1011">
        <f t="shared" si="7"/>
        <v>22.441399188326582</v>
      </c>
      <c r="E25" s="1011">
        <f t="shared" si="7"/>
        <v>1.2039653122215561</v>
      </c>
      <c r="F25" s="1011">
        <f t="shared" si="7"/>
        <v>8.9700393071582979E-2</v>
      </c>
      <c r="G25" s="1011">
        <f t="shared" si="7"/>
        <v>8.8984530625966229</v>
      </c>
      <c r="H25" s="1011">
        <f t="shared" si="7"/>
        <v>14.868615306618683</v>
      </c>
      <c r="I25" s="1011">
        <f t="shared" si="7"/>
        <v>7.2212352217378486</v>
      </c>
      <c r="J25" s="1011">
        <f t="shared" si="7"/>
        <v>1.2501663636762548</v>
      </c>
      <c r="K25" s="1011">
        <f t="shared" si="7"/>
        <v>0.98286028025978478</v>
      </c>
      <c r="L25" s="1011">
        <f t="shared" si="7"/>
        <v>3.2558504710585225</v>
      </c>
      <c r="M25" s="1011">
        <f t="shared" si="7"/>
        <v>8.0695902430922359</v>
      </c>
      <c r="N25" s="1011">
        <f t="shared" si="7"/>
        <v>0.21671702001042242</v>
      </c>
      <c r="O25" s="1011">
        <f t="shared" si="7"/>
        <v>0.9899681343297384</v>
      </c>
      <c r="P25" s="1011">
        <f t="shared" si="7"/>
        <v>3.1342009992337299</v>
      </c>
      <c r="Q25" s="1011">
        <f t="shared" si="7"/>
        <v>3.076250229826659</v>
      </c>
      <c r="R25" s="1011">
        <f t="shared" si="7"/>
        <v>3.9351038417588602</v>
      </c>
      <c r="S25" s="1011">
        <f t="shared" si="7"/>
        <v>0.16669005730888667</v>
      </c>
      <c r="T25" s="1011">
        <f t="shared" si="7"/>
        <v>4.9675559099812041</v>
      </c>
      <c r="U25" s="1011">
        <f t="shared" si="7"/>
        <v>97.586393971669395</v>
      </c>
      <c r="V25" s="1011">
        <f t="shared" si="7"/>
        <v>2.4136060283306007</v>
      </c>
      <c r="W25" s="1011">
        <f t="shared" si="7"/>
        <v>100</v>
      </c>
      <c r="X25" s="249"/>
      <c r="Y25" s="249"/>
      <c r="Z25" s="373"/>
      <c r="AA25" s="779"/>
    </row>
    <row r="26" spans="1:27" ht="14.25" customHeight="1">
      <c r="A26" s="1805" t="s">
        <v>1983</v>
      </c>
      <c r="B26" s="594"/>
      <c r="C26" s="594"/>
      <c r="D26" s="594"/>
      <c r="E26" s="594"/>
      <c r="F26" s="594"/>
      <c r="G26" s="594"/>
      <c r="H26" s="594"/>
      <c r="I26" s="594"/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288"/>
      <c r="Y26" s="288"/>
      <c r="Z26" s="349"/>
    </row>
    <row r="27" spans="1:27" s="160" customFormat="1" ht="12" customHeight="1">
      <c r="A27" s="1803" t="s">
        <v>1163</v>
      </c>
      <c r="B27" s="249">
        <v>279505</v>
      </c>
      <c r="C27" s="249">
        <v>33052</v>
      </c>
      <c r="D27" s="249">
        <v>422387</v>
      </c>
      <c r="E27" s="249">
        <v>24555</v>
      </c>
      <c r="F27" s="249">
        <v>2103</v>
      </c>
      <c r="G27" s="249">
        <v>162843</v>
      </c>
      <c r="H27" s="249">
        <v>288510</v>
      </c>
      <c r="I27" s="249">
        <v>158030</v>
      </c>
      <c r="J27" s="249">
        <v>23886</v>
      </c>
      <c r="K27" s="249">
        <v>24833</v>
      </c>
      <c r="L27" s="249">
        <v>65072</v>
      </c>
      <c r="M27" s="249">
        <v>192509</v>
      </c>
      <c r="N27" s="249">
        <v>3906</v>
      </c>
      <c r="O27" s="249">
        <v>14244</v>
      </c>
      <c r="P27" s="249">
        <v>66730</v>
      </c>
      <c r="Q27" s="249">
        <v>54479</v>
      </c>
      <c r="R27" s="249">
        <v>54600</v>
      </c>
      <c r="S27" s="249">
        <v>3007</v>
      </c>
      <c r="T27" s="249">
        <v>113176</v>
      </c>
      <c r="U27" s="249">
        <f>SUM(B27:T27)</f>
        <v>1987427</v>
      </c>
      <c r="V27" s="249">
        <v>88394</v>
      </c>
      <c r="W27" s="249">
        <f>U27+V27</f>
        <v>2075821</v>
      </c>
      <c r="X27" s="249">
        <v>97254</v>
      </c>
      <c r="Y27" s="249">
        <f>W27+X27</f>
        <v>2173075</v>
      </c>
      <c r="Z27" s="373" t="s">
        <v>1163</v>
      </c>
    </row>
    <row r="28" spans="1:27" ht="12" customHeight="1">
      <c r="A28" s="392"/>
      <c r="B28" s="594">
        <f t="shared" ref="B28:W28" si="8">(B27/$W27)*100</f>
        <v>13.464792966252869</v>
      </c>
      <c r="C28" s="594">
        <f t="shared" si="8"/>
        <v>1.592237480977406</v>
      </c>
      <c r="D28" s="594">
        <f t="shared" si="8"/>
        <v>20.347949076534057</v>
      </c>
      <c r="E28" s="594">
        <f t="shared" si="8"/>
        <v>1.1829054624652124</v>
      </c>
      <c r="F28" s="594">
        <f t="shared" si="8"/>
        <v>0.10130931327893879</v>
      </c>
      <c r="G28" s="594">
        <f t="shared" si="8"/>
        <v>7.8447515464965427</v>
      </c>
      <c r="H28" s="594">
        <f t="shared" si="8"/>
        <v>13.898597229722601</v>
      </c>
      <c r="I28" s="594">
        <f t="shared" si="8"/>
        <v>7.6128914776370404</v>
      </c>
      <c r="J28" s="594">
        <f t="shared" si="8"/>
        <v>1.1506772501097158</v>
      </c>
      <c r="K28" s="594">
        <f t="shared" si="8"/>
        <v>1.1962977539970931</v>
      </c>
      <c r="L28" s="594">
        <f t="shared" si="8"/>
        <v>3.1347596926709964</v>
      </c>
      <c r="M28" s="594">
        <f t="shared" si="8"/>
        <v>9.2738728435640638</v>
      </c>
      <c r="N28" s="594">
        <f t="shared" si="8"/>
        <v>0.18816651339397761</v>
      </c>
      <c r="O28" s="594">
        <f t="shared" si="8"/>
        <v>0.68618633302197063</v>
      </c>
      <c r="P28" s="594">
        <f t="shared" si="8"/>
        <v>3.2146317047568167</v>
      </c>
      <c r="Q28" s="594">
        <f t="shared" si="8"/>
        <v>2.6244555768536881</v>
      </c>
      <c r="R28" s="594">
        <f>(R27/$W27)*100</f>
        <v>2.6302845958297945</v>
      </c>
      <c r="S28" s="594">
        <f>(S27/$W27)*100</f>
        <v>0.14485834761282404</v>
      </c>
      <c r="T28" s="594">
        <f t="shared" si="8"/>
        <v>5.4521078647918104</v>
      </c>
      <c r="U28" s="594">
        <f t="shared" si="8"/>
        <v>95.741733029967421</v>
      </c>
      <c r="V28" s="594">
        <f t="shared" si="8"/>
        <v>4.2582669700325804</v>
      </c>
      <c r="W28" s="594">
        <f t="shared" si="8"/>
        <v>100</v>
      </c>
      <c r="X28" s="288"/>
      <c r="Y28" s="288"/>
      <c r="Z28" s="349"/>
    </row>
    <row r="29" spans="1:27" s="160" customFormat="1" ht="12" customHeight="1">
      <c r="A29" s="1803" t="s">
        <v>1187</v>
      </c>
      <c r="B29" s="249">
        <v>288438</v>
      </c>
      <c r="C29" s="249">
        <v>38766</v>
      </c>
      <c r="D29" s="249">
        <v>452319</v>
      </c>
      <c r="E29" s="249">
        <v>26291</v>
      </c>
      <c r="F29" s="249">
        <v>2180</v>
      </c>
      <c r="G29" s="249">
        <v>178734</v>
      </c>
      <c r="H29" s="249">
        <v>312225</v>
      </c>
      <c r="I29" s="249">
        <v>167710</v>
      </c>
      <c r="J29" s="249">
        <v>25173</v>
      </c>
      <c r="K29" s="249">
        <v>26907</v>
      </c>
      <c r="L29" s="249">
        <v>68524</v>
      </c>
      <c r="M29" s="249">
        <v>198921</v>
      </c>
      <c r="N29" s="249">
        <v>4061</v>
      </c>
      <c r="O29" s="249">
        <v>15155</v>
      </c>
      <c r="P29" s="249">
        <v>74220</v>
      </c>
      <c r="Q29" s="249">
        <v>57722</v>
      </c>
      <c r="R29" s="249">
        <v>60242</v>
      </c>
      <c r="S29" s="249">
        <v>3157</v>
      </c>
      <c r="T29" s="249">
        <v>116731</v>
      </c>
      <c r="U29" s="249">
        <f>SUM(B29:T29)</f>
        <v>2117476</v>
      </c>
      <c r="V29" s="249">
        <v>95147</v>
      </c>
      <c r="W29" s="249">
        <f>U29+V29</f>
        <v>2212623</v>
      </c>
      <c r="X29" s="249">
        <v>76394</v>
      </c>
      <c r="Y29" s="249">
        <f>W29+X29</f>
        <v>2289017</v>
      </c>
      <c r="Z29" s="373" t="s">
        <v>1187</v>
      </c>
    </row>
    <row r="30" spans="1:27" ht="12" customHeight="1">
      <c r="A30" s="392"/>
      <c r="B30" s="594">
        <f t="shared" ref="B30:W30" si="9">(B29/$W29)*100</f>
        <v>13.036021048321381</v>
      </c>
      <c r="C30" s="594">
        <f t="shared" si="9"/>
        <v>1.7520381917751011</v>
      </c>
      <c r="D30" s="594">
        <f t="shared" si="9"/>
        <v>20.442660136860187</v>
      </c>
      <c r="E30" s="594">
        <f t="shared" si="9"/>
        <v>1.1882277279048443</v>
      </c>
      <c r="F30" s="594">
        <f t="shared" si="9"/>
        <v>9.8525596091155146E-2</v>
      </c>
      <c r="G30" s="594">
        <f t="shared" si="9"/>
        <v>8.0779238035580381</v>
      </c>
      <c r="H30" s="594">
        <f t="shared" si="9"/>
        <v>14.111079926404091</v>
      </c>
      <c r="I30" s="594">
        <f t="shared" si="9"/>
        <v>7.5796916148842346</v>
      </c>
      <c r="J30" s="594">
        <f t="shared" si="9"/>
        <v>1.1376994634874535</v>
      </c>
      <c r="K30" s="594">
        <f t="shared" si="9"/>
        <v>1.2160679880847303</v>
      </c>
      <c r="L30" s="594">
        <f t="shared" si="9"/>
        <v>3.0969577736469338</v>
      </c>
      <c r="M30" s="594">
        <f t="shared" si="9"/>
        <v>8.9902798624076485</v>
      </c>
      <c r="N30" s="594">
        <f t="shared" si="9"/>
        <v>0.18353781914045006</v>
      </c>
      <c r="O30" s="594">
        <f t="shared" si="9"/>
        <v>0.68493367374378744</v>
      </c>
      <c r="P30" s="594">
        <f t="shared" si="9"/>
        <v>3.3543897898557504</v>
      </c>
      <c r="Q30" s="594">
        <f t="shared" si="9"/>
        <v>2.6087589254925039</v>
      </c>
      <c r="R30" s="594">
        <f t="shared" si="9"/>
        <v>2.7226508989556737</v>
      </c>
      <c r="S30" s="594">
        <f t="shared" si="9"/>
        <v>0.14268133342191597</v>
      </c>
      <c r="T30" s="594">
        <f t="shared" si="9"/>
        <v>5.2756841088608404</v>
      </c>
      <c r="U30" s="594">
        <f t="shared" si="9"/>
        <v>95.699809682896714</v>
      </c>
      <c r="V30" s="594">
        <f t="shared" si="9"/>
        <v>4.3001903171032749</v>
      </c>
      <c r="W30" s="594">
        <f t="shared" si="9"/>
        <v>100</v>
      </c>
      <c r="X30" s="288"/>
      <c r="Y30" s="288"/>
      <c r="Z30" s="349"/>
    </row>
    <row r="31" spans="1:27" s="160" customFormat="1" ht="12" customHeight="1">
      <c r="A31" s="1803" t="s">
        <v>1311</v>
      </c>
      <c r="B31" s="249">
        <v>298662</v>
      </c>
      <c r="C31" s="249">
        <v>42469</v>
      </c>
      <c r="D31" s="249">
        <v>499598</v>
      </c>
      <c r="E31" s="249">
        <v>28466</v>
      </c>
      <c r="F31" s="249">
        <v>2244</v>
      </c>
      <c r="G31" s="249">
        <v>196710</v>
      </c>
      <c r="H31" s="249">
        <v>339505</v>
      </c>
      <c r="I31" s="376">
        <v>179010</v>
      </c>
      <c r="J31" s="249">
        <v>26564</v>
      </c>
      <c r="K31" s="249">
        <v>28728</v>
      </c>
      <c r="L31" s="249">
        <v>73278</v>
      </c>
      <c r="M31" s="249">
        <v>205841</v>
      </c>
      <c r="N31" s="249">
        <v>4227</v>
      </c>
      <c r="O31" s="249">
        <v>16329</v>
      </c>
      <c r="P31" s="249">
        <v>80656</v>
      </c>
      <c r="Q31" s="249">
        <v>61120</v>
      </c>
      <c r="R31" s="249">
        <v>65783</v>
      </c>
      <c r="S31" s="249">
        <v>3322</v>
      </c>
      <c r="T31" s="249">
        <v>120489</v>
      </c>
      <c r="U31" s="249">
        <f>SUM(B31:T31)</f>
        <v>2273001</v>
      </c>
      <c r="V31" s="249">
        <v>101573</v>
      </c>
      <c r="W31" s="249">
        <f>U31+V31</f>
        <v>2374574</v>
      </c>
      <c r="X31" s="249">
        <v>94959</v>
      </c>
      <c r="Y31" s="249">
        <f>W31+X31</f>
        <v>2469533</v>
      </c>
      <c r="Z31" s="373" t="s">
        <v>1311</v>
      </c>
    </row>
    <row r="32" spans="1:27" ht="12" customHeight="1">
      <c r="A32" s="392"/>
      <c r="B32" s="594">
        <f t="shared" ref="B32:W32" si="10">(B31/$W31)*100</f>
        <v>12.577498111240162</v>
      </c>
      <c r="C32" s="594">
        <f t="shared" si="10"/>
        <v>1.7884892195400102</v>
      </c>
      <c r="D32" s="594">
        <f t="shared" si="10"/>
        <v>21.039479081300478</v>
      </c>
      <c r="E32" s="594">
        <f t="shared" si="10"/>
        <v>1.1987834449463357</v>
      </c>
      <c r="F32" s="594">
        <f t="shared" si="10"/>
        <v>9.4501161050361021E-2</v>
      </c>
      <c r="G32" s="594">
        <f t="shared" si="10"/>
        <v>8.2840122059788417</v>
      </c>
      <c r="H32" s="594">
        <f t="shared" si="10"/>
        <v>14.297511890553844</v>
      </c>
      <c r="I32" s="594">
        <f t="shared" si="10"/>
        <v>7.5386153474265276</v>
      </c>
      <c r="J32" s="594">
        <f t="shared" si="10"/>
        <v>1.1186848672646126</v>
      </c>
      <c r="K32" s="594">
        <f t="shared" si="10"/>
        <v>1.2098170029655846</v>
      </c>
      <c r="L32" s="594">
        <f t="shared" si="10"/>
        <v>3.0859429944065755</v>
      </c>
      <c r="M32" s="594">
        <f t="shared" si="10"/>
        <v>8.6685443367947261</v>
      </c>
      <c r="N32" s="594">
        <f t="shared" si="10"/>
        <v>0.1780108768983405</v>
      </c>
      <c r="O32" s="594">
        <f t="shared" si="10"/>
        <v>0.68766018662715922</v>
      </c>
      <c r="P32" s="594">
        <f t="shared" si="10"/>
        <v>3.3966513572539747</v>
      </c>
      <c r="Q32" s="594">
        <f t="shared" si="10"/>
        <v>2.5739353669331848</v>
      </c>
      <c r="R32" s="594">
        <f t="shared" si="10"/>
        <v>2.7703074319856951</v>
      </c>
      <c r="S32" s="594">
        <f t="shared" si="10"/>
        <v>0.1398987776333776</v>
      </c>
      <c r="T32" s="594">
        <f t="shared" si="10"/>
        <v>5.0741311915316185</v>
      </c>
      <c r="U32" s="594">
        <f t="shared" si="10"/>
        <v>95.722474852331402</v>
      </c>
      <c r="V32" s="594">
        <f t="shared" si="10"/>
        <v>4.2775251476685918</v>
      </c>
      <c r="W32" s="594">
        <f t="shared" si="10"/>
        <v>100</v>
      </c>
      <c r="X32" s="288"/>
      <c r="Y32" s="288"/>
      <c r="Z32" s="349"/>
    </row>
    <row r="33" spans="1:26" s="160" customFormat="1" ht="12" customHeight="1">
      <c r="A33" s="1803" t="s">
        <v>1420</v>
      </c>
      <c r="B33" s="249">
        <v>308399.90000000002</v>
      </c>
      <c r="C33" s="249">
        <v>47271</v>
      </c>
      <c r="D33" s="249">
        <v>561220</v>
      </c>
      <c r="E33" s="249">
        <v>30812</v>
      </c>
      <c r="F33" s="249">
        <v>2386</v>
      </c>
      <c r="G33" s="249">
        <v>217314</v>
      </c>
      <c r="H33" s="249">
        <v>369561</v>
      </c>
      <c r="I33" s="249">
        <v>191556</v>
      </c>
      <c r="J33" s="376">
        <v>28061</v>
      </c>
      <c r="K33" s="249">
        <v>30842</v>
      </c>
      <c r="L33" s="249">
        <v>79324</v>
      </c>
      <c r="M33" s="249">
        <v>213268</v>
      </c>
      <c r="N33" s="249">
        <v>4403</v>
      </c>
      <c r="O33" s="249">
        <v>17663</v>
      </c>
      <c r="P33" s="249">
        <v>85890</v>
      </c>
      <c r="Q33" s="249">
        <v>65434</v>
      </c>
      <c r="R33" s="249">
        <v>73809</v>
      </c>
      <c r="S33" s="249">
        <v>3504</v>
      </c>
      <c r="T33" s="249">
        <v>124429</v>
      </c>
      <c r="U33" s="249">
        <f>SUM(B33:T33)</f>
        <v>2455146.9</v>
      </c>
      <c r="V33" s="249">
        <v>106588</v>
      </c>
      <c r="W33" s="249">
        <f>U33+V33</f>
        <v>2561734.9</v>
      </c>
      <c r="X33" s="249">
        <v>104932</v>
      </c>
      <c r="Y33" s="249">
        <f>W33+X33</f>
        <v>2666666.9</v>
      </c>
      <c r="Z33" s="373" t="s">
        <v>1420</v>
      </c>
    </row>
    <row r="34" spans="1:26" ht="12" customHeight="1">
      <c r="A34" s="392"/>
      <c r="B34" s="594">
        <f t="shared" ref="B34:W34" si="11">(B33/$W33)*100</f>
        <v>12.038712514710246</v>
      </c>
      <c r="C34" s="594">
        <f t="shared" si="11"/>
        <v>1.8452729047022003</v>
      </c>
      <c r="D34" s="594">
        <f t="shared" si="11"/>
        <v>21.907809430241983</v>
      </c>
      <c r="E34" s="594">
        <f t="shared" si="11"/>
        <v>1.2027786325587397</v>
      </c>
      <c r="F34" s="594">
        <f t="shared" si="11"/>
        <v>9.314000445557423E-2</v>
      </c>
      <c r="G34" s="594">
        <f t="shared" si="11"/>
        <v>8.4830791820027915</v>
      </c>
      <c r="H34" s="594">
        <f t="shared" si="11"/>
        <v>14.426199994386618</v>
      </c>
      <c r="I34" s="594">
        <f t="shared" si="11"/>
        <v>7.4775887231735032</v>
      </c>
      <c r="J34" s="594">
        <f t="shared" si="11"/>
        <v>1.095390471512099</v>
      </c>
      <c r="K34" s="594">
        <f t="shared" si="11"/>
        <v>1.2039497139223891</v>
      </c>
      <c r="L34" s="594">
        <f t="shared" si="11"/>
        <v>3.0964952696705659</v>
      </c>
      <c r="M34" s="594">
        <f t="shared" si="11"/>
        <v>8.3251393420919548</v>
      </c>
      <c r="N34" s="594">
        <f t="shared" si="11"/>
        <v>0.17187570813826208</v>
      </c>
      <c r="O34" s="594">
        <f t="shared" si="11"/>
        <v>0.68949367087125213</v>
      </c>
      <c r="P34" s="594">
        <f t="shared" si="11"/>
        <v>3.3528059441279421</v>
      </c>
      <c r="Q34" s="594">
        <f t="shared" si="11"/>
        <v>2.5542845983009403</v>
      </c>
      <c r="R34" s="594">
        <f t="shared" si="11"/>
        <v>2.8812114789863696</v>
      </c>
      <c r="S34" s="594">
        <f t="shared" si="11"/>
        <v>0.1367823032742381</v>
      </c>
      <c r="T34" s="594">
        <f t="shared" si="11"/>
        <v>4.8572160999172862</v>
      </c>
      <c r="U34" s="594">
        <f t="shared" si="11"/>
        <v>95.839225987044955</v>
      </c>
      <c r="V34" s="594">
        <f t="shared" si="11"/>
        <v>4.1607740129550486</v>
      </c>
      <c r="W34" s="594">
        <f t="shared" si="11"/>
        <v>100</v>
      </c>
      <c r="X34" s="288"/>
      <c r="Y34" s="288"/>
      <c r="Z34" s="349"/>
    </row>
    <row r="35" spans="1:26" s="160" customFormat="1" ht="12" customHeight="1">
      <c r="A35" s="1803" t="s">
        <v>1502</v>
      </c>
      <c r="B35" s="249">
        <v>318950</v>
      </c>
      <c r="C35" s="249">
        <v>48765</v>
      </c>
      <c r="D35" s="249">
        <v>570654</v>
      </c>
      <c r="E35" s="249">
        <v>31020</v>
      </c>
      <c r="F35" s="249">
        <v>2438</v>
      </c>
      <c r="G35" s="249">
        <v>237146</v>
      </c>
      <c r="H35" s="249">
        <v>381439</v>
      </c>
      <c r="I35" s="249">
        <v>194870</v>
      </c>
      <c r="J35" s="249">
        <v>28535</v>
      </c>
      <c r="K35" s="249">
        <v>32868</v>
      </c>
      <c r="L35" s="249">
        <v>83068</v>
      </c>
      <c r="M35" s="249">
        <v>221109</v>
      </c>
      <c r="N35" s="249">
        <v>4552</v>
      </c>
      <c r="O35" s="249">
        <v>18781</v>
      </c>
      <c r="P35" s="249">
        <v>90602</v>
      </c>
      <c r="Q35" s="249">
        <v>68924</v>
      </c>
      <c r="R35" s="249">
        <v>81704</v>
      </c>
      <c r="S35" s="249">
        <v>3695</v>
      </c>
      <c r="T35" s="249">
        <v>128242</v>
      </c>
      <c r="U35" s="249">
        <f>SUM(B35:T35)</f>
        <v>2547362</v>
      </c>
      <c r="V35" s="249">
        <v>102703</v>
      </c>
      <c r="W35" s="249">
        <f>U35+V35</f>
        <v>2650065</v>
      </c>
      <c r="X35" s="249">
        <v>109691</v>
      </c>
      <c r="Y35" s="249">
        <f>W35+X35</f>
        <v>2759756</v>
      </c>
      <c r="Z35" s="373" t="s">
        <v>1502</v>
      </c>
    </row>
    <row r="36" spans="1:26" ht="12" customHeight="1">
      <c r="A36" s="392"/>
      <c r="B36" s="594">
        <f t="shared" ref="B36:W36" si="12">(B35/$W35)*100</f>
        <v>12.035553844905692</v>
      </c>
      <c r="C36" s="594">
        <f t="shared" si="12"/>
        <v>1.8401435436489293</v>
      </c>
      <c r="D36" s="594">
        <f t="shared" si="12"/>
        <v>21.533585025272963</v>
      </c>
      <c r="E36" s="594">
        <f t="shared" si="12"/>
        <v>1.1705373264429364</v>
      </c>
      <c r="F36" s="594">
        <f t="shared" si="12"/>
        <v>9.1997743451575714E-2</v>
      </c>
      <c r="G36" s="594">
        <f t="shared" si="12"/>
        <v>8.9486861643016304</v>
      </c>
      <c r="H36" s="594">
        <f t="shared" si="12"/>
        <v>14.393571478435435</v>
      </c>
      <c r="I36" s="594">
        <f t="shared" si="12"/>
        <v>7.3534045391339458</v>
      </c>
      <c r="J36" s="594">
        <f t="shared" si="12"/>
        <v>1.0767660415876592</v>
      </c>
      <c r="K36" s="594">
        <f t="shared" si="12"/>
        <v>1.2402714650395368</v>
      </c>
      <c r="L36" s="594">
        <f t="shared" si="12"/>
        <v>3.1345646238865843</v>
      </c>
      <c r="M36" s="594">
        <f t="shared" si="12"/>
        <v>8.3435311964046157</v>
      </c>
      <c r="N36" s="594">
        <f t="shared" si="12"/>
        <v>0.17176937169465653</v>
      </c>
      <c r="O36" s="594">
        <f t="shared" si="12"/>
        <v>0.7086995979343903</v>
      </c>
      <c r="P36" s="594">
        <f t="shared" si="12"/>
        <v>3.418859537407573</v>
      </c>
      <c r="Q36" s="594">
        <f t="shared" si="12"/>
        <v>2.6008418661429058</v>
      </c>
      <c r="R36" s="594">
        <f t="shared" si="12"/>
        <v>3.0830941882557599</v>
      </c>
      <c r="S36" s="594">
        <f t="shared" si="12"/>
        <v>0.13943054226971791</v>
      </c>
      <c r="T36" s="594">
        <f t="shared" si="12"/>
        <v>4.8392020573080288</v>
      </c>
      <c r="U36" s="594">
        <f t="shared" si="12"/>
        <v>96.12451015352454</v>
      </c>
      <c r="V36" s="594">
        <f t="shared" si="12"/>
        <v>3.8754898464754639</v>
      </c>
      <c r="W36" s="594">
        <f t="shared" si="12"/>
        <v>100</v>
      </c>
      <c r="X36" s="288"/>
      <c r="Y36" s="288"/>
      <c r="Z36" s="349"/>
    </row>
    <row r="37" spans="1:26" s="160" customFormat="1" ht="12" customHeight="1">
      <c r="A37" s="1803" t="s">
        <v>1555</v>
      </c>
      <c r="B37" s="376">
        <v>329075</v>
      </c>
      <c r="C37" s="376">
        <v>51932</v>
      </c>
      <c r="D37" s="376">
        <v>636764</v>
      </c>
      <c r="E37" s="376">
        <v>33980</v>
      </c>
      <c r="F37" s="376">
        <v>2599</v>
      </c>
      <c r="G37" s="376">
        <v>256305</v>
      </c>
      <c r="H37" s="376">
        <v>410589</v>
      </c>
      <c r="I37" s="376">
        <v>202740</v>
      </c>
      <c r="J37" s="376">
        <v>29828</v>
      </c>
      <c r="K37" s="376">
        <v>35206</v>
      </c>
      <c r="L37" s="376">
        <v>87901</v>
      </c>
      <c r="M37" s="376">
        <v>228668</v>
      </c>
      <c r="N37" s="376">
        <v>4784</v>
      </c>
      <c r="O37" s="376">
        <v>19911</v>
      </c>
      <c r="P37" s="376">
        <v>96081</v>
      </c>
      <c r="Q37" s="376">
        <v>72932</v>
      </c>
      <c r="R37" s="376">
        <v>90364</v>
      </c>
      <c r="S37" s="376">
        <v>3908</v>
      </c>
      <c r="T37" s="376">
        <v>132197</v>
      </c>
      <c r="U37" s="249">
        <f>SUM(B37:T37)</f>
        <v>2725764</v>
      </c>
      <c r="V37" s="376">
        <v>108180</v>
      </c>
      <c r="W37" s="249">
        <f>U37+V37</f>
        <v>2833944</v>
      </c>
      <c r="X37" s="376">
        <v>149165</v>
      </c>
      <c r="Y37" s="249">
        <f>W37+X37</f>
        <v>2983109</v>
      </c>
      <c r="Z37" s="373" t="s">
        <v>1555</v>
      </c>
    </row>
    <row r="38" spans="1:26" ht="12" customHeight="1">
      <c r="A38" s="392"/>
      <c r="B38" s="594">
        <f t="shared" ref="B38:W42" si="13">(B37/$W37)*100</f>
        <v>11.61190905677741</v>
      </c>
      <c r="C38" s="594">
        <f t="shared" si="13"/>
        <v>1.8324991601810054</v>
      </c>
      <c r="D38" s="594">
        <f t="shared" si="13"/>
        <v>22.469180760099704</v>
      </c>
      <c r="E38" s="594">
        <f t="shared" si="13"/>
        <v>1.1990356901900672</v>
      </c>
      <c r="F38" s="594">
        <f t="shared" si="13"/>
        <v>9.1709645638728216E-2</v>
      </c>
      <c r="G38" s="594">
        <f t="shared" si="13"/>
        <v>9.0441095519177512</v>
      </c>
      <c r="H38" s="594">
        <f t="shared" si="13"/>
        <v>14.488253825763669</v>
      </c>
      <c r="I38" s="594">
        <f t="shared" si="13"/>
        <v>7.1539875170433849</v>
      </c>
      <c r="J38" s="594">
        <f t="shared" si="13"/>
        <v>1.0525260908472434</v>
      </c>
      <c r="K38" s="594">
        <f t="shared" si="13"/>
        <v>1.2422969543505447</v>
      </c>
      <c r="L38" s="594">
        <f t="shared" si="13"/>
        <v>3.10171972346666</v>
      </c>
      <c r="M38" s="594">
        <f t="shared" si="13"/>
        <v>8.068896209663988</v>
      </c>
      <c r="N38" s="594">
        <f t="shared" si="13"/>
        <v>0.16881067515801298</v>
      </c>
      <c r="O38" s="594">
        <f t="shared" si="13"/>
        <v>0.70258974771555116</v>
      </c>
      <c r="P38" s="594">
        <f t="shared" si="13"/>
        <v>3.3903633946189484</v>
      </c>
      <c r="Q38" s="594">
        <f t="shared" si="13"/>
        <v>2.5735159198629192</v>
      </c>
      <c r="R38" s="594">
        <f t="shared" si="13"/>
        <v>3.1886304034236388</v>
      </c>
      <c r="S38" s="594">
        <f t="shared" si="13"/>
        <v>0.13789969032556748</v>
      </c>
      <c r="T38" s="594">
        <f t="shared" si="13"/>
        <v>4.6647710752223759</v>
      </c>
      <c r="U38" s="594">
        <f t="shared" si="13"/>
        <v>96.18270509226717</v>
      </c>
      <c r="V38" s="594">
        <f t="shared" si="13"/>
        <v>3.8172949077328275</v>
      </c>
      <c r="W38" s="594">
        <f t="shared" si="13"/>
        <v>100</v>
      </c>
      <c r="X38" s="288"/>
      <c r="Y38" s="288"/>
      <c r="Z38" s="349"/>
    </row>
    <row r="39" spans="1:26" ht="12" customHeight="1">
      <c r="A39" s="1803" t="s">
        <v>1836</v>
      </c>
      <c r="B39" s="376">
        <v>339125</v>
      </c>
      <c r="C39" s="376">
        <v>51352</v>
      </c>
      <c r="D39" s="376">
        <v>709425</v>
      </c>
      <c r="E39" s="376">
        <v>36070</v>
      </c>
      <c r="F39" s="376">
        <v>2848</v>
      </c>
      <c r="G39" s="376">
        <v>278628</v>
      </c>
      <c r="H39" s="376">
        <v>445317</v>
      </c>
      <c r="I39" s="376">
        <v>214399</v>
      </c>
      <c r="J39" s="376">
        <v>31428</v>
      </c>
      <c r="K39" s="376">
        <v>36891</v>
      </c>
      <c r="L39" s="376">
        <v>93061</v>
      </c>
      <c r="M39" s="376">
        <v>237134</v>
      </c>
      <c r="N39" s="376">
        <v>4987</v>
      </c>
      <c r="O39" s="376">
        <v>21108</v>
      </c>
      <c r="P39" s="376">
        <v>100802</v>
      </c>
      <c r="Q39" s="376">
        <v>78675</v>
      </c>
      <c r="R39" s="376">
        <v>99289</v>
      </c>
      <c r="S39" s="376">
        <v>4145</v>
      </c>
      <c r="T39" s="376">
        <v>136410</v>
      </c>
      <c r="U39" s="249">
        <f>SUM(B39:T39)</f>
        <v>2921094</v>
      </c>
      <c r="V39" s="376">
        <v>114056</v>
      </c>
      <c r="W39" s="249">
        <f>U39+V39</f>
        <v>3035150</v>
      </c>
      <c r="X39" s="376">
        <v>120242</v>
      </c>
      <c r="Y39" s="249">
        <f>W39+X39</f>
        <v>3155392</v>
      </c>
      <c r="Z39" s="373" t="s">
        <v>1836</v>
      </c>
    </row>
    <row r="40" spans="1:26" ht="12" customHeight="1">
      <c r="A40" s="392"/>
      <c r="B40" s="594">
        <f>(B39/$W39)*100</f>
        <v>11.173253381216744</v>
      </c>
      <c r="C40" s="594">
        <f t="shared" si="13"/>
        <v>1.6919097902904305</v>
      </c>
      <c r="D40" s="594">
        <f t="shared" si="13"/>
        <v>23.373638864636014</v>
      </c>
      <c r="E40" s="594">
        <f t="shared" si="13"/>
        <v>1.1884091395812397</v>
      </c>
      <c r="F40" s="594">
        <f t="shared" si="13"/>
        <v>9.3833912656705598E-2</v>
      </c>
      <c r="G40" s="594">
        <f t="shared" si="13"/>
        <v>9.1800405251799742</v>
      </c>
      <c r="H40" s="594">
        <f t="shared" si="13"/>
        <v>14.671993146961434</v>
      </c>
      <c r="I40" s="594">
        <f t="shared" si="13"/>
        <v>7.0638683425860345</v>
      </c>
      <c r="J40" s="594">
        <f t="shared" si="13"/>
        <v>1.0354677693029999</v>
      </c>
      <c r="K40" s="594">
        <f t="shared" si="13"/>
        <v>1.2154588735317859</v>
      </c>
      <c r="L40" s="594">
        <f t="shared" si="13"/>
        <v>3.0661087590399156</v>
      </c>
      <c r="M40" s="594">
        <f t="shared" si="13"/>
        <v>7.8129252261008517</v>
      </c>
      <c r="N40" s="594">
        <f t="shared" si="13"/>
        <v>0.16430818905161193</v>
      </c>
      <c r="O40" s="594">
        <f t="shared" si="13"/>
        <v>0.69545162512561154</v>
      </c>
      <c r="P40" s="594">
        <f t="shared" si="13"/>
        <v>3.3211538144737491</v>
      </c>
      <c r="Q40" s="594">
        <f t="shared" si="13"/>
        <v>2.5921288898407</v>
      </c>
      <c r="R40" s="594">
        <f>(R39/$W39)*100</f>
        <v>3.2713045483748746</v>
      </c>
      <c r="S40" s="594">
        <f>(S39/$W39)*100</f>
        <v>0.13656656178442581</v>
      </c>
      <c r="T40" s="594">
        <f>(T39/$W39)*100</f>
        <v>4.4943413010889079</v>
      </c>
      <c r="U40" s="594">
        <f t="shared" si="13"/>
        <v>96.242162660824022</v>
      </c>
      <c r="V40" s="594">
        <f t="shared" si="13"/>
        <v>3.7578373391759881</v>
      </c>
      <c r="W40" s="594">
        <f t="shared" si="13"/>
        <v>100</v>
      </c>
      <c r="X40" s="288"/>
      <c r="Y40" s="288"/>
      <c r="Z40" s="349"/>
    </row>
    <row r="41" spans="1:26" ht="12" customHeight="1">
      <c r="A41" s="1803" t="s">
        <v>2088</v>
      </c>
      <c r="B41" s="376">
        <v>350559</v>
      </c>
      <c r="C41" s="376">
        <v>57888</v>
      </c>
      <c r="D41" s="376">
        <v>772522</v>
      </c>
      <c r="E41" s="376">
        <v>36959</v>
      </c>
      <c r="F41" s="376">
        <v>3100</v>
      </c>
      <c r="G41" s="376">
        <v>298079</v>
      </c>
      <c r="H41" s="376">
        <v>473716</v>
      </c>
      <c r="I41" s="376">
        <v>226164</v>
      </c>
      <c r="J41" s="376">
        <v>33265</v>
      </c>
      <c r="K41" s="376">
        <v>39235</v>
      </c>
      <c r="L41" s="376">
        <v>95433</v>
      </c>
      <c r="M41" s="376">
        <v>245870</v>
      </c>
      <c r="N41" s="376">
        <v>5426</v>
      </c>
      <c r="O41" s="376">
        <v>22694</v>
      </c>
      <c r="P41" s="376">
        <v>107890</v>
      </c>
      <c r="Q41" s="376">
        <v>83021</v>
      </c>
      <c r="R41" s="376">
        <v>106457</v>
      </c>
      <c r="S41" s="376">
        <v>4408</v>
      </c>
      <c r="T41" s="376">
        <v>140833</v>
      </c>
      <c r="U41" s="376">
        <f>SUM(B41:T41)</f>
        <v>3103519</v>
      </c>
      <c r="V41" s="376">
        <v>106914</v>
      </c>
      <c r="W41" s="249">
        <f>U41+V41</f>
        <v>3210433</v>
      </c>
      <c r="X41" s="376">
        <v>128135</v>
      </c>
      <c r="Y41" s="249">
        <f>W41+X41</f>
        <v>3338568</v>
      </c>
      <c r="Z41" s="373" t="s">
        <v>2088</v>
      </c>
    </row>
    <row r="42" spans="1:26" ht="12" customHeight="1">
      <c r="A42" s="392"/>
      <c r="B42" s="594">
        <f>(B41/$W41)*100</f>
        <v>10.919368197373998</v>
      </c>
      <c r="C42" s="594">
        <f t="shared" si="13"/>
        <v>1.8031212612130514</v>
      </c>
      <c r="D42" s="594">
        <f t="shared" si="13"/>
        <v>24.062860056571807</v>
      </c>
      <c r="E42" s="594">
        <f t="shared" si="13"/>
        <v>1.1512154279500615</v>
      </c>
      <c r="F42" s="594">
        <f t="shared" si="13"/>
        <v>9.6560183626320822E-2</v>
      </c>
      <c r="G42" s="594">
        <f t="shared" si="13"/>
        <v>9.2846977339193817</v>
      </c>
      <c r="H42" s="594">
        <f t="shared" si="13"/>
        <v>14.755517402169737</v>
      </c>
      <c r="I42" s="594">
        <f t="shared" si="13"/>
        <v>7.0446572160203935</v>
      </c>
      <c r="J42" s="594">
        <f t="shared" si="13"/>
        <v>1.0361530672030845</v>
      </c>
      <c r="K42" s="594">
        <f t="shared" si="13"/>
        <v>1.2221092917995797</v>
      </c>
      <c r="L42" s="594">
        <f t="shared" si="13"/>
        <v>2.9725896787131205</v>
      </c>
      <c r="M42" s="594">
        <f t="shared" si="13"/>
        <v>7.6584684994204828</v>
      </c>
      <c r="N42" s="594">
        <f t="shared" si="13"/>
        <v>0.16901146979239251</v>
      </c>
      <c r="O42" s="594">
        <f t="shared" si="13"/>
        <v>0.70688284103733046</v>
      </c>
      <c r="P42" s="594">
        <f t="shared" si="13"/>
        <v>3.3606058746592748</v>
      </c>
      <c r="Q42" s="594">
        <f t="shared" si="13"/>
        <v>2.5859751628518644</v>
      </c>
      <c r="R42" s="594">
        <f>(R41/$W41)*100</f>
        <v>3.3159701510668502</v>
      </c>
      <c r="S42" s="594">
        <f>(S41/$W41)*100</f>
        <v>0.13730235142736197</v>
      </c>
      <c r="T42" s="594">
        <f>(T41/$W41)*100</f>
        <v>4.3867291421437544</v>
      </c>
      <c r="U42" s="594">
        <f t="shared" si="13"/>
        <v>96.669795008959852</v>
      </c>
      <c r="V42" s="594">
        <f t="shared" si="13"/>
        <v>3.3302049910401497</v>
      </c>
      <c r="W42" s="594">
        <f>(W41/$W41)*100</f>
        <v>100</v>
      </c>
      <c r="X42" s="288"/>
      <c r="Y42" s="288"/>
      <c r="Z42" s="349"/>
    </row>
    <row r="43" spans="1:26" ht="12" customHeight="1">
      <c r="A43" s="1803" t="s">
        <v>2228</v>
      </c>
      <c r="B43" s="376">
        <v>362141</v>
      </c>
      <c r="C43" s="376">
        <v>57224</v>
      </c>
      <c r="D43" s="376">
        <v>796907</v>
      </c>
      <c r="E43" s="376">
        <v>37320</v>
      </c>
      <c r="F43" s="376">
        <v>3223</v>
      </c>
      <c r="G43" s="376">
        <v>314847</v>
      </c>
      <c r="H43" s="376">
        <v>501036</v>
      </c>
      <c r="I43" s="376">
        <v>237794</v>
      </c>
      <c r="J43" s="376">
        <v>35128</v>
      </c>
      <c r="K43" s="376">
        <v>40826</v>
      </c>
      <c r="L43" s="376">
        <v>96585</v>
      </c>
      <c r="M43" s="376">
        <v>254477</v>
      </c>
      <c r="N43" s="376">
        <v>5840</v>
      </c>
      <c r="O43" s="376">
        <v>24704</v>
      </c>
      <c r="P43" s="376">
        <v>113914</v>
      </c>
      <c r="Q43" s="376">
        <v>88464</v>
      </c>
      <c r="R43" s="376">
        <v>116325</v>
      </c>
      <c r="S43" s="376">
        <v>4690</v>
      </c>
      <c r="T43" s="376">
        <v>145262</v>
      </c>
      <c r="U43" s="376">
        <f>SUM(B43:T43)</f>
        <v>3236707</v>
      </c>
      <c r="V43" s="376">
        <v>109311</v>
      </c>
      <c r="W43" s="376">
        <f>U43+V43</f>
        <v>3346018</v>
      </c>
      <c r="X43" s="376">
        <v>144088</v>
      </c>
      <c r="Y43" s="249">
        <f>W43+X43</f>
        <v>3490106</v>
      </c>
      <c r="Z43" s="373" t="s">
        <v>2228</v>
      </c>
    </row>
    <row r="44" spans="1:26" ht="12" customHeight="1">
      <c r="A44" s="392"/>
      <c r="B44" s="594">
        <f>(B43/$W43)*100</f>
        <v>10.823043988406518</v>
      </c>
      <c r="C44" s="594">
        <f t="shared" ref="C44:Q46" si="14">(C43/$W43)*100</f>
        <v>1.7102119594096625</v>
      </c>
      <c r="D44" s="594">
        <f t="shared" si="14"/>
        <v>23.816578392584859</v>
      </c>
      <c r="E44" s="594">
        <f t="shared" si="14"/>
        <v>1.1153556257019537</v>
      </c>
      <c r="F44" s="594">
        <f t="shared" si="14"/>
        <v>9.6323450740551902E-2</v>
      </c>
      <c r="G44" s="594">
        <f t="shared" si="14"/>
        <v>9.4096026978934368</v>
      </c>
      <c r="H44" s="594">
        <f t="shared" si="14"/>
        <v>14.974097569110507</v>
      </c>
      <c r="I44" s="594">
        <f t="shared" si="14"/>
        <v>7.1067758750849519</v>
      </c>
      <c r="J44" s="594">
        <f t="shared" si="14"/>
        <v>1.0498449201408959</v>
      </c>
      <c r="K44" s="594">
        <f t="shared" si="14"/>
        <v>1.2201368910747044</v>
      </c>
      <c r="L44" s="594">
        <f t="shared" si="14"/>
        <v>2.886565463784116</v>
      </c>
      <c r="M44" s="594">
        <f t="shared" si="14"/>
        <v>7.6053685305936787</v>
      </c>
      <c r="N44" s="594">
        <f t="shared" si="14"/>
        <v>0.17453582138530038</v>
      </c>
      <c r="O44" s="594">
        <f t="shared" si="14"/>
        <v>0.73831043347644876</v>
      </c>
      <c r="P44" s="594">
        <f t="shared" si="14"/>
        <v>3.4044646502200528</v>
      </c>
      <c r="Q44" s="594">
        <f t="shared" si="14"/>
        <v>2.643859058737879</v>
      </c>
      <c r="R44" s="594">
        <f>(R43/$W43)*100</f>
        <v>3.4765204490830595</v>
      </c>
      <c r="S44" s="594">
        <f>(S43/$W43)*100</f>
        <v>0.1401666099823731</v>
      </c>
      <c r="T44" s="594">
        <f>(T43/$W43)*100</f>
        <v>4.341339466793066</v>
      </c>
      <c r="U44" s="594">
        <f t="shared" ref="U44:V46" si="15">(U43/$W43)*100</f>
        <v>96.733101854204008</v>
      </c>
      <c r="V44" s="594">
        <f t="shared" si="15"/>
        <v>3.266898145795988</v>
      </c>
      <c r="W44" s="594">
        <f>(W43/$W43)*100</f>
        <v>100</v>
      </c>
      <c r="X44" s="288"/>
      <c r="Y44" s="288"/>
      <c r="Z44" s="349"/>
    </row>
    <row r="45" spans="1:26" ht="12" customHeight="1">
      <c r="A45" s="1803" t="s">
        <v>2618</v>
      </c>
      <c r="B45" s="376">
        <v>370902</v>
      </c>
      <c r="C45" s="376">
        <v>58171</v>
      </c>
      <c r="D45" s="376">
        <v>843340</v>
      </c>
      <c r="E45" s="376">
        <v>39282</v>
      </c>
      <c r="F45" s="376">
        <v>3330</v>
      </c>
      <c r="G45" s="376">
        <v>310282</v>
      </c>
      <c r="H45" s="376">
        <v>524932</v>
      </c>
      <c r="I45" s="376">
        <v>248100</v>
      </c>
      <c r="J45" s="376">
        <v>36667</v>
      </c>
      <c r="K45" s="376">
        <v>41923</v>
      </c>
      <c r="L45" s="376">
        <v>98170</v>
      </c>
      <c r="M45" s="376">
        <v>262562</v>
      </c>
      <c r="N45" s="376">
        <v>6197</v>
      </c>
      <c r="O45" s="376">
        <v>27092</v>
      </c>
      <c r="P45" s="376">
        <v>120410</v>
      </c>
      <c r="Q45" s="376">
        <v>92670</v>
      </c>
      <c r="R45" s="376">
        <v>123991</v>
      </c>
      <c r="S45" s="376">
        <v>4998</v>
      </c>
      <c r="T45" s="376">
        <v>149719</v>
      </c>
      <c r="U45" s="376">
        <v>3362736</v>
      </c>
      <c r="V45" s="376">
        <v>100054</v>
      </c>
      <c r="W45" s="376">
        <f>U45+V45</f>
        <v>3462790</v>
      </c>
      <c r="X45" s="376">
        <v>190129</v>
      </c>
      <c r="Y45" s="249">
        <f>W45+X45</f>
        <v>3652919</v>
      </c>
      <c r="Z45" s="1803" t="s">
        <v>2618</v>
      </c>
    </row>
    <row r="46" spans="1:26" ht="12" customHeight="1" thickBot="1">
      <c r="A46" s="812"/>
      <c r="B46" s="574">
        <f>(B45/$W45)*100</f>
        <v>10.711074018349366</v>
      </c>
      <c r="C46" s="574">
        <f t="shared" si="14"/>
        <v>1.6798881826504062</v>
      </c>
      <c r="D46" s="574">
        <f t="shared" si="14"/>
        <v>24.354350104973157</v>
      </c>
      <c r="E46" s="574">
        <f t="shared" si="14"/>
        <v>1.1344031835600774</v>
      </c>
      <c r="F46" s="574">
        <f t="shared" si="14"/>
        <v>9.6165230926507236E-2</v>
      </c>
      <c r="G46" s="574">
        <f t="shared" si="14"/>
        <v>8.9604625172187742</v>
      </c>
      <c r="H46" s="574">
        <f t="shared" si="14"/>
        <v>15.159221321535524</v>
      </c>
      <c r="I46" s="574">
        <f t="shared" si="14"/>
        <v>7.1647428807406737</v>
      </c>
      <c r="J46" s="574">
        <f t="shared" si="14"/>
        <v>1.0588860427574298</v>
      </c>
      <c r="K46" s="574">
        <f t="shared" si="14"/>
        <v>1.2106711640035925</v>
      </c>
      <c r="L46" s="574">
        <f t="shared" si="14"/>
        <v>2.8349972132297943</v>
      </c>
      <c r="M46" s="574">
        <f t="shared" si="14"/>
        <v>7.5823829917494274</v>
      </c>
      <c r="N46" s="574">
        <f t="shared" si="14"/>
        <v>0.17895974055602565</v>
      </c>
      <c r="O46" s="574">
        <f t="shared" si="14"/>
        <v>0.78237490578406432</v>
      </c>
      <c r="P46" s="574">
        <f t="shared" si="14"/>
        <v>3.4772538906488695</v>
      </c>
      <c r="Q46" s="574">
        <f t="shared" si="14"/>
        <v>2.6761657507385661</v>
      </c>
      <c r="R46" s="574">
        <f>(R45/$W45)*100</f>
        <v>3.5806676119545222</v>
      </c>
      <c r="S46" s="574">
        <f>(S45/$W45)*100</f>
        <v>0.14433448173293789</v>
      </c>
      <c r="T46" s="574">
        <f>(T45/$W45)*100</f>
        <v>4.3236523150407615</v>
      </c>
      <c r="U46" s="574">
        <f t="shared" si="15"/>
        <v>97.110595791255022</v>
      </c>
      <c r="V46" s="574">
        <f t="shared" si="15"/>
        <v>2.8894042087449714</v>
      </c>
      <c r="W46" s="574">
        <f>(W45/$W45)*100</f>
        <v>100</v>
      </c>
      <c r="X46" s="753"/>
      <c r="Y46" s="753"/>
      <c r="Z46" s="813"/>
    </row>
    <row r="47" spans="1:26" ht="13.5" customHeight="1">
      <c r="A47" s="77" t="s">
        <v>1984</v>
      </c>
      <c r="B47" s="2361" t="s">
        <v>1985</v>
      </c>
      <c r="C47" s="2361"/>
      <c r="D47" s="2361"/>
      <c r="E47" s="2361"/>
      <c r="F47" s="2361"/>
      <c r="G47" s="2361"/>
      <c r="H47" s="2361"/>
      <c r="I47" s="2361"/>
      <c r="J47" s="2361"/>
      <c r="K47" s="253"/>
      <c r="L47" s="1244"/>
      <c r="M47" s="587"/>
      <c r="N47" s="682" t="s">
        <v>1986</v>
      </c>
      <c r="O47" s="7"/>
      <c r="P47" s="7"/>
      <c r="Q47" s="7"/>
      <c r="R47" s="52"/>
      <c r="S47" s="1087"/>
      <c r="T47" s="1087"/>
      <c r="U47" s="52" t="s">
        <v>2180</v>
      </c>
      <c r="V47" s="1087"/>
      <c r="W47" s="7"/>
      <c r="X47" s="2354"/>
      <c r="Y47" s="2354"/>
      <c r="Z47" s="7"/>
    </row>
    <row r="48" spans="1:26" ht="9.75" customHeight="1">
      <c r="B48" s="2359"/>
      <c r="C48" s="2359"/>
      <c r="D48" s="2359"/>
      <c r="E48" s="1808"/>
      <c r="F48" s="2354"/>
      <c r="G48" s="2354"/>
      <c r="H48" s="1808"/>
      <c r="I48" s="1808"/>
      <c r="J48" s="1808"/>
      <c r="K48" s="1808"/>
      <c r="L48" s="1808"/>
      <c r="P48" s="2360"/>
      <c r="Q48" s="2360"/>
      <c r="R48" s="2360"/>
      <c r="S48" s="1804"/>
    </row>
    <row r="49" spans="2:26" ht="9.75" customHeight="1"/>
    <row r="50" spans="2:26" ht="9.75" customHeight="1">
      <c r="D50" s="709"/>
      <c r="H50" s="1245"/>
    </row>
    <row r="51" spans="2:26" ht="9.75" customHeight="1">
      <c r="B51" s="709"/>
      <c r="C51" s="709"/>
      <c r="D51" s="709"/>
      <c r="E51" s="709"/>
      <c r="F51" s="709"/>
      <c r="G51" s="709"/>
      <c r="H51" s="709"/>
      <c r="I51" s="709"/>
      <c r="J51" s="709"/>
      <c r="K51" s="709"/>
      <c r="L51" s="709"/>
      <c r="M51" s="709"/>
      <c r="N51" s="709"/>
      <c r="O51" s="709"/>
      <c r="P51" s="709"/>
      <c r="Q51" s="709"/>
      <c r="R51" s="709"/>
      <c r="S51" s="709"/>
      <c r="T51" s="709"/>
      <c r="U51" s="709"/>
    </row>
    <row r="52" spans="2:26" ht="9.75" customHeight="1">
      <c r="B52" s="709"/>
      <c r="C52" s="709"/>
      <c r="D52" s="709"/>
      <c r="E52" s="709"/>
      <c r="F52" s="709"/>
      <c r="G52" s="709"/>
      <c r="H52" s="709"/>
      <c r="I52" s="709"/>
      <c r="J52" s="709"/>
      <c r="K52" s="709"/>
      <c r="L52" s="709"/>
      <c r="M52" s="709"/>
      <c r="N52" s="709"/>
      <c r="O52" s="709"/>
      <c r="P52" s="709"/>
      <c r="Q52" s="709"/>
      <c r="R52" s="709"/>
      <c r="S52" s="709"/>
      <c r="T52" s="709"/>
      <c r="U52" s="709"/>
      <c r="V52" s="709"/>
      <c r="W52" s="709"/>
      <c r="X52" s="709"/>
      <c r="Y52" s="709"/>
      <c r="Z52" s="709"/>
    </row>
    <row r="53" spans="2:26" ht="9.75" customHeight="1">
      <c r="B53" s="709"/>
      <c r="C53" s="709"/>
      <c r="D53" s="709"/>
      <c r="E53" s="709"/>
      <c r="F53" s="709"/>
      <c r="G53" s="709"/>
      <c r="H53" s="709"/>
      <c r="I53" s="709"/>
      <c r="J53" s="709"/>
      <c r="K53" s="709"/>
      <c r="L53" s="709"/>
      <c r="M53" s="709"/>
      <c r="N53" s="709"/>
      <c r="O53" s="709"/>
      <c r="P53" s="709"/>
      <c r="Q53" s="709"/>
      <c r="R53" s="709"/>
      <c r="S53" s="709"/>
      <c r="T53" s="709"/>
      <c r="U53" s="709"/>
      <c r="V53" s="709"/>
      <c r="W53" s="709"/>
      <c r="X53" s="709"/>
      <c r="Y53" s="709"/>
      <c r="Z53" s="709"/>
    </row>
    <row r="54" spans="2:26" ht="9.75" customHeight="1"/>
    <row r="55" spans="2:26" ht="9.75" customHeight="1"/>
    <row r="56" spans="2:26" ht="9.75" customHeight="1"/>
    <row r="57" spans="2:26" ht="9.75" customHeight="1"/>
    <row r="58" spans="2:26" ht="9.75" customHeight="1"/>
    <row r="59" spans="2:26" ht="9.75" customHeight="1"/>
    <row r="60" spans="2:26" ht="9.75" customHeight="1"/>
    <row r="61" spans="2:26" ht="9.75" customHeight="1"/>
    <row r="62" spans="2:26" ht="9.75" customHeight="1"/>
    <row r="63" spans="2:26" ht="9.75" customHeight="1"/>
    <row r="64" spans="2:26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7:Y47"/>
    <mergeCell ref="B48:D48"/>
    <mergeCell ref="F48:G48"/>
    <mergeCell ref="P48:R48"/>
    <mergeCell ref="B47:J47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20"/>
  <sheetViews>
    <sheetView showWhiteSpace="0" zoomScale="130" zoomScaleNormal="130" workbookViewId="0">
      <pane ySplit="1" topLeftCell="A35" activePane="bottomLeft" state="frozen"/>
      <selection activeCell="X47" sqref="X47:X50"/>
      <selection pane="bottomLeft" activeCell="E49" sqref="E49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382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4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140625" style="8" customWidth="1"/>
    <col min="27" max="27" width="7.140625" style="8" customWidth="1"/>
    <col min="28" max="28" width="9.140625" style="8" customWidth="1"/>
    <col min="29" max="29" width="7.57031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" style="8" customWidth="1"/>
    <col min="37" max="37" width="5.7109375" style="8" customWidth="1"/>
    <col min="38" max="38" width="6.7109375" style="8" customWidth="1"/>
    <col min="39" max="16384" width="9.140625" style="8"/>
  </cols>
  <sheetData>
    <row r="1" spans="1:39" s="500" customFormat="1" ht="12.75" customHeight="1">
      <c r="A1" s="1373"/>
      <c r="B1" s="1373"/>
      <c r="C1" s="1374" t="s">
        <v>2026</v>
      </c>
      <c r="D1" s="1949" t="s">
        <v>2251</v>
      </c>
      <c r="E1" s="1949"/>
      <c r="F1" s="1949"/>
      <c r="G1" s="1949"/>
      <c r="H1" s="1949"/>
      <c r="I1" s="1949"/>
      <c r="J1" s="1949"/>
      <c r="K1" s="2381" t="s">
        <v>2328</v>
      </c>
      <c r="L1" s="2381"/>
      <c r="M1" s="2381"/>
      <c r="N1" s="2381"/>
      <c r="O1" s="2381"/>
      <c r="P1" s="2381"/>
      <c r="Q1" s="2381"/>
      <c r="R1" s="2381"/>
      <c r="S1" s="2381"/>
      <c r="T1" s="2381"/>
      <c r="U1" s="1373"/>
      <c r="V1" s="1374" t="s">
        <v>2026</v>
      </c>
      <c r="W1" s="1374"/>
      <c r="X1" s="1949" t="s">
        <v>2251</v>
      </c>
      <c r="Y1" s="1949"/>
      <c r="Z1" s="1949"/>
      <c r="AA1" s="1949"/>
      <c r="AB1" s="1949"/>
      <c r="AC1" s="1949"/>
      <c r="AD1" s="1987" t="s">
        <v>2329</v>
      </c>
      <c r="AE1" s="1987"/>
      <c r="AF1" s="1987"/>
      <c r="AG1" s="1987"/>
      <c r="AH1" s="1987"/>
      <c r="AI1" s="1987"/>
      <c r="AJ1" s="1987"/>
      <c r="AK1" s="1987"/>
      <c r="AL1" s="1987"/>
      <c r="AM1" s="1987"/>
    </row>
    <row r="2" spans="1:39" s="418" customFormat="1" ht="9.75" customHeight="1">
      <c r="A2" s="1375"/>
      <c r="B2" s="1375"/>
      <c r="E2" s="1375"/>
      <c r="F2" s="1375"/>
      <c r="G2" s="1375"/>
      <c r="H2" s="1375"/>
      <c r="I2" s="1375"/>
      <c r="J2" s="2377"/>
      <c r="K2" s="2377"/>
      <c r="L2" s="1376"/>
      <c r="M2" s="1376"/>
      <c r="N2" s="1376"/>
      <c r="Q2" s="2382" t="s">
        <v>2252</v>
      </c>
      <c r="R2" s="2382"/>
      <c r="S2" s="2382"/>
      <c r="T2" s="1375"/>
      <c r="U2" s="1375"/>
      <c r="X2" s="1375"/>
      <c r="Y2" s="1375"/>
      <c r="Z2" s="1375"/>
      <c r="AA2" s="1375"/>
      <c r="AB2" s="1375"/>
      <c r="AC2" s="2377"/>
      <c r="AD2" s="2377"/>
      <c r="AE2" s="1376"/>
      <c r="AF2" s="1376"/>
      <c r="AG2" s="1376"/>
      <c r="AJ2" s="2378" t="s">
        <v>24</v>
      </c>
      <c r="AK2" s="2378"/>
      <c r="AL2" s="2378"/>
    </row>
    <row r="3" spans="1:39" s="358" customFormat="1" ht="11.25" customHeight="1">
      <c r="A3" s="2372" t="s">
        <v>481</v>
      </c>
      <c r="B3" s="1377" t="s">
        <v>147</v>
      </c>
      <c r="C3" s="2369" t="s">
        <v>2237</v>
      </c>
      <c r="D3" s="2370"/>
      <c r="E3" s="2370"/>
      <c r="F3" s="2370"/>
      <c r="G3" s="2371"/>
      <c r="H3" s="2369" t="s">
        <v>329</v>
      </c>
      <c r="I3" s="2370"/>
      <c r="J3" s="2370"/>
      <c r="K3" s="2370"/>
      <c r="L3" s="2370"/>
      <c r="M3" s="2370"/>
      <c r="N3" s="2371"/>
      <c r="O3" s="2379" t="s">
        <v>2242</v>
      </c>
      <c r="P3" s="2372" t="s">
        <v>1979</v>
      </c>
      <c r="Q3" s="2372" t="s">
        <v>2243</v>
      </c>
      <c r="R3" s="2374" t="s">
        <v>2244</v>
      </c>
      <c r="S3" s="2372" t="s">
        <v>481</v>
      </c>
      <c r="T3" s="2372" t="s">
        <v>481</v>
      </c>
      <c r="U3" s="1378" t="s">
        <v>147</v>
      </c>
      <c r="V3" s="2369" t="s">
        <v>2237</v>
      </c>
      <c r="W3" s="2370"/>
      <c r="X3" s="2370"/>
      <c r="Y3" s="2370"/>
      <c r="Z3" s="2371"/>
      <c r="AA3" s="2369" t="s">
        <v>329</v>
      </c>
      <c r="AB3" s="2370"/>
      <c r="AC3" s="2370"/>
      <c r="AD3" s="2370"/>
      <c r="AE3" s="2370"/>
      <c r="AF3" s="2370"/>
      <c r="AG3" s="2371"/>
      <c r="AH3" s="2379" t="s">
        <v>2242</v>
      </c>
      <c r="AI3" s="2372" t="s">
        <v>1979</v>
      </c>
      <c r="AJ3" s="2372" t="s">
        <v>2255</v>
      </c>
      <c r="AK3" s="2374" t="s">
        <v>2244</v>
      </c>
      <c r="AL3" s="2372" t="s">
        <v>481</v>
      </c>
    </row>
    <row r="4" spans="1:39" s="167" customFormat="1" ht="58.5" customHeight="1">
      <c r="A4" s="2376"/>
      <c r="B4" s="1372" t="s">
        <v>1965</v>
      </c>
      <c r="C4" s="1372" t="s">
        <v>1255</v>
      </c>
      <c r="D4" s="1372" t="s">
        <v>265</v>
      </c>
      <c r="E4" s="1372" t="s">
        <v>2236</v>
      </c>
      <c r="F4" s="1372" t="s">
        <v>266</v>
      </c>
      <c r="G4" s="1372" t="s">
        <v>477</v>
      </c>
      <c r="H4" s="1372" t="s">
        <v>2238</v>
      </c>
      <c r="I4" s="1372" t="s">
        <v>2318</v>
      </c>
      <c r="J4" s="1372" t="s">
        <v>1971</v>
      </c>
      <c r="K4" s="1372" t="s">
        <v>2239</v>
      </c>
      <c r="L4" s="1372" t="s">
        <v>2240</v>
      </c>
      <c r="M4" s="1372" t="s">
        <v>2241</v>
      </c>
      <c r="N4" s="1372" t="s">
        <v>477</v>
      </c>
      <c r="O4" s="2380"/>
      <c r="P4" s="2373"/>
      <c r="Q4" s="2373"/>
      <c r="R4" s="2375"/>
      <c r="S4" s="2376"/>
      <c r="T4" s="2376"/>
      <c r="U4" s="1372" t="s">
        <v>2319</v>
      </c>
      <c r="V4" s="1372" t="s">
        <v>1989</v>
      </c>
      <c r="W4" s="1372" t="s">
        <v>265</v>
      </c>
      <c r="X4" s="1372" t="s">
        <v>2236</v>
      </c>
      <c r="Y4" s="1372" t="s">
        <v>266</v>
      </c>
      <c r="Z4" s="1372" t="s">
        <v>477</v>
      </c>
      <c r="AA4" s="1372" t="s">
        <v>2238</v>
      </c>
      <c r="AB4" s="1372" t="s">
        <v>2318</v>
      </c>
      <c r="AC4" s="1372" t="s">
        <v>1971</v>
      </c>
      <c r="AD4" s="1372" t="s">
        <v>2239</v>
      </c>
      <c r="AE4" s="1372" t="s">
        <v>2240</v>
      </c>
      <c r="AF4" s="1372" t="s">
        <v>2241</v>
      </c>
      <c r="AG4" s="1372" t="s">
        <v>477</v>
      </c>
      <c r="AH4" s="2380"/>
      <c r="AI4" s="2373"/>
      <c r="AJ4" s="2373"/>
      <c r="AK4" s="2375"/>
      <c r="AL4" s="2376"/>
    </row>
    <row r="5" spans="1:39" s="1010" customFormat="1" ht="11.25" customHeight="1">
      <c r="A5" s="2373"/>
      <c r="B5" s="1379">
        <v>1</v>
      </c>
      <c r="C5" s="1379">
        <v>2</v>
      </c>
      <c r="D5" s="1379">
        <v>3</v>
      </c>
      <c r="E5" s="1379">
        <v>4</v>
      </c>
      <c r="F5" s="1379">
        <v>5</v>
      </c>
      <c r="G5" s="1379" t="s">
        <v>2245</v>
      </c>
      <c r="H5" s="1379">
        <v>7</v>
      </c>
      <c r="I5" s="1379">
        <v>8</v>
      </c>
      <c r="J5" s="1379">
        <v>9</v>
      </c>
      <c r="K5" s="1379">
        <v>10</v>
      </c>
      <c r="L5" s="1379">
        <v>11</v>
      </c>
      <c r="M5" s="1379">
        <v>12</v>
      </c>
      <c r="N5" s="1379" t="s">
        <v>2320</v>
      </c>
      <c r="O5" s="1379" t="s">
        <v>2321</v>
      </c>
      <c r="P5" s="1379">
        <v>15</v>
      </c>
      <c r="Q5" s="1379" t="s">
        <v>2322</v>
      </c>
      <c r="R5" s="1380">
        <v>17</v>
      </c>
      <c r="S5" s="2373"/>
      <c r="T5" s="2373"/>
      <c r="U5" s="1379">
        <v>18</v>
      </c>
      <c r="V5" s="1379">
        <v>19</v>
      </c>
      <c r="W5" s="1379">
        <v>20</v>
      </c>
      <c r="X5" s="1379">
        <v>21</v>
      </c>
      <c r="Y5" s="1379">
        <v>22</v>
      </c>
      <c r="Z5" s="1379" t="s">
        <v>2323</v>
      </c>
      <c r="AA5" s="1379">
        <v>24</v>
      </c>
      <c r="AB5" s="1379">
        <v>25</v>
      </c>
      <c r="AC5" s="1379">
        <v>26</v>
      </c>
      <c r="AD5" s="1379">
        <v>27</v>
      </c>
      <c r="AE5" s="1379">
        <v>28</v>
      </c>
      <c r="AF5" s="1379">
        <v>29</v>
      </c>
      <c r="AG5" s="1379" t="s">
        <v>2324</v>
      </c>
      <c r="AH5" s="1379" t="s">
        <v>2325</v>
      </c>
      <c r="AI5" s="1379">
        <v>32</v>
      </c>
      <c r="AJ5" s="1379" t="s">
        <v>2326</v>
      </c>
      <c r="AK5" s="1379">
        <v>34</v>
      </c>
      <c r="AL5" s="2373"/>
    </row>
    <row r="6" spans="1:39" s="1010" customFormat="1" ht="9.9499999999999993" customHeight="1">
      <c r="A6" s="2366" t="s">
        <v>1982</v>
      </c>
      <c r="B6" s="2366"/>
      <c r="C6" s="2366"/>
      <c r="D6" s="1009"/>
      <c r="E6" s="1009"/>
      <c r="F6" s="1009"/>
      <c r="G6" s="1009"/>
      <c r="H6" s="1009"/>
      <c r="I6" s="1009"/>
      <c r="J6" s="1009"/>
      <c r="K6" s="1009"/>
      <c r="L6" s="1009"/>
      <c r="M6" s="1009"/>
      <c r="N6" s="1009"/>
      <c r="O6" s="1009"/>
      <c r="P6" s="1009"/>
      <c r="Q6" s="1009"/>
      <c r="R6" s="1324"/>
      <c r="S6" s="213"/>
      <c r="T6" s="2366" t="s">
        <v>1983</v>
      </c>
      <c r="U6" s="2366"/>
      <c r="V6" s="2366"/>
      <c r="W6" s="1009"/>
      <c r="X6" s="1009"/>
      <c r="Y6" s="1009"/>
      <c r="Z6" s="1009"/>
      <c r="AA6" s="1009"/>
      <c r="AB6" s="1009"/>
      <c r="AC6" s="1009"/>
      <c r="AD6" s="1009"/>
      <c r="AE6" s="1009"/>
      <c r="AF6" s="1009"/>
      <c r="AG6" s="1009"/>
      <c r="AH6" s="1009"/>
      <c r="AI6" s="1009"/>
      <c r="AJ6" s="1009"/>
      <c r="AK6" s="1324"/>
      <c r="AL6" s="213"/>
    </row>
    <row r="7" spans="1:39" s="185" customFormat="1" ht="9.9499999999999993" customHeight="1">
      <c r="A7" s="1661" t="s">
        <v>1163</v>
      </c>
      <c r="B7" s="476">
        <f>B8+B9+B11+B10</f>
        <v>279505</v>
      </c>
      <c r="C7" s="476">
        <f>C8+C9+C11+C10</f>
        <v>33052</v>
      </c>
      <c r="D7" s="476">
        <f>D8+D9+D11+D10</f>
        <v>422387</v>
      </c>
      <c r="E7" s="476">
        <f>E8+E9+E11+E10</f>
        <v>26658</v>
      </c>
      <c r="F7" s="476">
        <f>F8+F9+F11+F10</f>
        <v>162842</v>
      </c>
      <c r="G7" s="476">
        <f>C7+D7+E7+F7</f>
        <v>644939</v>
      </c>
      <c r="H7" s="476">
        <f t="shared" ref="H7:M7" si="0">H8+H9+H10+H11</f>
        <v>288510</v>
      </c>
      <c r="I7" s="476">
        <f t="shared" si="0"/>
        <v>206749</v>
      </c>
      <c r="J7" s="476">
        <f t="shared" si="0"/>
        <v>65071</v>
      </c>
      <c r="K7" s="476">
        <f t="shared" si="0"/>
        <v>210659</v>
      </c>
      <c r="L7" s="476">
        <f t="shared" si="0"/>
        <v>175809</v>
      </c>
      <c r="M7" s="476">
        <f t="shared" si="0"/>
        <v>116184</v>
      </c>
      <c r="N7" s="476">
        <f>H7+I7+J7+K7+L7+M7</f>
        <v>1062982</v>
      </c>
      <c r="O7" s="476">
        <f>B7+G7+N7</f>
        <v>1987426</v>
      </c>
      <c r="P7" s="476">
        <f>P8+P9+P10+P11</f>
        <v>88394</v>
      </c>
      <c r="Q7" s="476">
        <f>O7+P7</f>
        <v>2075820</v>
      </c>
      <c r="R7" s="332" t="s">
        <v>292</v>
      </c>
      <c r="S7" s="355" t="s">
        <v>1163</v>
      </c>
      <c r="T7" s="1661" t="s">
        <v>1163</v>
      </c>
      <c r="U7" s="476">
        <f>U8+U9+U11+U10</f>
        <v>279504</v>
      </c>
      <c r="V7" s="476">
        <f>V8+V9+V11+V10</f>
        <v>33052</v>
      </c>
      <c r="W7" s="476">
        <f>W8+W9+W11+W10</f>
        <v>422388</v>
      </c>
      <c r="X7" s="476">
        <f>X8+X9+X11+X10</f>
        <v>26657</v>
      </c>
      <c r="Y7" s="476">
        <f>Y8+Y9+Y11+Y10</f>
        <v>162844</v>
      </c>
      <c r="Z7" s="476">
        <f>V7+W7+X7+Y7</f>
        <v>644941</v>
      </c>
      <c r="AA7" s="476">
        <f t="shared" ref="AA7:AF7" si="1">AA8+AA9+AA10+AA11</f>
        <v>288509</v>
      </c>
      <c r="AB7" s="476">
        <f t="shared" si="1"/>
        <v>206750</v>
      </c>
      <c r="AC7" s="476">
        <f t="shared" si="1"/>
        <v>65072</v>
      </c>
      <c r="AD7" s="476">
        <f t="shared" si="1"/>
        <v>210660</v>
      </c>
      <c r="AE7" s="476">
        <f t="shared" si="1"/>
        <v>175809</v>
      </c>
      <c r="AF7" s="476">
        <f t="shared" si="1"/>
        <v>116183</v>
      </c>
      <c r="AG7" s="476">
        <f>AA7+AB7+AC7+AD7+AE7+AF7</f>
        <v>1062983</v>
      </c>
      <c r="AH7" s="476">
        <f>U7+Z7+AG7</f>
        <v>1987428</v>
      </c>
      <c r="AI7" s="476">
        <f>AI8+AI9+AI10+AI11</f>
        <v>88393</v>
      </c>
      <c r="AJ7" s="476">
        <f>AH7+AI7</f>
        <v>2075821</v>
      </c>
      <c r="AK7" s="332" t="s">
        <v>292</v>
      </c>
      <c r="AL7" s="355" t="s">
        <v>1163</v>
      </c>
    </row>
    <row r="8" spans="1:39" s="160" customFormat="1" ht="9.9499999999999993" customHeight="1">
      <c r="A8" s="378" t="s">
        <v>2246</v>
      </c>
      <c r="B8" s="376">
        <v>61639</v>
      </c>
      <c r="C8" s="376">
        <v>7042</v>
      </c>
      <c r="D8" s="376">
        <v>97951</v>
      </c>
      <c r="E8" s="376">
        <v>6423</v>
      </c>
      <c r="F8" s="376">
        <v>35105</v>
      </c>
      <c r="G8" s="376">
        <f t="shared" ref="G8:G11" si="2">C8+D8+E8+F8</f>
        <v>146521</v>
      </c>
      <c r="H8" s="376">
        <v>65169</v>
      </c>
      <c r="I8" s="376">
        <v>47435</v>
      </c>
      <c r="J8" s="376">
        <v>13708</v>
      </c>
      <c r="K8" s="376">
        <v>50252</v>
      </c>
      <c r="L8" s="376">
        <v>40331</v>
      </c>
      <c r="M8" s="376">
        <v>27403</v>
      </c>
      <c r="N8" s="376">
        <f t="shared" ref="N8:N51" si="3">H8+I8+J8+K8+L8+M8</f>
        <v>244298</v>
      </c>
      <c r="O8" s="376">
        <f>B8+G8+N8</f>
        <v>452458</v>
      </c>
      <c r="P8" s="376">
        <v>19486</v>
      </c>
      <c r="Q8" s="376">
        <f t="shared" ref="Q8:Q16" si="4">O8+P8</f>
        <v>471944</v>
      </c>
      <c r="R8" s="250" t="s">
        <v>292</v>
      </c>
      <c r="S8" s="373" t="s">
        <v>2246</v>
      </c>
      <c r="T8" s="378" t="s">
        <v>2246</v>
      </c>
      <c r="U8" s="1381">
        <v>62406</v>
      </c>
      <c r="V8" s="1381">
        <v>7102</v>
      </c>
      <c r="W8" s="1381">
        <v>99718</v>
      </c>
      <c r="X8" s="1381">
        <v>6790</v>
      </c>
      <c r="Y8" s="1381">
        <v>35724</v>
      </c>
      <c r="Z8" s="1381">
        <f t="shared" ref="Z8:Z11" si="5">V8+W8+X8+Y8</f>
        <v>149334</v>
      </c>
      <c r="AA8" s="1381">
        <v>66580</v>
      </c>
      <c r="AB8" s="1381">
        <v>49470</v>
      </c>
      <c r="AC8" s="1381">
        <v>14016</v>
      </c>
      <c r="AD8" s="1381">
        <v>51834</v>
      </c>
      <c r="AE8" s="1381">
        <v>41234</v>
      </c>
      <c r="AF8" s="1381">
        <v>27717</v>
      </c>
      <c r="AG8" s="1381">
        <f t="shared" ref="AG8:AG50" si="6">AA8+AB8+AC8+AD8+AE8+AF8</f>
        <v>250851</v>
      </c>
      <c r="AH8" s="1381">
        <f>U8+Z8+AG8</f>
        <v>462591</v>
      </c>
      <c r="AI8" s="1381">
        <v>21700</v>
      </c>
      <c r="AJ8" s="1381">
        <f t="shared" ref="AJ8:AJ16" si="7">AH8+AI8</f>
        <v>484291</v>
      </c>
      <c r="AK8" s="1317" t="s">
        <v>292</v>
      </c>
      <c r="AL8" s="373" t="s">
        <v>2246</v>
      </c>
    </row>
    <row r="9" spans="1:39" s="160" customFormat="1" ht="9.9499999999999993" customHeight="1">
      <c r="A9" s="392" t="s">
        <v>2247</v>
      </c>
      <c r="B9" s="290">
        <v>75020</v>
      </c>
      <c r="C9" s="290">
        <v>7828</v>
      </c>
      <c r="D9" s="290">
        <v>100244</v>
      </c>
      <c r="E9" s="290">
        <v>5928</v>
      </c>
      <c r="F9" s="290">
        <v>37499</v>
      </c>
      <c r="G9" s="290">
        <f t="shared" si="2"/>
        <v>151499</v>
      </c>
      <c r="H9" s="290">
        <v>70325</v>
      </c>
      <c r="I9" s="290">
        <v>51229</v>
      </c>
      <c r="J9" s="290">
        <v>15580</v>
      </c>
      <c r="K9" s="290">
        <v>51256</v>
      </c>
      <c r="L9" s="290">
        <v>30453</v>
      </c>
      <c r="M9" s="290">
        <v>28591</v>
      </c>
      <c r="N9" s="290">
        <f t="shared" si="3"/>
        <v>247434</v>
      </c>
      <c r="O9" s="290">
        <f>B9+G9+N9</f>
        <v>473953</v>
      </c>
      <c r="P9" s="290">
        <v>23995</v>
      </c>
      <c r="Q9" s="290">
        <f t="shared" si="4"/>
        <v>497948</v>
      </c>
      <c r="R9" s="289" t="s">
        <v>292</v>
      </c>
      <c r="S9" s="349" t="s">
        <v>2247</v>
      </c>
      <c r="T9" s="392" t="s">
        <v>2247</v>
      </c>
      <c r="U9" s="290">
        <v>74444</v>
      </c>
      <c r="V9" s="290">
        <v>7867</v>
      </c>
      <c r="W9" s="290">
        <v>102308</v>
      </c>
      <c r="X9" s="290">
        <v>6171</v>
      </c>
      <c r="Y9" s="290">
        <v>38262</v>
      </c>
      <c r="Z9" s="290">
        <f t="shared" si="5"/>
        <v>154608</v>
      </c>
      <c r="AA9" s="290">
        <v>70373</v>
      </c>
      <c r="AB9" s="290">
        <v>51206</v>
      </c>
      <c r="AC9" s="290">
        <v>15602</v>
      </c>
      <c r="AD9" s="290">
        <v>51899</v>
      </c>
      <c r="AE9" s="290">
        <v>30490</v>
      </c>
      <c r="AF9" s="290">
        <v>28773</v>
      </c>
      <c r="AG9" s="290">
        <f t="shared" si="6"/>
        <v>248343</v>
      </c>
      <c r="AH9" s="290">
        <f>U9+Z9+AG9</f>
        <v>477395</v>
      </c>
      <c r="AI9" s="290">
        <v>22766</v>
      </c>
      <c r="AJ9" s="290">
        <f t="shared" si="7"/>
        <v>500161</v>
      </c>
      <c r="AK9" s="289" t="s">
        <v>292</v>
      </c>
      <c r="AL9" s="349" t="s">
        <v>2247</v>
      </c>
    </row>
    <row r="10" spans="1:39" s="160" customFormat="1" ht="9.9499999999999993" customHeight="1">
      <c r="A10" s="378" t="s">
        <v>2248</v>
      </c>
      <c r="B10" s="376">
        <v>59667</v>
      </c>
      <c r="C10" s="376">
        <v>9221</v>
      </c>
      <c r="D10" s="376">
        <v>109440</v>
      </c>
      <c r="E10" s="376">
        <v>6636</v>
      </c>
      <c r="F10" s="376">
        <v>48054</v>
      </c>
      <c r="G10" s="376">
        <f t="shared" si="2"/>
        <v>173351</v>
      </c>
      <c r="H10" s="376">
        <v>72789</v>
      </c>
      <c r="I10" s="376">
        <v>53501</v>
      </c>
      <c r="J10" s="376">
        <v>17244</v>
      </c>
      <c r="K10" s="376">
        <v>54437</v>
      </c>
      <c r="L10" s="376">
        <v>42472</v>
      </c>
      <c r="M10" s="376">
        <v>29924</v>
      </c>
      <c r="N10" s="376">
        <f t="shared" si="3"/>
        <v>270367</v>
      </c>
      <c r="O10" s="376">
        <f>B10+G10+N10</f>
        <v>503385</v>
      </c>
      <c r="P10" s="376">
        <v>20582</v>
      </c>
      <c r="Q10" s="376">
        <f t="shared" si="4"/>
        <v>523967</v>
      </c>
      <c r="R10" s="250" t="s">
        <v>292</v>
      </c>
      <c r="S10" s="373" t="s">
        <v>2248</v>
      </c>
      <c r="T10" s="378" t="s">
        <v>2248</v>
      </c>
      <c r="U10" s="1381">
        <v>59130</v>
      </c>
      <c r="V10" s="1381">
        <v>9194</v>
      </c>
      <c r="W10" s="1381">
        <v>107845</v>
      </c>
      <c r="X10" s="1381">
        <v>6381</v>
      </c>
      <c r="Y10" s="1381">
        <v>47666</v>
      </c>
      <c r="Z10" s="1381">
        <f t="shared" si="5"/>
        <v>171086</v>
      </c>
      <c r="AA10" s="1381">
        <v>71838</v>
      </c>
      <c r="AB10" s="1381">
        <v>52461</v>
      </c>
      <c r="AC10" s="1381">
        <v>17028</v>
      </c>
      <c r="AD10" s="1381">
        <v>53487</v>
      </c>
      <c r="AE10" s="1381">
        <v>41929</v>
      </c>
      <c r="AF10" s="1381">
        <v>29772</v>
      </c>
      <c r="AG10" s="1381">
        <f t="shared" si="6"/>
        <v>266515</v>
      </c>
      <c r="AH10" s="1381">
        <f>U10+Z10+AG10</f>
        <v>496731</v>
      </c>
      <c r="AI10" s="1381">
        <v>21442</v>
      </c>
      <c r="AJ10" s="1381">
        <f t="shared" si="7"/>
        <v>518173</v>
      </c>
      <c r="AK10" s="1317" t="s">
        <v>292</v>
      </c>
      <c r="AL10" s="373" t="s">
        <v>2248</v>
      </c>
    </row>
    <row r="11" spans="1:39" s="160" customFormat="1" ht="9.9499999999999993" customHeight="1">
      <c r="A11" s="392" t="s">
        <v>2249</v>
      </c>
      <c r="B11" s="290">
        <v>83179</v>
      </c>
      <c r="C11" s="290">
        <v>8961</v>
      </c>
      <c r="D11" s="290">
        <v>114752</v>
      </c>
      <c r="E11" s="290">
        <v>7671</v>
      </c>
      <c r="F11" s="290">
        <v>42184</v>
      </c>
      <c r="G11" s="290">
        <f t="shared" si="2"/>
        <v>173568</v>
      </c>
      <c r="H11" s="290">
        <v>80227</v>
      </c>
      <c r="I11" s="290">
        <v>54584</v>
      </c>
      <c r="J11" s="290">
        <v>18539</v>
      </c>
      <c r="K11" s="290">
        <v>54714</v>
      </c>
      <c r="L11" s="290">
        <v>62553</v>
      </c>
      <c r="M11" s="290">
        <v>30266</v>
      </c>
      <c r="N11" s="290">
        <f t="shared" si="3"/>
        <v>300883</v>
      </c>
      <c r="O11" s="290">
        <f>B11+G11+N11</f>
        <v>557630</v>
      </c>
      <c r="P11" s="290">
        <v>24331</v>
      </c>
      <c r="Q11" s="290">
        <f t="shared" si="4"/>
        <v>581961</v>
      </c>
      <c r="R11" s="289" t="s">
        <v>292</v>
      </c>
      <c r="S11" s="349" t="s">
        <v>2249</v>
      </c>
      <c r="T11" s="392" t="s">
        <v>2249</v>
      </c>
      <c r="U11" s="290">
        <v>83524</v>
      </c>
      <c r="V11" s="290">
        <v>8889</v>
      </c>
      <c r="W11" s="290">
        <v>112517</v>
      </c>
      <c r="X11" s="290">
        <v>7315</v>
      </c>
      <c r="Y11" s="290">
        <v>41192</v>
      </c>
      <c r="Z11" s="290">
        <f t="shared" si="5"/>
        <v>169913</v>
      </c>
      <c r="AA11" s="290">
        <v>79718</v>
      </c>
      <c r="AB11" s="290">
        <v>53613</v>
      </c>
      <c r="AC11" s="290">
        <v>18426</v>
      </c>
      <c r="AD11" s="290">
        <v>53440</v>
      </c>
      <c r="AE11" s="290">
        <v>62156</v>
      </c>
      <c r="AF11" s="290">
        <v>29921</v>
      </c>
      <c r="AG11" s="290">
        <f t="shared" si="6"/>
        <v>297274</v>
      </c>
      <c r="AH11" s="290">
        <f>U11+Z11+AG11</f>
        <v>550711</v>
      </c>
      <c r="AI11" s="290">
        <v>22485</v>
      </c>
      <c r="AJ11" s="290">
        <f t="shared" si="7"/>
        <v>573196</v>
      </c>
      <c r="AK11" s="289" t="s">
        <v>292</v>
      </c>
      <c r="AL11" s="349" t="s">
        <v>2249</v>
      </c>
    </row>
    <row r="12" spans="1:39" s="185" customFormat="1" ht="9.9499999999999993" customHeight="1">
      <c r="A12" s="848" t="s">
        <v>1187</v>
      </c>
      <c r="B12" s="340">
        <f>B13+B14+B15+B16</f>
        <v>301167</v>
      </c>
      <c r="C12" s="340">
        <f>C13+C14+C15+C16</f>
        <v>39984</v>
      </c>
      <c r="D12" s="340">
        <f>D13+D14+D15+D16</f>
        <v>466606</v>
      </c>
      <c r="E12" s="340">
        <f>E13+E14+E15+E16</f>
        <v>31497</v>
      </c>
      <c r="F12" s="340">
        <f>F13+F14+F15+F16</f>
        <v>188219</v>
      </c>
      <c r="G12" s="340">
        <f>C12+F12+E12+D12</f>
        <v>726306</v>
      </c>
      <c r="H12" s="340">
        <f t="shared" ref="H12:M12" si="8">H13+H14+H15+H16</f>
        <v>324632</v>
      </c>
      <c r="I12" s="340">
        <f t="shared" si="8"/>
        <v>232657</v>
      </c>
      <c r="J12" s="340">
        <f t="shared" si="8"/>
        <v>72246</v>
      </c>
      <c r="K12" s="340">
        <f t="shared" si="8"/>
        <v>234155</v>
      </c>
      <c r="L12" s="340">
        <f t="shared" si="8"/>
        <v>202836</v>
      </c>
      <c r="M12" s="340">
        <f t="shared" si="8"/>
        <v>127794</v>
      </c>
      <c r="N12" s="340">
        <f t="shared" si="3"/>
        <v>1194320</v>
      </c>
      <c r="O12" s="340">
        <f t="shared" ref="O12:O46" si="9">N12+G12+B12</f>
        <v>2221793</v>
      </c>
      <c r="P12" s="340">
        <f>P13+P14+P15+P16</f>
        <v>102514</v>
      </c>
      <c r="Q12" s="340">
        <f t="shared" si="4"/>
        <v>2324307</v>
      </c>
      <c r="R12" s="339">
        <v>11.97</v>
      </c>
      <c r="S12" s="356" t="s">
        <v>1187</v>
      </c>
      <c r="T12" s="848" t="s">
        <v>1187</v>
      </c>
      <c r="U12" s="1662">
        <f>U13+U14+U15+U16</f>
        <v>288438</v>
      </c>
      <c r="V12" s="1662">
        <f>V13+V14+V15+V16</f>
        <v>38767</v>
      </c>
      <c r="W12" s="1662">
        <f>W13+W14+W15+W16</f>
        <v>452319</v>
      </c>
      <c r="X12" s="1662">
        <f>X13+X14+X15+X16</f>
        <v>28469</v>
      </c>
      <c r="Y12" s="1662">
        <f>Y13+Y14+Y15+Y16</f>
        <v>178735</v>
      </c>
      <c r="Z12" s="1662">
        <f>V12+Y12+X12+W12</f>
        <v>698290</v>
      </c>
      <c r="AA12" s="1662">
        <f t="shared" ref="AA12:AF12" si="10">AA13+AA14+AA15+AA16</f>
        <v>312226</v>
      </c>
      <c r="AB12" s="1662">
        <f t="shared" si="10"/>
        <v>219789</v>
      </c>
      <c r="AC12" s="1662">
        <f t="shared" si="10"/>
        <v>68523</v>
      </c>
      <c r="AD12" s="1662">
        <f t="shared" si="10"/>
        <v>218137</v>
      </c>
      <c r="AE12" s="1662">
        <f t="shared" si="10"/>
        <v>192186</v>
      </c>
      <c r="AF12" s="1662">
        <f t="shared" si="10"/>
        <v>119888</v>
      </c>
      <c r="AG12" s="1662">
        <f t="shared" si="6"/>
        <v>1130749</v>
      </c>
      <c r="AH12" s="1662">
        <f t="shared" ref="AH12:AH46" si="11">AG12+Z12+U12</f>
        <v>2117477</v>
      </c>
      <c r="AI12" s="1662">
        <f>AI13+AI14+AI15+AI16</f>
        <v>95147</v>
      </c>
      <c r="AJ12" s="1662">
        <f t="shared" si="7"/>
        <v>2212624</v>
      </c>
      <c r="AK12" s="1663">
        <v>6.59</v>
      </c>
      <c r="AL12" s="356" t="s">
        <v>1187</v>
      </c>
    </row>
    <row r="13" spans="1:39" s="160" customFormat="1" ht="9.9499999999999993" customHeight="1">
      <c r="A13" s="392" t="s">
        <v>2246</v>
      </c>
      <c r="B13" s="290">
        <v>67023</v>
      </c>
      <c r="C13" s="290">
        <v>8377</v>
      </c>
      <c r="D13" s="290">
        <v>107238</v>
      </c>
      <c r="E13" s="290">
        <v>8113</v>
      </c>
      <c r="F13" s="290">
        <v>40901</v>
      </c>
      <c r="G13" s="290">
        <f t="shared" ref="G13:G16" si="12">C13+F13+E13+D13</f>
        <v>164629</v>
      </c>
      <c r="H13" s="290">
        <v>69735</v>
      </c>
      <c r="I13" s="290">
        <v>55194</v>
      </c>
      <c r="J13" s="290">
        <v>16805</v>
      </c>
      <c r="K13" s="290">
        <v>56051</v>
      </c>
      <c r="L13" s="290">
        <v>44532</v>
      </c>
      <c r="M13" s="290">
        <v>28673</v>
      </c>
      <c r="N13" s="290">
        <f t="shared" si="3"/>
        <v>270990</v>
      </c>
      <c r="O13" s="290">
        <f t="shared" si="9"/>
        <v>502642</v>
      </c>
      <c r="P13" s="290">
        <v>23697</v>
      </c>
      <c r="Q13" s="290">
        <f t="shared" si="4"/>
        <v>526339</v>
      </c>
      <c r="R13" s="289">
        <v>11.53</v>
      </c>
      <c r="S13" s="349" t="s">
        <v>2246</v>
      </c>
      <c r="T13" s="392" t="s">
        <v>2246</v>
      </c>
      <c r="U13" s="290">
        <v>65516</v>
      </c>
      <c r="V13" s="290">
        <v>8119</v>
      </c>
      <c r="W13" s="290">
        <v>105828</v>
      </c>
      <c r="X13" s="290">
        <v>7562</v>
      </c>
      <c r="Y13" s="290">
        <v>39421</v>
      </c>
      <c r="Z13" s="290">
        <f t="shared" ref="Z13:Z16" si="13">V13+Y13+X13+W13</f>
        <v>160930</v>
      </c>
      <c r="AA13" s="290">
        <v>68554</v>
      </c>
      <c r="AB13" s="290">
        <v>52861</v>
      </c>
      <c r="AC13" s="290">
        <v>16289</v>
      </c>
      <c r="AD13" s="290">
        <v>53748</v>
      </c>
      <c r="AE13" s="290">
        <v>43151</v>
      </c>
      <c r="AF13" s="290">
        <v>28015</v>
      </c>
      <c r="AG13" s="290">
        <f t="shared" si="6"/>
        <v>262618</v>
      </c>
      <c r="AH13" s="290">
        <f t="shared" si="11"/>
        <v>489064</v>
      </c>
      <c r="AI13" s="290">
        <v>24176</v>
      </c>
      <c r="AJ13" s="290">
        <f t="shared" si="7"/>
        <v>513240</v>
      </c>
      <c r="AK13" s="289">
        <v>5.98</v>
      </c>
      <c r="AL13" s="349" t="s">
        <v>2246</v>
      </c>
    </row>
    <row r="14" spans="1:39" s="160" customFormat="1" ht="9.9499999999999993" customHeight="1">
      <c r="A14" s="378" t="s">
        <v>2247</v>
      </c>
      <c r="B14" s="376">
        <v>81041</v>
      </c>
      <c r="C14" s="376">
        <v>9764</v>
      </c>
      <c r="D14" s="376">
        <v>111959</v>
      </c>
      <c r="E14" s="376">
        <v>7377</v>
      </c>
      <c r="F14" s="376">
        <v>44226</v>
      </c>
      <c r="G14" s="376">
        <f t="shared" si="12"/>
        <v>173326</v>
      </c>
      <c r="H14" s="376">
        <v>82320</v>
      </c>
      <c r="I14" s="376">
        <v>57404</v>
      </c>
      <c r="J14" s="376">
        <v>17281</v>
      </c>
      <c r="K14" s="376">
        <v>56796</v>
      </c>
      <c r="L14" s="376">
        <v>45828</v>
      </c>
      <c r="M14" s="376">
        <v>29749</v>
      </c>
      <c r="N14" s="376">
        <f t="shared" si="3"/>
        <v>289378</v>
      </c>
      <c r="O14" s="376">
        <f t="shared" si="9"/>
        <v>543745</v>
      </c>
      <c r="P14" s="376">
        <v>27005</v>
      </c>
      <c r="Q14" s="376">
        <f t="shared" si="4"/>
        <v>570750</v>
      </c>
      <c r="R14" s="250">
        <v>14.62</v>
      </c>
      <c r="S14" s="373" t="s">
        <v>2247</v>
      </c>
      <c r="T14" s="378" t="s">
        <v>2247</v>
      </c>
      <c r="U14" s="1381">
        <v>77340</v>
      </c>
      <c r="V14" s="1381">
        <v>9472</v>
      </c>
      <c r="W14" s="1381">
        <v>110767</v>
      </c>
      <c r="X14" s="1381">
        <v>6776</v>
      </c>
      <c r="Y14" s="1381">
        <v>42675</v>
      </c>
      <c r="Z14" s="1381">
        <f t="shared" si="13"/>
        <v>169690</v>
      </c>
      <c r="AA14" s="1381">
        <v>79351</v>
      </c>
      <c r="AB14" s="1381">
        <v>54405</v>
      </c>
      <c r="AC14" s="1381">
        <v>16420</v>
      </c>
      <c r="AD14" s="1381">
        <v>53770</v>
      </c>
      <c r="AE14" s="1381">
        <v>43531</v>
      </c>
      <c r="AF14" s="1381">
        <v>28829</v>
      </c>
      <c r="AG14" s="1381">
        <f t="shared" si="6"/>
        <v>276306</v>
      </c>
      <c r="AH14" s="1381">
        <f t="shared" si="11"/>
        <v>523336</v>
      </c>
      <c r="AI14" s="1381">
        <v>24636</v>
      </c>
      <c r="AJ14" s="1381">
        <f t="shared" si="7"/>
        <v>547972</v>
      </c>
      <c r="AK14" s="1317">
        <v>9.56</v>
      </c>
      <c r="AL14" s="373" t="s">
        <v>2247</v>
      </c>
    </row>
    <row r="15" spans="1:39" s="160" customFormat="1" ht="9.9499999999999993" customHeight="1">
      <c r="A15" s="392" t="s">
        <v>2248</v>
      </c>
      <c r="B15" s="290">
        <v>65408</v>
      </c>
      <c r="C15" s="290">
        <v>11139</v>
      </c>
      <c r="D15" s="290">
        <v>121405</v>
      </c>
      <c r="E15" s="290">
        <v>7361</v>
      </c>
      <c r="F15" s="290">
        <v>51243</v>
      </c>
      <c r="G15" s="290">
        <f t="shared" si="12"/>
        <v>191148</v>
      </c>
      <c r="H15" s="290">
        <v>86751</v>
      </c>
      <c r="I15" s="290">
        <v>59813</v>
      </c>
      <c r="J15" s="290">
        <v>18364</v>
      </c>
      <c r="K15" s="290">
        <v>60607</v>
      </c>
      <c r="L15" s="290">
        <v>47747</v>
      </c>
      <c r="M15" s="290">
        <v>34201</v>
      </c>
      <c r="N15" s="290">
        <f t="shared" si="3"/>
        <v>307483</v>
      </c>
      <c r="O15" s="290">
        <f t="shared" si="9"/>
        <v>564039</v>
      </c>
      <c r="P15" s="290">
        <v>28361</v>
      </c>
      <c r="Q15" s="290">
        <f t="shared" si="4"/>
        <v>592400</v>
      </c>
      <c r="R15" s="289">
        <v>13.06</v>
      </c>
      <c r="S15" s="349" t="s">
        <v>2248</v>
      </c>
      <c r="T15" s="392" t="s">
        <v>2248</v>
      </c>
      <c r="U15" s="290">
        <v>62020</v>
      </c>
      <c r="V15" s="290">
        <v>10814</v>
      </c>
      <c r="W15" s="290">
        <v>115967</v>
      </c>
      <c r="X15" s="290">
        <v>6513</v>
      </c>
      <c r="Y15" s="290">
        <v>48306</v>
      </c>
      <c r="Z15" s="290">
        <f t="shared" si="13"/>
        <v>181600</v>
      </c>
      <c r="AA15" s="290">
        <v>82500</v>
      </c>
      <c r="AB15" s="290">
        <v>56107</v>
      </c>
      <c r="AC15" s="290">
        <v>17213</v>
      </c>
      <c r="AD15" s="290">
        <v>55431</v>
      </c>
      <c r="AE15" s="290">
        <v>44735</v>
      </c>
      <c r="AF15" s="290">
        <v>31202</v>
      </c>
      <c r="AG15" s="290">
        <f t="shared" si="6"/>
        <v>287188</v>
      </c>
      <c r="AH15" s="290">
        <f t="shared" si="11"/>
        <v>530808</v>
      </c>
      <c r="AI15" s="290">
        <v>25413</v>
      </c>
      <c r="AJ15" s="290">
        <f t="shared" si="7"/>
        <v>556221</v>
      </c>
      <c r="AK15" s="289">
        <v>7.34</v>
      </c>
      <c r="AL15" s="349" t="s">
        <v>2248</v>
      </c>
    </row>
    <row r="16" spans="1:39" s="160" customFormat="1" ht="9.9499999999999993" customHeight="1">
      <c r="A16" s="378" t="s">
        <v>2249</v>
      </c>
      <c r="B16" s="376">
        <v>87695</v>
      </c>
      <c r="C16" s="376">
        <v>10704</v>
      </c>
      <c r="D16" s="376">
        <v>126004</v>
      </c>
      <c r="E16" s="376">
        <v>8646</v>
      </c>
      <c r="F16" s="376">
        <v>51849</v>
      </c>
      <c r="G16" s="376">
        <f t="shared" si="12"/>
        <v>197203</v>
      </c>
      <c r="H16" s="376">
        <v>85826</v>
      </c>
      <c r="I16" s="376">
        <v>60246</v>
      </c>
      <c r="J16" s="376">
        <v>19796</v>
      </c>
      <c r="K16" s="376">
        <v>60701</v>
      </c>
      <c r="L16" s="376">
        <v>64729</v>
      </c>
      <c r="M16" s="376">
        <v>35171</v>
      </c>
      <c r="N16" s="376">
        <f t="shared" si="3"/>
        <v>326469</v>
      </c>
      <c r="O16" s="376">
        <f t="shared" si="9"/>
        <v>611367</v>
      </c>
      <c r="P16" s="376">
        <v>23451</v>
      </c>
      <c r="Q16" s="376">
        <f t="shared" si="4"/>
        <v>634818</v>
      </c>
      <c r="R16" s="250">
        <v>9.08</v>
      </c>
      <c r="S16" s="373" t="s">
        <v>2249</v>
      </c>
      <c r="T16" s="378" t="s">
        <v>2249</v>
      </c>
      <c r="U16" s="1381">
        <v>83562</v>
      </c>
      <c r="V16" s="1381">
        <v>10362</v>
      </c>
      <c r="W16" s="1381">
        <v>119757</v>
      </c>
      <c r="X16" s="1381">
        <v>7618</v>
      </c>
      <c r="Y16" s="1381">
        <v>48333</v>
      </c>
      <c r="Z16" s="1381">
        <f t="shared" si="13"/>
        <v>186070</v>
      </c>
      <c r="AA16" s="1381">
        <v>81821</v>
      </c>
      <c r="AB16" s="1381">
        <v>56416</v>
      </c>
      <c r="AC16" s="1381">
        <v>18601</v>
      </c>
      <c r="AD16" s="1381">
        <v>55188</v>
      </c>
      <c r="AE16" s="1381">
        <v>60769</v>
      </c>
      <c r="AF16" s="1381">
        <v>31842</v>
      </c>
      <c r="AG16" s="1381">
        <f t="shared" si="6"/>
        <v>304637</v>
      </c>
      <c r="AH16" s="1381">
        <f t="shared" si="11"/>
        <v>574269</v>
      </c>
      <c r="AI16" s="1381">
        <v>20922</v>
      </c>
      <c r="AJ16" s="1381">
        <f t="shared" si="7"/>
        <v>595191</v>
      </c>
      <c r="AK16" s="1317">
        <v>3.84</v>
      </c>
      <c r="AL16" s="373" t="s">
        <v>2249</v>
      </c>
    </row>
    <row r="17" spans="1:38" s="185" customFormat="1" ht="9.9499999999999993" customHeight="1">
      <c r="A17" s="1661" t="s">
        <v>1311</v>
      </c>
      <c r="B17" s="476">
        <f>B18+B19+B20+B21</f>
        <v>329379</v>
      </c>
      <c r="C17" s="476">
        <f>C18+C19+C20+C21</f>
        <v>44275</v>
      </c>
      <c r="D17" s="476">
        <f>D18+D19+D20+D21</f>
        <v>549024</v>
      </c>
      <c r="E17" s="476">
        <f>E18+E19+E20+E21</f>
        <v>35113</v>
      </c>
      <c r="F17" s="476">
        <f>F18+F19+F20+F21</f>
        <v>215693</v>
      </c>
      <c r="G17" s="476">
        <f>C17+F17+E17+D17</f>
        <v>844105</v>
      </c>
      <c r="H17" s="476">
        <f>H18+H19+H20+H21</f>
        <v>373715</v>
      </c>
      <c r="I17" s="476">
        <f>I18+I19+I20+I21</f>
        <v>257374</v>
      </c>
      <c r="J17" s="476">
        <f t="shared" ref="J17:M17" si="14">J18+J19+J20+J21</f>
        <v>81724</v>
      </c>
      <c r="K17" s="476">
        <f t="shared" si="14"/>
        <v>257972</v>
      </c>
      <c r="L17" s="476">
        <f t="shared" si="14"/>
        <v>231779</v>
      </c>
      <c r="M17" s="476">
        <f t="shared" si="14"/>
        <v>140553</v>
      </c>
      <c r="N17" s="476">
        <f t="shared" si="3"/>
        <v>1343117</v>
      </c>
      <c r="O17" s="476">
        <f t="shared" si="9"/>
        <v>2516601</v>
      </c>
      <c r="P17" s="476">
        <f>P18+P19+P20+P21</f>
        <v>122645</v>
      </c>
      <c r="Q17" s="476">
        <f>O17+P17</f>
        <v>2639246</v>
      </c>
      <c r="R17" s="332">
        <v>13.55</v>
      </c>
      <c r="S17" s="355" t="s">
        <v>1311</v>
      </c>
      <c r="T17" s="1661" t="s">
        <v>1311</v>
      </c>
      <c r="U17" s="476">
        <f>U18+U19+U20+U21</f>
        <v>298662</v>
      </c>
      <c r="V17" s="476">
        <f>V18+V19+V20+V21</f>
        <v>42469</v>
      </c>
      <c r="W17" s="476">
        <f>W18+W19+W20+W21</f>
        <v>499598</v>
      </c>
      <c r="X17" s="476">
        <f>X18+X19+X20+X21</f>
        <v>30710</v>
      </c>
      <c r="Y17" s="476">
        <f>Y18+Y19+Y20+Y21</f>
        <v>196710</v>
      </c>
      <c r="Z17" s="476">
        <f>V17+Y17+X17+W17</f>
        <v>769487</v>
      </c>
      <c r="AA17" s="476">
        <f>AA18+AA19+AA20+AA21</f>
        <v>339503</v>
      </c>
      <c r="AB17" s="476">
        <f>AB18+AB19+AB20+AB21</f>
        <v>234303</v>
      </c>
      <c r="AC17" s="476">
        <f t="shared" ref="AC17:AF17" si="15">AC18+AC19+AC20+AC21</f>
        <v>73278</v>
      </c>
      <c r="AD17" s="476">
        <f t="shared" si="15"/>
        <v>226397</v>
      </c>
      <c r="AE17" s="476">
        <f t="shared" si="15"/>
        <v>207560</v>
      </c>
      <c r="AF17" s="476">
        <f t="shared" si="15"/>
        <v>123812</v>
      </c>
      <c r="AG17" s="476">
        <f t="shared" si="6"/>
        <v>1204853</v>
      </c>
      <c r="AH17" s="476">
        <f t="shared" si="11"/>
        <v>2273002</v>
      </c>
      <c r="AI17" s="476">
        <f>AI18+AI19+AI20+AI21</f>
        <v>101572</v>
      </c>
      <c r="AJ17" s="476">
        <f>AH17+AI17</f>
        <v>2374574</v>
      </c>
      <c r="AK17" s="332">
        <v>7.32</v>
      </c>
      <c r="AL17" s="355" t="s">
        <v>1311</v>
      </c>
    </row>
    <row r="18" spans="1:38" s="160" customFormat="1" ht="9.9499999999999993" customHeight="1">
      <c r="A18" s="378" t="s">
        <v>2246</v>
      </c>
      <c r="B18" s="376">
        <v>73848</v>
      </c>
      <c r="C18" s="376">
        <v>9923</v>
      </c>
      <c r="D18" s="376">
        <v>126182</v>
      </c>
      <c r="E18" s="376">
        <v>9403</v>
      </c>
      <c r="F18" s="376">
        <v>48481</v>
      </c>
      <c r="G18" s="376">
        <f t="shared" ref="G18:G21" si="16">C18+F18+E18+D18</f>
        <v>193989</v>
      </c>
      <c r="H18" s="376">
        <v>82857</v>
      </c>
      <c r="I18" s="376">
        <v>61663</v>
      </c>
      <c r="J18" s="376">
        <v>18861</v>
      </c>
      <c r="K18" s="376">
        <v>61328</v>
      </c>
      <c r="L18" s="376">
        <v>50467</v>
      </c>
      <c r="M18" s="376">
        <v>32433</v>
      </c>
      <c r="N18" s="376">
        <f t="shared" si="3"/>
        <v>307609</v>
      </c>
      <c r="O18" s="376">
        <f t="shared" si="9"/>
        <v>575446</v>
      </c>
      <c r="P18" s="376">
        <v>29528</v>
      </c>
      <c r="Q18" s="376">
        <f t="shared" ref="Q18:Q21" si="17">O18+P18</f>
        <v>604974</v>
      </c>
      <c r="R18" s="250">
        <v>14.94</v>
      </c>
      <c r="S18" s="373" t="s">
        <v>2246</v>
      </c>
      <c r="T18" s="378" t="s">
        <v>2246</v>
      </c>
      <c r="U18" s="1381">
        <v>68377</v>
      </c>
      <c r="V18" s="1381">
        <v>9779</v>
      </c>
      <c r="W18" s="1381">
        <v>118338</v>
      </c>
      <c r="X18" s="1381">
        <v>8274</v>
      </c>
      <c r="Y18" s="1381">
        <v>44958</v>
      </c>
      <c r="Z18" s="1381">
        <f t="shared" ref="Z18:Z21" si="18">V18+Y18+X18+W18</f>
        <v>181349</v>
      </c>
      <c r="AA18" s="1381">
        <v>76873</v>
      </c>
      <c r="AB18" s="1381">
        <v>56866</v>
      </c>
      <c r="AC18" s="1381">
        <v>17265</v>
      </c>
      <c r="AD18" s="1381">
        <v>55418</v>
      </c>
      <c r="AE18" s="1381">
        <v>46132</v>
      </c>
      <c r="AF18" s="1381">
        <v>29121</v>
      </c>
      <c r="AG18" s="1381">
        <f t="shared" si="6"/>
        <v>281675</v>
      </c>
      <c r="AH18" s="1381">
        <f t="shared" si="11"/>
        <v>531401</v>
      </c>
      <c r="AI18" s="1381">
        <v>26016</v>
      </c>
      <c r="AJ18" s="1381">
        <f t="shared" ref="AJ18:AJ21" si="19">AH18+AI18</f>
        <v>557417</v>
      </c>
      <c r="AK18" s="1317">
        <v>8.61</v>
      </c>
      <c r="AL18" s="373" t="s">
        <v>2246</v>
      </c>
    </row>
    <row r="19" spans="1:38" s="160" customFormat="1" ht="9.9499999999999993" customHeight="1">
      <c r="A19" s="392" t="s">
        <v>2247</v>
      </c>
      <c r="B19" s="290">
        <v>89291</v>
      </c>
      <c r="C19" s="290">
        <v>11049</v>
      </c>
      <c r="D19" s="290">
        <v>138359</v>
      </c>
      <c r="E19" s="290">
        <v>8298</v>
      </c>
      <c r="F19" s="290">
        <v>52577</v>
      </c>
      <c r="G19" s="290">
        <f t="shared" si="16"/>
        <v>210283</v>
      </c>
      <c r="H19" s="290">
        <v>93614</v>
      </c>
      <c r="I19" s="290">
        <v>63991</v>
      </c>
      <c r="J19" s="290">
        <v>19624</v>
      </c>
      <c r="K19" s="290">
        <v>62766</v>
      </c>
      <c r="L19" s="290">
        <v>49502</v>
      </c>
      <c r="M19" s="290">
        <v>34980</v>
      </c>
      <c r="N19" s="290">
        <f t="shared" si="3"/>
        <v>324477</v>
      </c>
      <c r="O19" s="290">
        <f t="shared" si="9"/>
        <v>624051</v>
      </c>
      <c r="P19" s="290">
        <v>33413</v>
      </c>
      <c r="Q19" s="290">
        <f t="shared" si="17"/>
        <v>657464</v>
      </c>
      <c r="R19" s="289">
        <v>15.19</v>
      </c>
      <c r="S19" s="349" t="s">
        <v>2247</v>
      </c>
      <c r="T19" s="392" t="s">
        <v>2247</v>
      </c>
      <c r="U19" s="290">
        <v>80469</v>
      </c>
      <c r="V19" s="290">
        <v>10732</v>
      </c>
      <c r="W19" s="290">
        <v>125088</v>
      </c>
      <c r="X19" s="290">
        <v>7280</v>
      </c>
      <c r="Y19" s="290">
        <v>48808</v>
      </c>
      <c r="Z19" s="290">
        <f t="shared" si="18"/>
        <v>191908</v>
      </c>
      <c r="AA19" s="290">
        <v>85091</v>
      </c>
      <c r="AB19" s="290">
        <v>58526</v>
      </c>
      <c r="AC19" s="290">
        <v>17602</v>
      </c>
      <c r="AD19" s="290">
        <v>56387</v>
      </c>
      <c r="AE19" s="290">
        <v>44336</v>
      </c>
      <c r="AF19" s="290">
        <v>31073</v>
      </c>
      <c r="AG19" s="290">
        <f t="shared" si="6"/>
        <v>293015</v>
      </c>
      <c r="AH19" s="290">
        <f t="shared" si="11"/>
        <v>565392</v>
      </c>
      <c r="AI19" s="290">
        <v>28288</v>
      </c>
      <c r="AJ19" s="290">
        <f t="shared" si="19"/>
        <v>593680</v>
      </c>
      <c r="AK19" s="289">
        <v>8.34</v>
      </c>
      <c r="AL19" s="349" t="s">
        <v>2247</v>
      </c>
    </row>
    <row r="20" spans="1:38" s="160" customFormat="1" ht="9.9499999999999993" customHeight="1">
      <c r="A20" s="378" t="s">
        <v>2248</v>
      </c>
      <c r="B20" s="376">
        <v>69509</v>
      </c>
      <c r="C20" s="376">
        <v>11425</v>
      </c>
      <c r="D20" s="376">
        <v>141775</v>
      </c>
      <c r="E20" s="376">
        <v>8280</v>
      </c>
      <c r="F20" s="376">
        <v>56288</v>
      </c>
      <c r="G20" s="376">
        <f t="shared" si="16"/>
        <v>217768</v>
      </c>
      <c r="H20" s="376">
        <v>96469</v>
      </c>
      <c r="I20" s="376">
        <v>65299</v>
      </c>
      <c r="J20" s="376">
        <v>20825</v>
      </c>
      <c r="K20" s="376">
        <v>67282</v>
      </c>
      <c r="L20" s="376">
        <v>60383</v>
      </c>
      <c r="M20" s="376">
        <v>38073</v>
      </c>
      <c r="N20" s="376">
        <f t="shared" si="3"/>
        <v>348331</v>
      </c>
      <c r="O20" s="376">
        <f t="shared" si="9"/>
        <v>635608</v>
      </c>
      <c r="P20" s="376">
        <v>32692</v>
      </c>
      <c r="Q20" s="376">
        <f t="shared" si="17"/>
        <v>668300</v>
      </c>
      <c r="R20" s="250">
        <v>12.81</v>
      </c>
      <c r="S20" s="373" t="s">
        <v>2248</v>
      </c>
      <c r="T20" s="378" t="s">
        <v>2248</v>
      </c>
      <c r="U20" s="376">
        <v>62316</v>
      </c>
      <c r="V20" s="376">
        <v>10899</v>
      </c>
      <c r="W20" s="376">
        <v>127775</v>
      </c>
      <c r="X20" s="376">
        <v>7225</v>
      </c>
      <c r="Y20" s="376">
        <v>50840</v>
      </c>
      <c r="Z20" s="376">
        <f t="shared" si="18"/>
        <v>196739</v>
      </c>
      <c r="AA20" s="376">
        <v>86646</v>
      </c>
      <c r="AB20" s="376">
        <v>59275</v>
      </c>
      <c r="AC20" s="376">
        <v>18459</v>
      </c>
      <c r="AD20" s="376">
        <v>57753</v>
      </c>
      <c r="AE20" s="376">
        <v>53475</v>
      </c>
      <c r="AF20" s="376">
        <v>33322</v>
      </c>
      <c r="AG20" s="376">
        <f t="shared" si="6"/>
        <v>308930</v>
      </c>
      <c r="AH20" s="376">
        <f t="shared" si="11"/>
        <v>567985</v>
      </c>
      <c r="AI20" s="376">
        <v>27040</v>
      </c>
      <c r="AJ20" s="376">
        <f t="shared" si="19"/>
        <v>595025</v>
      </c>
      <c r="AK20" s="250">
        <v>6.98</v>
      </c>
      <c r="AL20" s="373" t="s">
        <v>2248</v>
      </c>
    </row>
    <row r="21" spans="1:38" s="160" customFormat="1" ht="9.9499999999999993" customHeight="1">
      <c r="A21" s="392" t="s">
        <v>2249</v>
      </c>
      <c r="B21" s="290">
        <v>96731</v>
      </c>
      <c r="C21" s="290">
        <v>11878</v>
      </c>
      <c r="D21" s="290">
        <v>142708</v>
      </c>
      <c r="E21" s="290">
        <v>9132</v>
      </c>
      <c r="F21" s="290">
        <v>58347</v>
      </c>
      <c r="G21" s="290">
        <f t="shared" si="16"/>
        <v>222065</v>
      </c>
      <c r="H21" s="290">
        <v>100775</v>
      </c>
      <c r="I21" s="290">
        <v>66421</v>
      </c>
      <c r="J21" s="290">
        <v>22414</v>
      </c>
      <c r="K21" s="290">
        <v>66596</v>
      </c>
      <c r="L21" s="290">
        <v>71427</v>
      </c>
      <c r="M21" s="290">
        <v>35067</v>
      </c>
      <c r="N21" s="290">
        <f t="shared" si="3"/>
        <v>362700</v>
      </c>
      <c r="O21" s="290">
        <f t="shared" si="9"/>
        <v>681496</v>
      </c>
      <c r="P21" s="290">
        <v>27012</v>
      </c>
      <c r="Q21" s="290">
        <f t="shared" si="17"/>
        <v>708508</v>
      </c>
      <c r="R21" s="289">
        <v>11.61</v>
      </c>
      <c r="S21" s="349" t="s">
        <v>2249</v>
      </c>
      <c r="T21" s="392" t="s">
        <v>2249</v>
      </c>
      <c r="U21" s="290">
        <v>87500</v>
      </c>
      <c r="V21" s="290">
        <v>11059</v>
      </c>
      <c r="W21" s="290">
        <v>128397</v>
      </c>
      <c r="X21" s="290">
        <v>7931</v>
      </c>
      <c r="Y21" s="290">
        <v>52104</v>
      </c>
      <c r="Z21" s="290">
        <f t="shared" si="18"/>
        <v>199491</v>
      </c>
      <c r="AA21" s="290">
        <v>90893</v>
      </c>
      <c r="AB21" s="290">
        <v>59636</v>
      </c>
      <c r="AC21" s="290">
        <v>19952</v>
      </c>
      <c r="AD21" s="290">
        <v>56839</v>
      </c>
      <c r="AE21" s="290">
        <v>63617</v>
      </c>
      <c r="AF21" s="290">
        <v>30296</v>
      </c>
      <c r="AG21" s="290">
        <f t="shared" si="6"/>
        <v>321233</v>
      </c>
      <c r="AH21" s="290">
        <f t="shared" si="11"/>
        <v>608224</v>
      </c>
      <c r="AI21" s="290">
        <v>20228</v>
      </c>
      <c r="AJ21" s="290">
        <f t="shared" si="19"/>
        <v>628452</v>
      </c>
      <c r="AK21" s="289">
        <v>5.59</v>
      </c>
      <c r="AL21" s="349" t="s">
        <v>2249</v>
      </c>
    </row>
    <row r="22" spans="1:38" s="185" customFormat="1" ht="9.9499999999999993" customHeight="1">
      <c r="A22" s="848" t="s">
        <v>1420</v>
      </c>
      <c r="B22" s="340">
        <f>B23+B24+B26+B25</f>
        <v>353443</v>
      </c>
      <c r="C22" s="340">
        <f>C23+C24+C25+C26</f>
        <v>52610</v>
      </c>
      <c r="D22" s="340">
        <f t="shared" ref="D22:F22" si="20">D23+D24+D25+D26</f>
        <v>625938</v>
      </c>
      <c r="E22" s="340">
        <f t="shared" si="20"/>
        <v>40817</v>
      </c>
      <c r="F22" s="340">
        <f t="shared" si="20"/>
        <v>250255</v>
      </c>
      <c r="G22" s="340">
        <f>F22+E22+D22+C22</f>
        <v>969620</v>
      </c>
      <c r="H22" s="340">
        <f>H23+H24+H25+H26</f>
        <v>418395</v>
      </c>
      <c r="I22" s="340">
        <f t="shared" ref="I22:M22" si="21">I23+I24+I25+I26</f>
        <v>285465</v>
      </c>
      <c r="J22" s="340">
        <f t="shared" si="21"/>
        <v>93296</v>
      </c>
      <c r="K22" s="340">
        <f t="shared" si="21"/>
        <v>285912</v>
      </c>
      <c r="L22" s="340">
        <f t="shared" si="21"/>
        <v>262777</v>
      </c>
      <c r="M22" s="340">
        <f t="shared" si="21"/>
        <v>154935</v>
      </c>
      <c r="N22" s="340">
        <f t="shared" si="3"/>
        <v>1500780</v>
      </c>
      <c r="O22" s="340">
        <f t="shared" si="9"/>
        <v>2823843</v>
      </c>
      <c r="P22" s="340">
        <f>P23+P24+P25+P26</f>
        <v>127586</v>
      </c>
      <c r="Q22" s="340">
        <f>O22+P22</f>
        <v>2951429</v>
      </c>
      <c r="R22" s="339">
        <v>11.83</v>
      </c>
      <c r="S22" s="356" t="s">
        <v>1420</v>
      </c>
      <c r="T22" s="848" t="s">
        <v>1420</v>
      </c>
      <c r="U22" s="340">
        <f>U23+U24+U26+U25</f>
        <v>308400</v>
      </c>
      <c r="V22" s="340">
        <f>V23+V24+V25+V26</f>
        <v>47271</v>
      </c>
      <c r="W22" s="340">
        <f t="shared" ref="W22:Y22" si="22">W23+W24+W25+W26</f>
        <v>561220</v>
      </c>
      <c r="X22" s="340">
        <f t="shared" si="22"/>
        <v>33198</v>
      </c>
      <c r="Y22" s="340">
        <f t="shared" si="22"/>
        <v>217315</v>
      </c>
      <c r="Z22" s="340">
        <f>Y22+X22+W22+V22</f>
        <v>859004</v>
      </c>
      <c r="AA22" s="340">
        <f>AA23+AA24+AA25+AA26</f>
        <v>369560</v>
      </c>
      <c r="AB22" s="340">
        <f t="shared" ref="AB22:AF22" si="23">AB23+AB24+AB25+AB26</f>
        <v>250458</v>
      </c>
      <c r="AC22" s="340">
        <f t="shared" si="23"/>
        <v>79323</v>
      </c>
      <c r="AD22" s="340">
        <f t="shared" si="23"/>
        <v>235334</v>
      </c>
      <c r="AE22" s="340">
        <f t="shared" si="23"/>
        <v>225135</v>
      </c>
      <c r="AF22" s="340">
        <f t="shared" si="23"/>
        <v>127933</v>
      </c>
      <c r="AG22" s="340">
        <f t="shared" si="6"/>
        <v>1287743</v>
      </c>
      <c r="AH22" s="340">
        <f t="shared" si="11"/>
        <v>2455147</v>
      </c>
      <c r="AI22" s="340">
        <f>AI23+AI24+AI25+AI26</f>
        <v>106589</v>
      </c>
      <c r="AJ22" s="340">
        <f>AH22+AI22</f>
        <v>2561736</v>
      </c>
      <c r="AK22" s="339">
        <v>7.88</v>
      </c>
      <c r="AL22" s="356" t="s">
        <v>1420</v>
      </c>
    </row>
    <row r="23" spans="1:38" s="160" customFormat="1" ht="9.9499999999999993" customHeight="1">
      <c r="A23" s="392" t="s">
        <v>2246</v>
      </c>
      <c r="B23" s="290">
        <v>78956</v>
      </c>
      <c r="C23" s="290">
        <v>11903</v>
      </c>
      <c r="D23" s="290">
        <v>151415</v>
      </c>
      <c r="E23" s="290">
        <v>10871</v>
      </c>
      <c r="F23" s="290">
        <v>55887</v>
      </c>
      <c r="G23" s="290">
        <f t="shared" ref="G23:G26" si="24">F23+E23+D23+C23</f>
        <v>230076</v>
      </c>
      <c r="H23" s="290">
        <v>94753</v>
      </c>
      <c r="I23" s="290">
        <v>67610</v>
      </c>
      <c r="J23" s="290">
        <v>21457</v>
      </c>
      <c r="K23" s="290">
        <v>67655</v>
      </c>
      <c r="L23" s="290">
        <v>61948</v>
      </c>
      <c r="M23" s="290">
        <v>34798</v>
      </c>
      <c r="N23" s="290">
        <f t="shared" si="3"/>
        <v>348221</v>
      </c>
      <c r="O23" s="290">
        <f t="shared" si="9"/>
        <v>657253</v>
      </c>
      <c r="P23" s="290">
        <v>30920</v>
      </c>
      <c r="Q23" s="290">
        <f t="shared" ref="Q23:Q26" si="25">O23+P23</f>
        <v>688173</v>
      </c>
      <c r="R23" s="289">
        <v>13.75</v>
      </c>
      <c r="S23" s="349" t="s">
        <v>2246</v>
      </c>
      <c r="T23" s="392" t="s">
        <v>2246</v>
      </c>
      <c r="U23" s="290">
        <v>70142</v>
      </c>
      <c r="V23" s="290">
        <v>10904</v>
      </c>
      <c r="W23" s="290">
        <v>136939</v>
      </c>
      <c r="X23" s="290">
        <v>9324</v>
      </c>
      <c r="Y23" s="290">
        <v>49519</v>
      </c>
      <c r="Z23" s="290">
        <f t="shared" ref="Z23:Z26" si="26">Y23+X23+W23+V23</f>
        <v>206686</v>
      </c>
      <c r="AA23" s="290">
        <v>85455</v>
      </c>
      <c r="AB23" s="290">
        <v>60711</v>
      </c>
      <c r="AC23" s="290">
        <v>18628</v>
      </c>
      <c r="AD23" s="290">
        <v>57351</v>
      </c>
      <c r="AE23" s="290">
        <v>53949</v>
      </c>
      <c r="AF23" s="290">
        <v>29603</v>
      </c>
      <c r="AG23" s="290">
        <f t="shared" si="6"/>
        <v>305697</v>
      </c>
      <c r="AH23" s="290">
        <f t="shared" si="11"/>
        <v>582525</v>
      </c>
      <c r="AI23" s="290">
        <v>28956</v>
      </c>
      <c r="AJ23" s="290">
        <f t="shared" ref="AJ23:AJ26" si="27">AH23+AI23</f>
        <v>611481</v>
      </c>
      <c r="AK23" s="289">
        <v>9.6999999999999993</v>
      </c>
      <c r="AL23" s="349" t="s">
        <v>2246</v>
      </c>
    </row>
    <row r="24" spans="1:38" s="160" customFormat="1" ht="9.9499999999999993" customHeight="1">
      <c r="A24" s="378" t="s">
        <v>2247</v>
      </c>
      <c r="B24" s="376">
        <v>95307</v>
      </c>
      <c r="C24" s="376">
        <v>13035</v>
      </c>
      <c r="D24" s="376">
        <v>156266</v>
      </c>
      <c r="E24" s="376">
        <v>9033</v>
      </c>
      <c r="F24" s="376">
        <v>60751</v>
      </c>
      <c r="G24" s="376">
        <f t="shared" si="24"/>
        <v>239085</v>
      </c>
      <c r="H24" s="376">
        <v>103782</v>
      </c>
      <c r="I24" s="376">
        <v>70113</v>
      </c>
      <c r="J24" s="376">
        <v>22871</v>
      </c>
      <c r="K24" s="376">
        <v>69759</v>
      </c>
      <c r="L24" s="376">
        <v>61972</v>
      </c>
      <c r="M24" s="376">
        <v>38392</v>
      </c>
      <c r="N24" s="376">
        <f t="shared" si="3"/>
        <v>366889</v>
      </c>
      <c r="O24" s="376">
        <f t="shared" si="9"/>
        <v>701281</v>
      </c>
      <c r="P24" s="376">
        <v>29151</v>
      </c>
      <c r="Q24" s="376">
        <f t="shared" si="25"/>
        <v>730432</v>
      </c>
      <c r="R24" s="250">
        <v>11.1</v>
      </c>
      <c r="S24" s="373" t="s">
        <v>2247</v>
      </c>
      <c r="T24" s="378" t="s">
        <v>2247</v>
      </c>
      <c r="U24" s="376">
        <v>82726</v>
      </c>
      <c r="V24" s="376">
        <v>11973</v>
      </c>
      <c r="W24" s="376">
        <v>141024</v>
      </c>
      <c r="X24" s="376">
        <v>7552</v>
      </c>
      <c r="Y24" s="376">
        <v>53570</v>
      </c>
      <c r="Z24" s="376">
        <f t="shared" si="26"/>
        <v>214119</v>
      </c>
      <c r="AA24" s="376">
        <v>91807</v>
      </c>
      <c r="AB24" s="376">
        <v>61652</v>
      </c>
      <c r="AC24" s="376">
        <v>19473</v>
      </c>
      <c r="AD24" s="376">
        <v>58872</v>
      </c>
      <c r="AE24" s="376">
        <v>53074</v>
      </c>
      <c r="AF24" s="376">
        <v>32160</v>
      </c>
      <c r="AG24" s="376">
        <f t="shared" si="6"/>
        <v>317038</v>
      </c>
      <c r="AH24" s="376">
        <f t="shared" si="11"/>
        <v>613883</v>
      </c>
      <c r="AI24" s="376">
        <v>25210</v>
      </c>
      <c r="AJ24" s="376">
        <f t="shared" si="27"/>
        <v>639093</v>
      </c>
      <c r="AK24" s="250">
        <v>7.65</v>
      </c>
      <c r="AL24" s="373" t="s">
        <v>2247</v>
      </c>
    </row>
    <row r="25" spans="1:38" s="160" customFormat="1" ht="9.9499999999999993" customHeight="1">
      <c r="A25" s="392" t="s">
        <v>2248</v>
      </c>
      <c r="B25" s="290">
        <v>75410</v>
      </c>
      <c r="C25" s="290">
        <v>13529</v>
      </c>
      <c r="D25" s="290">
        <v>158902</v>
      </c>
      <c r="E25" s="290">
        <v>9191</v>
      </c>
      <c r="F25" s="290">
        <v>64794</v>
      </c>
      <c r="G25" s="290">
        <f t="shared" si="24"/>
        <v>246416</v>
      </c>
      <c r="H25" s="290">
        <v>105048</v>
      </c>
      <c r="I25" s="290">
        <v>72892</v>
      </c>
      <c r="J25" s="290">
        <v>23871</v>
      </c>
      <c r="K25" s="290">
        <v>73937</v>
      </c>
      <c r="L25" s="290">
        <v>60545</v>
      </c>
      <c r="M25" s="290">
        <v>40691</v>
      </c>
      <c r="N25" s="290">
        <f t="shared" si="3"/>
        <v>376984</v>
      </c>
      <c r="O25" s="290">
        <f t="shared" si="9"/>
        <v>698810</v>
      </c>
      <c r="P25" s="290">
        <v>33116</v>
      </c>
      <c r="Q25" s="290">
        <f t="shared" si="25"/>
        <v>731926</v>
      </c>
      <c r="R25" s="289">
        <v>9.52</v>
      </c>
      <c r="S25" s="349" t="s">
        <v>2248</v>
      </c>
      <c r="T25" s="392" t="s">
        <v>2248</v>
      </c>
      <c r="U25" s="290">
        <v>65186</v>
      </c>
      <c r="V25" s="290">
        <v>12078</v>
      </c>
      <c r="W25" s="290">
        <v>141595</v>
      </c>
      <c r="X25" s="290">
        <v>7347</v>
      </c>
      <c r="Y25" s="290">
        <v>55764</v>
      </c>
      <c r="Z25" s="290">
        <f t="shared" si="26"/>
        <v>216784</v>
      </c>
      <c r="AA25" s="290">
        <v>91716</v>
      </c>
      <c r="AB25" s="290">
        <v>63614</v>
      </c>
      <c r="AC25" s="290">
        <v>20061</v>
      </c>
      <c r="AD25" s="290">
        <v>59478</v>
      </c>
      <c r="AE25" s="290">
        <v>51347</v>
      </c>
      <c r="AF25" s="290">
        <v>33173</v>
      </c>
      <c r="AG25" s="290">
        <f t="shared" si="6"/>
        <v>319389</v>
      </c>
      <c r="AH25" s="290">
        <f t="shared" si="11"/>
        <v>601359</v>
      </c>
      <c r="AI25" s="290">
        <v>27842</v>
      </c>
      <c r="AJ25" s="290">
        <f t="shared" si="27"/>
        <v>629201</v>
      </c>
      <c r="AK25" s="289">
        <v>5.74</v>
      </c>
      <c r="AL25" s="349" t="s">
        <v>2248</v>
      </c>
    </row>
    <row r="26" spans="1:38" s="160" customFormat="1" ht="9.9499999999999993" customHeight="1">
      <c r="A26" s="378" t="s">
        <v>2249</v>
      </c>
      <c r="B26" s="376">
        <v>103770</v>
      </c>
      <c r="C26" s="376">
        <v>14143</v>
      </c>
      <c r="D26" s="376">
        <v>159355</v>
      </c>
      <c r="E26" s="376">
        <v>11722</v>
      </c>
      <c r="F26" s="376">
        <v>68823</v>
      </c>
      <c r="G26" s="376">
        <f t="shared" si="24"/>
        <v>254043</v>
      </c>
      <c r="H26" s="376">
        <v>114812</v>
      </c>
      <c r="I26" s="376">
        <v>74850</v>
      </c>
      <c r="J26" s="376">
        <v>25097</v>
      </c>
      <c r="K26" s="376">
        <v>74561</v>
      </c>
      <c r="L26" s="376">
        <v>78312</v>
      </c>
      <c r="M26" s="376">
        <v>41054</v>
      </c>
      <c r="N26" s="376">
        <f t="shared" si="3"/>
        <v>408686</v>
      </c>
      <c r="O26" s="376">
        <f t="shared" si="9"/>
        <v>766499</v>
      </c>
      <c r="P26" s="376">
        <v>34399</v>
      </c>
      <c r="Q26" s="376">
        <f t="shared" si="25"/>
        <v>800898</v>
      </c>
      <c r="R26" s="250">
        <v>13.04</v>
      </c>
      <c r="S26" s="373" t="s">
        <v>2249</v>
      </c>
      <c r="T26" s="378" t="s">
        <v>2249</v>
      </c>
      <c r="U26" s="376">
        <v>90346</v>
      </c>
      <c r="V26" s="376">
        <v>12316</v>
      </c>
      <c r="W26" s="376">
        <v>141662</v>
      </c>
      <c r="X26" s="376">
        <v>8975</v>
      </c>
      <c r="Y26" s="376">
        <v>58462</v>
      </c>
      <c r="Z26" s="376">
        <f t="shared" si="26"/>
        <v>221415</v>
      </c>
      <c r="AA26" s="376">
        <v>100582</v>
      </c>
      <c r="AB26" s="376">
        <v>64481</v>
      </c>
      <c r="AC26" s="376">
        <v>21161</v>
      </c>
      <c r="AD26" s="376">
        <v>59633</v>
      </c>
      <c r="AE26" s="376">
        <v>66765</v>
      </c>
      <c r="AF26" s="376">
        <v>32997</v>
      </c>
      <c r="AG26" s="376">
        <f t="shared" si="6"/>
        <v>345619</v>
      </c>
      <c r="AH26" s="376">
        <f t="shared" si="11"/>
        <v>657380</v>
      </c>
      <c r="AI26" s="376">
        <v>24581</v>
      </c>
      <c r="AJ26" s="376">
        <f t="shared" si="27"/>
        <v>681961</v>
      </c>
      <c r="AK26" s="250">
        <v>8.51</v>
      </c>
      <c r="AL26" s="373" t="s">
        <v>2249</v>
      </c>
    </row>
    <row r="27" spans="1:38" s="185" customFormat="1" ht="9.9499999999999993" customHeight="1">
      <c r="A27" s="1661" t="s">
        <v>1502</v>
      </c>
      <c r="B27" s="476">
        <f>B28+B29+B31+B30</f>
        <v>380446</v>
      </c>
      <c r="C27" s="476">
        <f>C28+C29+C30+C31</f>
        <v>55224</v>
      </c>
      <c r="D27" s="476">
        <f t="shared" ref="D27:F27" si="28">D28+D29+D30+D31</f>
        <v>653064</v>
      </c>
      <c r="E27" s="476">
        <f t="shared" si="28"/>
        <v>47283</v>
      </c>
      <c r="F27" s="476">
        <f t="shared" si="28"/>
        <v>287881</v>
      </c>
      <c r="G27" s="476">
        <f>C27+D27+E27+F27</f>
        <v>1043452</v>
      </c>
      <c r="H27" s="476">
        <f>H28+H29+H30+H31</f>
        <v>445757</v>
      </c>
      <c r="I27" s="476">
        <f t="shared" ref="I27:M27" si="29">I28+I29+I30+I31</f>
        <v>303374</v>
      </c>
      <c r="J27" s="476">
        <f t="shared" si="29"/>
        <v>103217</v>
      </c>
      <c r="K27" s="476">
        <f t="shared" si="29"/>
        <v>316662</v>
      </c>
      <c r="L27" s="476">
        <f t="shared" si="29"/>
        <v>294129</v>
      </c>
      <c r="M27" s="476">
        <f t="shared" si="29"/>
        <v>170010</v>
      </c>
      <c r="N27" s="476">
        <f t="shared" si="3"/>
        <v>1633149</v>
      </c>
      <c r="O27" s="476">
        <f t="shared" si="9"/>
        <v>3057047</v>
      </c>
      <c r="P27" s="476">
        <f>P28+P29+P30+P31</f>
        <v>113421</v>
      </c>
      <c r="Q27" s="476">
        <f>O27+P27</f>
        <v>3170468</v>
      </c>
      <c r="R27" s="332">
        <v>7.42</v>
      </c>
      <c r="S27" s="355" t="s">
        <v>1502</v>
      </c>
      <c r="T27" s="1661" t="s">
        <v>1502</v>
      </c>
      <c r="U27" s="476">
        <f>U28+U29+U31+U30</f>
        <v>318951</v>
      </c>
      <c r="V27" s="476">
        <f>V28+V29+V30+V31</f>
        <v>48766</v>
      </c>
      <c r="W27" s="476">
        <f t="shared" ref="W27:Y27" si="30">W28+W29+W30+W31</f>
        <v>570654</v>
      </c>
      <c r="X27" s="476">
        <f t="shared" si="30"/>
        <v>33457</v>
      </c>
      <c r="Y27" s="476">
        <f t="shared" si="30"/>
        <v>237146</v>
      </c>
      <c r="Z27" s="476">
        <f>V27+W27+X27+Y27</f>
        <v>890023</v>
      </c>
      <c r="AA27" s="476">
        <f>AA28+AA29+AA30+AA31</f>
        <v>381438</v>
      </c>
      <c r="AB27" s="476">
        <f t="shared" ref="AB27:AE27" si="31">AB28+AB29+AB30+AB31</f>
        <v>256273</v>
      </c>
      <c r="AC27" s="476">
        <f t="shared" si="31"/>
        <v>83068</v>
      </c>
      <c r="AD27" s="476">
        <f t="shared" si="31"/>
        <v>244442</v>
      </c>
      <c r="AE27" s="476">
        <f t="shared" si="31"/>
        <v>241231</v>
      </c>
      <c r="AF27" s="476">
        <f>AF28+AF29+AF30+AF31</f>
        <v>131937</v>
      </c>
      <c r="AG27" s="476">
        <f t="shared" si="6"/>
        <v>1338389</v>
      </c>
      <c r="AH27" s="476">
        <f t="shared" si="11"/>
        <v>2547363</v>
      </c>
      <c r="AI27" s="476">
        <f>AI28+AI29+AI30+AI31</f>
        <v>102701</v>
      </c>
      <c r="AJ27" s="476">
        <f>AH27+AI27</f>
        <v>2650064</v>
      </c>
      <c r="AK27" s="332">
        <v>3.45</v>
      </c>
      <c r="AL27" s="355" t="s">
        <v>1502</v>
      </c>
    </row>
    <row r="28" spans="1:38" s="160" customFormat="1" ht="9.9499999999999993" customHeight="1">
      <c r="A28" s="378" t="s">
        <v>2246</v>
      </c>
      <c r="B28" s="376">
        <v>84829</v>
      </c>
      <c r="C28" s="376">
        <v>13321</v>
      </c>
      <c r="D28" s="376">
        <v>166873</v>
      </c>
      <c r="E28" s="376">
        <v>13350</v>
      </c>
      <c r="F28" s="376">
        <v>69741</v>
      </c>
      <c r="G28" s="376">
        <f t="shared" ref="G28:G31" si="32">C28+D28+E28+F28</f>
        <v>263285</v>
      </c>
      <c r="H28" s="376">
        <v>105443</v>
      </c>
      <c r="I28" s="376">
        <v>74373</v>
      </c>
      <c r="J28" s="376">
        <v>23534</v>
      </c>
      <c r="K28" s="376">
        <v>75005</v>
      </c>
      <c r="L28" s="376">
        <v>64541</v>
      </c>
      <c r="M28" s="376">
        <v>42106</v>
      </c>
      <c r="N28" s="376">
        <f t="shared" si="3"/>
        <v>385002</v>
      </c>
      <c r="O28" s="376">
        <f t="shared" si="9"/>
        <v>733116</v>
      </c>
      <c r="P28" s="376">
        <v>31342</v>
      </c>
      <c r="Q28" s="376">
        <f t="shared" ref="Q28:Q31" si="33">O28+P28</f>
        <v>764458</v>
      </c>
      <c r="R28" s="250">
        <v>11.08</v>
      </c>
      <c r="S28" s="373" t="s">
        <v>2246</v>
      </c>
      <c r="T28" s="378" t="s">
        <v>2246</v>
      </c>
      <c r="U28" s="376">
        <v>72734</v>
      </c>
      <c r="V28" s="376">
        <v>11792</v>
      </c>
      <c r="W28" s="376">
        <v>146330</v>
      </c>
      <c r="X28" s="376">
        <v>9603</v>
      </c>
      <c r="Y28" s="376">
        <v>58385</v>
      </c>
      <c r="Z28" s="376">
        <f t="shared" ref="Z28:Z31" si="34">V28+W28+X28+Y28</f>
        <v>226110</v>
      </c>
      <c r="AA28" s="376">
        <v>92145</v>
      </c>
      <c r="AB28" s="376">
        <v>63749</v>
      </c>
      <c r="AC28" s="376">
        <v>19351</v>
      </c>
      <c r="AD28" s="376">
        <v>59513</v>
      </c>
      <c r="AE28" s="376">
        <v>53852</v>
      </c>
      <c r="AF28" s="376">
        <v>33381</v>
      </c>
      <c r="AG28" s="376">
        <f t="shared" si="6"/>
        <v>321991</v>
      </c>
      <c r="AH28" s="376">
        <f t="shared" si="11"/>
        <v>620835</v>
      </c>
      <c r="AI28" s="376">
        <v>31369</v>
      </c>
      <c r="AJ28" s="376">
        <f t="shared" ref="AJ28:AJ31" si="35">AH28+AI28</f>
        <v>652204</v>
      </c>
      <c r="AK28" s="250">
        <v>6.66</v>
      </c>
      <c r="AL28" s="373" t="s">
        <v>2246</v>
      </c>
    </row>
    <row r="29" spans="1:38" s="160" customFormat="1" ht="9.9499999999999993" customHeight="1">
      <c r="A29" s="392" t="s">
        <v>2247</v>
      </c>
      <c r="B29" s="290">
        <v>103894</v>
      </c>
      <c r="C29" s="290">
        <v>14657</v>
      </c>
      <c r="D29" s="290">
        <v>170652</v>
      </c>
      <c r="E29" s="290">
        <v>11148</v>
      </c>
      <c r="F29" s="290">
        <v>77349</v>
      </c>
      <c r="G29" s="290">
        <f t="shared" si="32"/>
        <v>273806</v>
      </c>
      <c r="H29" s="290">
        <v>117966</v>
      </c>
      <c r="I29" s="290">
        <v>76179</v>
      </c>
      <c r="J29" s="290">
        <v>25497</v>
      </c>
      <c r="K29" s="290">
        <v>77372</v>
      </c>
      <c r="L29" s="290">
        <v>70575</v>
      </c>
      <c r="M29" s="290">
        <v>45112</v>
      </c>
      <c r="N29" s="290">
        <f t="shared" si="3"/>
        <v>412701</v>
      </c>
      <c r="O29" s="290">
        <f t="shared" si="9"/>
        <v>790401</v>
      </c>
      <c r="P29" s="290">
        <v>28667</v>
      </c>
      <c r="Q29" s="290">
        <f t="shared" si="33"/>
        <v>819068</v>
      </c>
      <c r="R29" s="289">
        <v>12.13</v>
      </c>
      <c r="S29" s="349" t="s">
        <v>2247</v>
      </c>
      <c r="T29" s="392" t="s">
        <v>2247</v>
      </c>
      <c r="U29" s="290">
        <v>86465</v>
      </c>
      <c r="V29" s="290">
        <v>12972</v>
      </c>
      <c r="W29" s="290">
        <v>150188</v>
      </c>
      <c r="X29" s="290">
        <v>7952</v>
      </c>
      <c r="Y29" s="290">
        <v>64117</v>
      </c>
      <c r="Z29" s="290">
        <f t="shared" si="34"/>
        <v>235229</v>
      </c>
      <c r="AA29" s="290">
        <v>100899</v>
      </c>
      <c r="AB29" s="290">
        <v>64519</v>
      </c>
      <c r="AC29" s="290">
        <v>20524</v>
      </c>
      <c r="AD29" s="290">
        <v>61151</v>
      </c>
      <c r="AE29" s="290">
        <v>57928</v>
      </c>
      <c r="AF29" s="290">
        <v>35223</v>
      </c>
      <c r="AG29" s="290">
        <f t="shared" si="6"/>
        <v>340244</v>
      </c>
      <c r="AH29" s="290">
        <f t="shared" si="11"/>
        <v>661938</v>
      </c>
      <c r="AI29" s="290">
        <v>24065</v>
      </c>
      <c r="AJ29" s="290">
        <f t="shared" si="35"/>
        <v>686003</v>
      </c>
      <c r="AK29" s="289">
        <v>7.34</v>
      </c>
      <c r="AL29" s="349" t="s">
        <v>2247</v>
      </c>
    </row>
    <row r="30" spans="1:38" s="160" customFormat="1" ht="9.9499999999999993" customHeight="1">
      <c r="A30" s="378" t="s">
        <v>2248</v>
      </c>
      <c r="B30" s="376">
        <v>80960</v>
      </c>
      <c r="C30" s="376">
        <v>16169</v>
      </c>
      <c r="D30" s="376">
        <v>173955</v>
      </c>
      <c r="E30" s="376">
        <v>11334</v>
      </c>
      <c r="F30" s="376">
        <v>82038</v>
      </c>
      <c r="G30" s="376">
        <f t="shared" si="32"/>
        <v>283496</v>
      </c>
      <c r="H30" s="376">
        <v>118912</v>
      </c>
      <c r="I30" s="376">
        <v>78587</v>
      </c>
      <c r="J30" s="376">
        <v>29566</v>
      </c>
      <c r="K30" s="376">
        <v>81609</v>
      </c>
      <c r="L30" s="376">
        <v>68005</v>
      </c>
      <c r="M30" s="376">
        <v>43330</v>
      </c>
      <c r="N30" s="376">
        <f t="shared" si="3"/>
        <v>420009</v>
      </c>
      <c r="O30" s="376">
        <f t="shared" si="9"/>
        <v>784465</v>
      </c>
      <c r="P30" s="376">
        <v>33667</v>
      </c>
      <c r="Q30" s="376">
        <f t="shared" si="33"/>
        <v>818132</v>
      </c>
      <c r="R30" s="250">
        <v>11.78</v>
      </c>
      <c r="S30" s="373" t="s">
        <v>2248</v>
      </c>
      <c r="T30" s="378" t="s">
        <v>2248</v>
      </c>
      <c r="U30" s="376">
        <v>67541</v>
      </c>
      <c r="V30" s="376">
        <v>14210</v>
      </c>
      <c r="W30" s="376">
        <v>151518</v>
      </c>
      <c r="X30" s="376">
        <v>7847</v>
      </c>
      <c r="Y30" s="376">
        <v>66814</v>
      </c>
      <c r="Z30" s="376">
        <f t="shared" si="34"/>
        <v>240389</v>
      </c>
      <c r="AA30" s="376">
        <v>100658</v>
      </c>
      <c r="AB30" s="376">
        <v>66105</v>
      </c>
      <c r="AC30" s="376">
        <v>23554</v>
      </c>
      <c r="AD30" s="376">
        <v>61489</v>
      </c>
      <c r="AE30" s="376">
        <v>55262</v>
      </c>
      <c r="AF30" s="376">
        <v>33317</v>
      </c>
      <c r="AG30" s="376">
        <f t="shared" si="6"/>
        <v>340385</v>
      </c>
      <c r="AH30" s="376">
        <f t="shared" si="11"/>
        <v>648315</v>
      </c>
      <c r="AI30" s="376">
        <v>29282</v>
      </c>
      <c r="AJ30" s="376">
        <f t="shared" si="35"/>
        <v>677597</v>
      </c>
      <c r="AK30" s="250">
        <v>7.69</v>
      </c>
      <c r="AL30" s="373" t="s">
        <v>2248</v>
      </c>
    </row>
    <row r="31" spans="1:38" s="160" customFormat="1" ht="9.9499999999999993" customHeight="1">
      <c r="A31" s="392" t="s">
        <v>2249</v>
      </c>
      <c r="B31" s="290">
        <v>110763</v>
      </c>
      <c r="C31" s="290">
        <v>11077</v>
      </c>
      <c r="D31" s="290">
        <v>141584</v>
      </c>
      <c r="E31" s="290">
        <v>11451</v>
      </c>
      <c r="F31" s="290">
        <v>58753</v>
      </c>
      <c r="G31" s="290">
        <f t="shared" si="32"/>
        <v>222865</v>
      </c>
      <c r="H31" s="290">
        <v>103436</v>
      </c>
      <c r="I31" s="290">
        <v>74235</v>
      </c>
      <c r="J31" s="290">
        <v>24620</v>
      </c>
      <c r="K31" s="290">
        <v>82676</v>
      </c>
      <c r="L31" s="290">
        <v>91008</v>
      </c>
      <c r="M31" s="290">
        <v>39462</v>
      </c>
      <c r="N31" s="290">
        <f t="shared" si="3"/>
        <v>415437</v>
      </c>
      <c r="O31" s="290">
        <f t="shared" si="9"/>
        <v>749065</v>
      </c>
      <c r="P31" s="290">
        <v>19745</v>
      </c>
      <c r="Q31" s="290">
        <f t="shared" si="33"/>
        <v>768810</v>
      </c>
      <c r="R31" s="289">
        <v>-4.01</v>
      </c>
      <c r="S31" s="349" t="s">
        <v>2249</v>
      </c>
      <c r="T31" s="392" t="s">
        <v>2249</v>
      </c>
      <c r="U31" s="290">
        <v>92211</v>
      </c>
      <c r="V31" s="290">
        <v>9792</v>
      </c>
      <c r="W31" s="290">
        <v>122618</v>
      </c>
      <c r="X31" s="290">
        <v>8055</v>
      </c>
      <c r="Y31" s="290">
        <v>47830</v>
      </c>
      <c r="Z31" s="290">
        <f t="shared" si="34"/>
        <v>188295</v>
      </c>
      <c r="AA31" s="290">
        <v>87736</v>
      </c>
      <c r="AB31" s="290">
        <v>61900</v>
      </c>
      <c r="AC31" s="290">
        <v>19639</v>
      </c>
      <c r="AD31" s="290">
        <v>62289</v>
      </c>
      <c r="AE31" s="290">
        <v>74189</v>
      </c>
      <c r="AF31" s="290">
        <v>30016</v>
      </c>
      <c r="AG31" s="290">
        <f t="shared" si="6"/>
        <v>335769</v>
      </c>
      <c r="AH31" s="290">
        <f t="shared" si="11"/>
        <v>616275</v>
      </c>
      <c r="AI31" s="290">
        <v>17985</v>
      </c>
      <c r="AJ31" s="290">
        <f t="shared" si="35"/>
        <v>634260</v>
      </c>
      <c r="AK31" s="289">
        <v>-6.99</v>
      </c>
      <c r="AL31" s="349" t="s">
        <v>2249</v>
      </c>
    </row>
    <row r="32" spans="1:38" s="185" customFormat="1" ht="9.9499999999999993" customHeight="1">
      <c r="A32" s="848" t="s">
        <v>1555</v>
      </c>
      <c r="B32" s="340">
        <f>B33+B34+B35+B36</f>
        <v>410660</v>
      </c>
      <c r="C32" s="340">
        <f>C33+C34+C35+C36</f>
        <v>59102</v>
      </c>
      <c r="D32" s="340">
        <f t="shared" ref="D32:F32" si="36">D33+D34+D35+D36</f>
        <v>749658</v>
      </c>
      <c r="E32" s="340">
        <f t="shared" si="36"/>
        <v>47869</v>
      </c>
      <c r="F32" s="340">
        <f t="shared" si="36"/>
        <v>319488</v>
      </c>
      <c r="G32" s="340">
        <f>C32+D32+E32+F32</f>
        <v>1176117</v>
      </c>
      <c r="H32" s="340">
        <f>H33+H34+H35+H36</f>
        <v>497652</v>
      </c>
      <c r="I32" s="340">
        <f t="shared" ref="I32:M32" si="37">I33+I34+I35+I36</f>
        <v>334521</v>
      </c>
      <c r="J32" s="340">
        <f t="shared" si="37"/>
        <v>115271</v>
      </c>
      <c r="K32" s="340">
        <f t="shared" si="37"/>
        <v>346440</v>
      </c>
      <c r="L32" s="340">
        <f t="shared" si="37"/>
        <v>331140</v>
      </c>
      <c r="M32" s="340">
        <f t="shared" si="37"/>
        <v>186017</v>
      </c>
      <c r="N32" s="340">
        <f t="shared" si="3"/>
        <v>1811041</v>
      </c>
      <c r="O32" s="340">
        <f t="shared" si="9"/>
        <v>3397818</v>
      </c>
      <c r="P32" s="340">
        <f>P33+P34+P35+P36</f>
        <v>132366</v>
      </c>
      <c r="Q32" s="340">
        <f>O32+P32</f>
        <v>3530184</v>
      </c>
      <c r="R32" s="339">
        <v>11.35</v>
      </c>
      <c r="S32" s="356" t="s">
        <v>1555</v>
      </c>
      <c r="T32" s="848" t="s">
        <v>1555</v>
      </c>
      <c r="U32" s="340">
        <f>U33+U34+U35+U36</f>
        <v>329076</v>
      </c>
      <c r="V32" s="340">
        <f>V33+V34+V35+V36</f>
        <v>51931</v>
      </c>
      <c r="W32" s="340">
        <f t="shared" ref="W32:Y32" si="38">W33+W34+W35+W36</f>
        <v>636765</v>
      </c>
      <c r="X32" s="340">
        <f t="shared" si="38"/>
        <v>36580</v>
      </c>
      <c r="Y32" s="340">
        <f t="shared" si="38"/>
        <v>256305</v>
      </c>
      <c r="Z32" s="340">
        <f>V32+W32+X32+Y32</f>
        <v>981581</v>
      </c>
      <c r="AA32" s="340">
        <f>AA33+AA34+AA35+AA36</f>
        <v>410589</v>
      </c>
      <c r="AB32" s="340">
        <f t="shared" ref="AB32:AF32" si="39">AB33+AB34+AB35+AB36</f>
        <v>267774</v>
      </c>
      <c r="AC32" s="340">
        <f t="shared" si="39"/>
        <v>87902</v>
      </c>
      <c r="AD32" s="340">
        <f t="shared" si="39"/>
        <v>253360</v>
      </c>
      <c r="AE32" s="340">
        <f t="shared" si="39"/>
        <v>259377</v>
      </c>
      <c r="AF32" s="340">
        <f t="shared" si="39"/>
        <v>136105</v>
      </c>
      <c r="AG32" s="340">
        <f t="shared" si="6"/>
        <v>1415107</v>
      </c>
      <c r="AH32" s="340">
        <f t="shared" si="11"/>
        <v>2725764</v>
      </c>
      <c r="AI32" s="340">
        <f>AI33+AI34+AI35+AI36</f>
        <v>108180</v>
      </c>
      <c r="AJ32" s="340">
        <f>AH32+AI32</f>
        <v>2833944</v>
      </c>
      <c r="AK32" s="339">
        <v>6.94</v>
      </c>
      <c r="AL32" s="356" t="s">
        <v>1555</v>
      </c>
    </row>
    <row r="33" spans="1:38" s="160" customFormat="1" ht="9.9499999999999993" customHeight="1">
      <c r="A33" s="392" t="s">
        <v>2246</v>
      </c>
      <c r="B33" s="290">
        <v>91739</v>
      </c>
      <c r="C33" s="290">
        <v>13223</v>
      </c>
      <c r="D33" s="290">
        <v>171868</v>
      </c>
      <c r="E33" s="290">
        <v>13299</v>
      </c>
      <c r="F33" s="290">
        <v>70327</v>
      </c>
      <c r="G33" s="290">
        <f t="shared" ref="G33:G41" si="40">C33+D33+E33+F33</f>
        <v>268717</v>
      </c>
      <c r="H33" s="290">
        <v>106623</v>
      </c>
      <c r="I33" s="290">
        <v>75479</v>
      </c>
      <c r="J33" s="290">
        <v>24775</v>
      </c>
      <c r="K33" s="290">
        <v>83451</v>
      </c>
      <c r="L33" s="290">
        <v>75704</v>
      </c>
      <c r="M33" s="290">
        <v>39052</v>
      </c>
      <c r="N33" s="290">
        <f t="shared" si="3"/>
        <v>405084</v>
      </c>
      <c r="O33" s="290">
        <f t="shared" si="9"/>
        <v>765540</v>
      </c>
      <c r="P33" s="290">
        <v>31365</v>
      </c>
      <c r="Q33" s="290">
        <f t="shared" ref="Q33:Q41" si="41">O33+P33</f>
        <v>796905</v>
      </c>
      <c r="R33" s="289">
        <v>4.24</v>
      </c>
      <c r="S33" s="349" t="s">
        <v>2246</v>
      </c>
      <c r="T33" s="392" t="s">
        <v>2246</v>
      </c>
      <c r="U33" s="290">
        <v>75193</v>
      </c>
      <c r="V33" s="290">
        <v>11489</v>
      </c>
      <c r="W33" s="290">
        <v>149164</v>
      </c>
      <c r="X33" s="290">
        <v>9836</v>
      </c>
      <c r="Y33" s="290">
        <v>57506</v>
      </c>
      <c r="Z33" s="290">
        <f t="shared" ref="Z33:Z36" si="42">V33+W33+X33+Y33</f>
        <v>227995</v>
      </c>
      <c r="AA33" s="290">
        <v>89796</v>
      </c>
      <c r="AB33" s="290">
        <v>62881</v>
      </c>
      <c r="AC33" s="290">
        <v>19299</v>
      </c>
      <c r="AD33" s="290">
        <v>62301</v>
      </c>
      <c r="AE33" s="290">
        <v>60451</v>
      </c>
      <c r="AF33" s="290">
        <v>29382</v>
      </c>
      <c r="AG33" s="290">
        <f t="shared" si="6"/>
        <v>324110</v>
      </c>
      <c r="AH33" s="290">
        <f t="shared" si="11"/>
        <v>627298</v>
      </c>
      <c r="AI33" s="290">
        <v>30099</v>
      </c>
      <c r="AJ33" s="290">
        <f t="shared" ref="AJ33:AJ36" si="43">AH33+AI33</f>
        <v>657397</v>
      </c>
      <c r="AK33" s="289">
        <v>0.8</v>
      </c>
      <c r="AL33" s="349" t="s">
        <v>2246</v>
      </c>
    </row>
    <row r="34" spans="1:38" s="160" customFormat="1" ht="9.9499999999999993" customHeight="1">
      <c r="A34" s="378" t="s">
        <v>2247</v>
      </c>
      <c r="B34" s="376">
        <v>112643</v>
      </c>
      <c r="C34" s="376">
        <v>14861</v>
      </c>
      <c r="D34" s="376">
        <v>181426</v>
      </c>
      <c r="E34" s="376">
        <v>11064</v>
      </c>
      <c r="F34" s="376">
        <v>76779</v>
      </c>
      <c r="G34" s="376">
        <f t="shared" si="40"/>
        <v>284130</v>
      </c>
      <c r="H34" s="376">
        <v>114039</v>
      </c>
      <c r="I34" s="376">
        <v>80880</v>
      </c>
      <c r="J34" s="376">
        <v>27590</v>
      </c>
      <c r="K34" s="376">
        <v>87506</v>
      </c>
      <c r="L34" s="376">
        <v>74344</v>
      </c>
      <c r="M34" s="376">
        <v>40430</v>
      </c>
      <c r="N34" s="376">
        <f t="shared" si="3"/>
        <v>424789</v>
      </c>
      <c r="O34" s="376">
        <f t="shared" si="9"/>
        <v>821562</v>
      </c>
      <c r="P34" s="376">
        <v>35724</v>
      </c>
      <c r="Q34" s="376">
        <f t="shared" si="41"/>
        <v>857286</v>
      </c>
      <c r="R34" s="250">
        <v>4.67</v>
      </c>
      <c r="S34" s="373" t="s">
        <v>2247</v>
      </c>
      <c r="T34" s="378" t="s">
        <v>2247</v>
      </c>
      <c r="U34" s="376">
        <v>89412</v>
      </c>
      <c r="V34" s="376">
        <v>12867</v>
      </c>
      <c r="W34" s="376">
        <v>156048</v>
      </c>
      <c r="X34" s="376">
        <v>8512</v>
      </c>
      <c r="Y34" s="376">
        <v>62609</v>
      </c>
      <c r="Z34" s="376">
        <f t="shared" si="42"/>
        <v>240036</v>
      </c>
      <c r="AA34" s="376">
        <v>93973</v>
      </c>
      <c r="AB34" s="376">
        <v>66101</v>
      </c>
      <c r="AC34" s="376">
        <v>21034</v>
      </c>
      <c r="AD34" s="376">
        <v>65160</v>
      </c>
      <c r="AE34" s="376">
        <v>58041</v>
      </c>
      <c r="AF34" s="376">
        <v>30034</v>
      </c>
      <c r="AG34" s="376">
        <f t="shared" si="6"/>
        <v>334343</v>
      </c>
      <c r="AH34" s="376">
        <f t="shared" si="11"/>
        <v>663791</v>
      </c>
      <c r="AI34" s="376">
        <v>28572</v>
      </c>
      <c r="AJ34" s="376">
        <f t="shared" si="43"/>
        <v>692363</v>
      </c>
      <c r="AK34" s="250">
        <v>0.93</v>
      </c>
      <c r="AL34" s="373" t="s">
        <v>2247</v>
      </c>
    </row>
    <row r="35" spans="1:38" s="160" customFormat="1" ht="9.9499999999999993" customHeight="1">
      <c r="A35" s="392" t="s">
        <v>2248</v>
      </c>
      <c r="B35" s="290">
        <v>87880</v>
      </c>
      <c r="C35" s="290">
        <v>17113</v>
      </c>
      <c r="D35" s="290">
        <v>193812</v>
      </c>
      <c r="E35" s="290">
        <v>10708</v>
      </c>
      <c r="F35" s="290">
        <v>87468</v>
      </c>
      <c r="G35" s="290">
        <f t="shared" si="40"/>
        <v>309101</v>
      </c>
      <c r="H35" s="290">
        <v>130685</v>
      </c>
      <c r="I35" s="290">
        <v>88611</v>
      </c>
      <c r="J35" s="290">
        <v>30156</v>
      </c>
      <c r="K35" s="290">
        <v>86991</v>
      </c>
      <c r="L35" s="290">
        <v>80028</v>
      </c>
      <c r="M35" s="290">
        <v>54389</v>
      </c>
      <c r="N35" s="290">
        <f t="shared" si="3"/>
        <v>470860</v>
      </c>
      <c r="O35" s="290">
        <f t="shared" si="9"/>
        <v>867841</v>
      </c>
      <c r="P35" s="290">
        <v>38892</v>
      </c>
      <c r="Q35" s="290">
        <f t="shared" si="41"/>
        <v>906733</v>
      </c>
      <c r="R35" s="289">
        <v>10.83</v>
      </c>
      <c r="S35" s="349" t="s">
        <v>2248</v>
      </c>
      <c r="T35" s="392" t="s">
        <v>2248</v>
      </c>
      <c r="U35" s="290">
        <v>70234</v>
      </c>
      <c r="V35" s="290">
        <v>15082</v>
      </c>
      <c r="W35" s="290">
        <v>164498</v>
      </c>
      <c r="X35" s="290">
        <v>8314</v>
      </c>
      <c r="Y35" s="290">
        <v>69752</v>
      </c>
      <c r="Z35" s="290">
        <f t="shared" si="42"/>
        <v>257646</v>
      </c>
      <c r="AA35" s="290">
        <v>107063</v>
      </c>
      <c r="AB35" s="290">
        <v>70600</v>
      </c>
      <c r="AC35" s="290">
        <v>22837</v>
      </c>
      <c r="AD35" s="290">
        <v>62379</v>
      </c>
      <c r="AE35" s="290">
        <v>62295</v>
      </c>
      <c r="AF35" s="290">
        <v>39423</v>
      </c>
      <c r="AG35" s="290">
        <f t="shared" si="6"/>
        <v>364597</v>
      </c>
      <c r="AH35" s="290">
        <f t="shared" si="11"/>
        <v>692477</v>
      </c>
      <c r="AI35" s="290">
        <v>30052</v>
      </c>
      <c r="AJ35" s="290">
        <f t="shared" si="43"/>
        <v>722529</v>
      </c>
      <c r="AK35" s="289">
        <v>6.63</v>
      </c>
      <c r="AL35" s="349" t="s">
        <v>2248</v>
      </c>
    </row>
    <row r="36" spans="1:38" s="160" customFormat="1" ht="9.9499999999999993" customHeight="1">
      <c r="A36" s="378" t="s">
        <v>2249</v>
      </c>
      <c r="B36" s="376">
        <v>118398</v>
      </c>
      <c r="C36" s="376">
        <v>13905</v>
      </c>
      <c r="D36" s="376">
        <v>202552</v>
      </c>
      <c r="E36" s="376">
        <v>12798</v>
      </c>
      <c r="F36" s="376">
        <v>84914</v>
      </c>
      <c r="G36" s="376">
        <f t="shared" si="40"/>
        <v>314169</v>
      </c>
      <c r="H36" s="376">
        <v>146305</v>
      </c>
      <c r="I36" s="376">
        <v>89551</v>
      </c>
      <c r="J36" s="376">
        <v>32750</v>
      </c>
      <c r="K36" s="376">
        <v>88492</v>
      </c>
      <c r="L36" s="376">
        <v>101064</v>
      </c>
      <c r="M36" s="376">
        <v>52146</v>
      </c>
      <c r="N36" s="376">
        <f t="shared" si="3"/>
        <v>510308</v>
      </c>
      <c r="O36" s="376">
        <f t="shared" si="9"/>
        <v>942875</v>
      </c>
      <c r="P36" s="376">
        <v>26385</v>
      </c>
      <c r="Q36" s="376">
        <f t="shared" si="41"/>
        <v>969260</v>
      </c>
      <c r="R36" s="250">
        <v>26.07</v>
      </c>
      <c r="S36" s="373" t="s">
        <v>2249</v>
      </c>
      <c r="T36" s="378" t="s">
        <v>2249</v>
      </c>
      <c r="U36" s="376">
        <v>94237</v>
      </c>
      <c r="V36" s="376">
        <v>12493</v>
      </c>
      <c r="W36" s="376">
        <v>167055</v>
      </c>
      <c r="X36" s="376">
        <v>9918</v>
      </c>
      <c r="Y36" s="376">
        <v>66438</v>
      </c>
      <c r="Z36" s="376">
        <f t="shared" si="42"/>
        <v>255904</v>
      </c>
      <c r="AA36" s="376">
        <v>119757</v>
      </c>
      <c r="AB36" s="376">
        <v>68192</v>
      </c>
      <c r="AC36" s="376">
        <v>24732</v>
      </c>
      <c r="AD36" s="376">
        <v>63520</v>
      </c>
      <c r="AE36" s="376">
        <v>78590</v>
      </c>
      <c r="AF36" s="376">
        <v>37266</v>
      </c>
      <c r="AG36" s="376">
        <f t="shared" si="6"/>
        <v>392057</v>
      </c>
      <c r="AH36" s="376">
        <f t="shared" si="11"/>
        <v>742198</v>
      </c>
      <c r="AI36" s="376">
        <v>19457</v>
      </c>
      <c r="AJ36" s="376">
        <f t="shared" si="43"/>
        <v>761655</v>
      </c>
      <c r="AK36" s="250">
        <v>20.09</v>
      </c>
      <c r="AL36" s="373" t="s">
        <v>2249</v>
      </c>
    </row>
    <row r="37" spans="1:38" s="185" customFormat="1" ht="9.9499999999999993" customHeight="1">
      <c r="A37" s="1661" t="s">
        <v>1836</v>
      </c>
      <c r="B37" s="476">
        <f>B38+B39+B40+B41</f>
        <v>445531</v>
      </c>
      <c r="C37" s="476">
        <f>C38+C39+C40+C41</f>
        <v>58915</v>
      </c>
      <c r="D37" s="476">
        <f t="shared" ref="D37:F37" si="44">D38+D39+D40+D41</f>
        <v>864437</v>
      </c>
      <c r="E37" s="476">
        <f t="shared" si="44"/>
        <v>54224</v>
      </c>
      <c r="F37" s="476">
        <f t="shared" si="44"/>
        <v>369634</v>
      </c>
      <c r="G37" s="476">
        <f>C37+D37+E37+F37</f>
        <v>1347210</v>
      </c>
      <c r="H37" s="476">
        <f>H38+H39+H40+H41</f>
        <v>567096</v>
      </c>
      <c r="I37" s="476">
        <f t="shared" ref="I37:M37" si="45">I38+I39+I40+I41</f>
        <v>371145</v>
      </c>
      <c r="J37" s="476">
        <f t="shared" si="45"/>
        <v>129539</v>
      </c>
      <c r="K37" s="476">
        <f t="shared" si="45"/>
        <v>378260</v>
      </c>
      <c r="L37" s="476">
        <f t="shared" si="45"/>
        <v>375087</v>
      </c>
      <c r="M37" s="476">
        <f t="shared" si="45"/>
        <v>205961</v>
      </c>
      <c r="N37" s="476">
        <f t="shared" si="3"/>
        <v>2027088</v>
      </c>
      <c r="O37" s="476">
        <f t="shared" si="9"/>
        <v>3819829</v>
      </c>
      <c r="P37" s="476">
        <f>P38+P39+P40+P41</f>
        <v>151888</v>
      </c>
      <c r="Q37" s="476">
        <f>O37+P37</f>
        <v>3971717</v>
      </c>
      <c r="R37" s="332">
        <v>12.51</v>
      </c>
      <c r="S37" s="355" t="s">
        <v>1836</v>
      </c>
      <c r="T37" s="1661" t="s">
        <v>1836</v>
      </c>
      <c r="U37" s="476">
        <f>U38+U39+U40+U41</f>
        <v>339125</v>
      </c>
      <c r="V37" s="476">
        <f>V38+V39+V40+V41</f>
        <v>51353</v>
      </c>
      <c r="W37" s="476">
        <f t="shared" ref="W37:Y37" si="46">W38+W39+W40+W41</f>
        <v>709425</v>
      </c>
      <c r="X37" s="476">
        <f t="shared" si="46"/>
        <v>38917</v>
      </c>
      <c r="Y37" s="476">
        <f t="shared" si="46"/>
        <v>278627</v>
      </c>
      <c r="Z37" s="476">
        <f>V37+W37+X37+Y37</f>
        <v>1078322</v>
      </c>
      <c r="AA37" s="476">
        <f>AA38+AA39+AA40+AA41</f>
        <v>445318</v>
      </c>
      <c r="AB37" s="476">
        <f t="shared" ref="AB37:AF37" si="47">AB38+AB39+AB40+AB41</f>
        <v>282718</v>
      </c>
      <c r="AC37" s="476">
        <f t="shared" si="47"/>
        <v>93061</v>
      </c>
      <c r="AD37" s="476">
        <f t="shared" si="47"/>
        <v>263229</v>
      </c>
      <c r="AE37" s="476">
        <f t="shared" si="47"/>
        <v>278766</v>
      </c>
      <c r="AF37" s="476">
        <f t="shared" si="47"/>
        <v>140554</v>
      </c>
      <c r="AG37" s="476">
        <f t="shared" si="6"/>
        <v>1503646</v>
      </c>
      <c r="AH37" s="476">
        <f t="shared" si="11"/>
        <v>2921093</v>
      </c>
      <c r="AI37" s="476">
        <f>AI38+AI39+AI40+AI41</f>
        <v>114057</v>
      </c>
      <c r="AJ37" s="476">
        <f>AH37+AI37</f>
        <v>3035150</v>
      </c>
      <c r="AK37" s="332">
        <v>7.1</v>
      </c>
      <c r="AL37" s="355" t="s">
        <v>1836</v>
      </c>
    </row>
    <row r="38" spans="1:38" s="160" customFormat="1" ht="9.9499999999999993" customHeight="1">
      <c r="A38" s="378" t="s">
        <v>2246</v>
      </c>
      <c r="B38" s="376">
        <v>99598</v>
      </c>
      <c r="C38" s="376">
        <v>12759</v>
      </c>
      <c r="D38" s="376">
        <v>193283</v>
      </c>
      <c r="E38" s="376">
        <v>14051</v>
      </c>
      <c r="F38" s="376">
        <v>81242</v>
      </c>
      <c r="G38" s="376">
        <f t="shared" si="40"/>
        <v>301335</v>
      </c>
      <c r="H38" s="376">
        <v>120844</v>
      </c>
      <c r="I38" s="376">
        <v>85146</v>
      </c>
      <c r="J38" s="376">
        <v>30521</v>
      </c>
      <c r="K38" s="376">
        <v>87666</v>
      </c>
      <c r="L38" s="376">
        <v>81847</v>
      </c>
      <c r="M38" s="376">
        <v>44476</v>
      </c>
      <c r="N38" s="376">
        <f t="shared" si="3"/>
        <v>450500</v>
      </c>
      <c r="O38" s="376">
        <f t="shared" si="9"/>
        <v>851433</v>
      </c>
      <c r="P38" s="376">
        <v>35431</v>
      </c>
      <c r="Q38" s="376">
        <f t="shared" si="41"/>
        <v>886864</v>
      </c>
      <c r="R38" s="250">
        <v>10.24</v>
      </c>
      <c r="S38" s="373" t="s">
        <v>2246</v>
      </c>
      <c r="T38" s="378" t="s">
        <v>2246</v>
      </c>
      <c r="U38" s="376">
        <v>78137</v>
      </c>
      <c r="V38" s="376">
        <v>11087</v>
      </c>
      <c r="W38" s="376">
        <v>161113</v>
      </c>
      <c r="X38" s="376">
        <v>10444</v>
      </c>
      <c r="Y38" s="376">
        <v>62086</v>
      </c>
      <c r="Z38" s="376">
        <f t="shared" ref="Z38:Z41" si="48">V38+W38+X38+Y38</f>
        <v>244730</v>
      </c>
      <c r="AA38" s="376">
        <v>97761</v>
      </c>
      <c r="AB38" s="376">
        <v>67347</v>
      </c>
      <c r="AC38" s="376">
        <v>22507</v>
      </c>
      <c r="AD38" s="376">
        <v>62803</v>
      </c>
      <c r="AE38" s="376">
        <v>62262</v>
      </c>
      <c r="AF38" s="376">
        <v>31168</v>
      </c>
      <c r="AG38" s="376">
        <f t="shared" si="6"/>
        <v>343848</v>
      </c>
      <c r="AH38" s="376">
        <f t="shared" si="11"/>
        <v>666715</v>
      </c>
      <c r="AI38" s="376">
        <v>30330</v>
      </c>
      <c r="AJ38" s="376">
        <f t="shared" ref="AJ38:AJ41" si="49">AH38+AI38</f>
        <v>697045</v>
      </c>
      <c r="AK38" s="250">
        <v>5.08</v>
      </c>
      <c r="AL38" s="373" t="s">
        <v>2246</v>
      </c>
    </row>
    <row r="39" spans="1:38" s="160" customFormat="1" ht="9.9499999999999993" customHeight="1">
      <c r="A39" s="392" t="s">
        <v>2247</v>
      </c>
      <c r="B39" s="290">
        <v>120789</v>
      </c>
      <c r="C39" s="290">
        <v>14334</v>
      </c>
      <c r="D39" s="290">
        <v>219598</v>
      </c>
      <c r="E39" s="290">
        <v>12310</v>
      </c>
      <c r="F39" s="290">
        <v>95952</v>
      </c>
      <c r="G39" s="290">
        <f t="shared" si="40"/>
        <v>342194</v>
      </c>
      <c r="H39" s="290">
        <v>139703</v>
      </c>
      <c r="I39" s="290">
        <v>91023</v>
      </c>
      <c r="J39" s="290">
        <v>32102</v>
      </c>
      <c r="K39" s="290">
        <v>91660</v>
      </c>
      <c r="L39" s="290">
        <v>79468</v>
      </c>
      <c r="M39" s="290">
        <v>51761</v>
      </c>
      <c r="N39" s="290">
        <f t="shared" si="3"/>
        <v>485717</v>
      </c>
      <c r="O39" s="290">
        <f t="shared" si="9"/>
        <v>948700</v>
      </c>
      <c r="P39" s="290">
        <v>40934</v>
      </c>
      <c r="Q39" s="290">
        <f t="shared" si="41"/>
        <v>989634</v>
      </c>
      <c r="R39" s="289">
        <v>14.73</v>
      </c>
      <c r="S39" s="349" t="s">
        <v>2247</v>
      </c>
      <c r="T39" s="392" t="s">
        <v>2247</v>
      </c>
      <c r="U39" s="290">
        <v>91382</v>
      </c>
      <c r="V39" s="290">
        <v>12522</v>
      </c>
      <c r="W39" s="290">
        <v>181070</v>
      </c>
      <c r="X39" s="290">
        <v>8865</v>
      </c>
      <c r="Y39" s="290">
        <v>72388</v>
      </c>
      <c r="Z39" s="290">
        <f t="shared" si="48"/>
        <v>274845</v>
      </c>
      <c r="AA39" s="290">
        <v>110044</v>
      </c>
      <c r="AB39" s="290">
        <v>70012</v>
      </c>
      <c r="AC39" s="290">
        <v>23077</v>
      </c>
      <c r="AD39" s="290">
        <v>65167</v>
      </c>
      <c r="AE39" s="290">
        <v>58773</v>
      </c>
      <c r="AF39" s="290">
        <v>35684</v>
      </c>
      <c r="AG39" s="290">
        <f t="shared" si="6"/>
        <v>362757</v>
      </c>
      <c r="AH39" s="290">
        <f t="shared" si="11"/>
        <v>728984</v>
      </c>
      <c r="AI39" s="290">
        <v>32144</v>
      </c>
      <c r="AJ39" s="290">
        <f t="shared" si="49"/>
        <v>761128</v>
      </c>
      <c r="AK39" s="289">
        <v>9.3000000000000007</v>
      </c>
      <c r="AL39" s="349" t="s">
        <v>2247</v>
      </c>
    </row>
    <row r="40" spans="1:38" s="160" customFormat="1" ht="9.9499999999999993" customHeight="1">
      <c r="A40" s="378" t="s">
        <v>2248</v>
      </c>
      <c r="B40" s="376">
        <v>95263</v>
      </c>
      <c r="C40" s="376">
        <v>17659</v>
      </c>
      <c r="D40" s="376">
        <v>235751</v>
      </c>
      <c r="E40" s="376">
        <v>12332</v>
      </c>
      <c r="F40" s="376">
        <v>108046</v>
      </c>
      <c r="G40" s="376">
        <f t="shared" si="40"/>
        <v>373788</v>
      </c>
      <c r="H40" s="376">
        <v>150972</v>
      </c>
      <c r="I40" s="376">
        <v>95645</v>
      </c>
      <c r="J40" s="376">
        <v>32766</v>
      </c>
      <c r="K40" s="376">
        <v>97143</v>
      </c>
      <c r="L40" s="376">
        <v>99539</v>
      </c>
      <c r="M40" s="376">
        <v>56257</v>
      </c>
      <c r="N40" s="376">
        <f t="shared" si="3"/>
        <v>532322</v>
      </c>
      <c r="O40" s="376">
        <f t="shared" si="9"/>
        <v>1001373</v>
      </c>
      <c r="P40" s="376">
        <v>40769</v>
      </c>
      <c r="Q40" s="376">
        <f t="shared" si="41"/>
        <v>1042142</v>
      </c>
      <c r="R40" s="250">
        <v>15.56</v>
      </c>
      <c r="S40" s="373" t="s">
        <v>2248</v>
      </c>
      <c r="T40" s="378" t="s">
        <v>2248</v>
      </c>
      <c r="U40" s="376">
        <v>72309</v>
      </c>
      <c r="V40" s="376">
        <v>15428</v>
      </c>
      <c r="W40" s="376">
        <v>194337</v>
      </c>
      <c r="X40" s="376">
        <v>8731</v>
      </c>
      <c r="Y40" s="376">
        <v>80377</v>
      </c>
      <c r="Z40" s="376">
        <f t="shared" si="48"/>
        <v>298873</v>
      </c>
      <c r="AA40" s="376">
        <v>117864</v>
      </c>
      <c r="AB40" s="376">
        <v>72080</v>
      </c>
      <c r="AC40" s="376">
        <v>23375</v>
      </c>
      <c r="AD40" s="376">
        <v>66260</v>
      </c>
      <c r="AE40" s="376">
        <v>74066</v>
      </c>
      <c r="AF40" s="376">
        <v>38080</v>
      </c>
      <c r="AG40" s="376">
        <f t="shared" si="6"/>
        <v>391725</v>
      </c>
      <c r="AH40" s="376">
        <f t="shared" si="11"/>
        <v>762907</v>
      </c>
      <c r="AI40" s="376">
        <v>32175</v>
      </c>
      <c r="AJ40" s="376">
        <f t="shared" si="49"/>
        <v>795082</v>
      </c>
      <c r="AK40" s="250">
        <v>10.62</v>
      </c>
      <c r="AL40" s="373" t="s">
        <v>2248</v>
      </c>
    </row>
    <row r="41" spans="1:38" s="160" customFormat="1" ht="9.9499999999999993" customHeight="1">
      <c r="A41" s="392" t="s">
        <v>2249</v>
      </c>
      <c r="B41" s="290">
        <v>129881</v>
      </c>
      <c r="C41" s="290">
        <v>14163</v>
      </c>
      <c r="D41" s="290">
        <v>215805</v>
      </c>
      <c r="E41" s="290">
        <v>15531</v>
      </c>
      <c r="F41" s="290">
        <v>84394</v>
      </c>
      <c r="G41" s="290">
        <f t="shared" si="40"/>
        <v>329893</v>
      </c>
      <c r="H41" s="290">
        <v>155577</v>
      </c>
      <c r="I41" s="290">
        <v>99331</v>
      </c>
      <c r="J41" s="290">
        <v>34150</v>
      </c>
      <c r="K41" s="290">
        <v>101791</v>
      </c>
      <c r="L41" s="290">
        <v>114233</v>
      </c>
      <c r="M41" s="290">
        <v>53467</v>
      </c>
      <c r="N41" s="290">
        <f t="shared" si="3"/>
        <v>558549</v>
      </c>
      <c r="O41" s="290">
        <f t="shared" si="9"/>
        <v>1018323</v>
      </c>
      <c r="P41" s="290">
        <v>34754</v>
      </c>
      <c r="Q41" s="290">
        <f t="shared" si="41"/>
        <v>1053077</v>
      </c>
      <c r="R41" s="289">
        <v>9.5399999999999991</v>
      </c>
      <c r="S41" s="349" t="s">
        <v>2249</v>
      </c>
      <c r="T41" s="392" t="s">
        <v>2249</v>
      </c>
      <c r="U41" s="290">
        <v>97297</v>
      </c>
      <c r="V41" s="290">
        <v>12316</v>
      </c>
      <c r="W41" s="290">
        <v>172905</v>
      </c>
      <c r="X41" s="290">
        <v>10877</v>
      </c>
      <c r="Y41" s="290">
        <v>63776</v>
      </c>
      <c r="Z41" s="290">
        <f t="shared" si="48"/>
        <v>259874</v>
      </c>
      <c r="AA41" s="290">
        <v>119649</v>
      </c>
      <c r="AB41" s="290">
        <v>73279</v>
      </c>
      <c r="AC41" s="290">
        <v>24102</v>
      </c>
      <c r="AD41" s="290">
        <v>68999</v>
      </c>
      <c r="AE41" s="290">
        <v>83665</v>
      </c>
      <c r="AF41" s="290">
        <v>35622</v>
      </c>
      <c r="AG41" s="290">
        <f t="shared" si="6"/>
        <v>405316</v>
      </c>
      <c r="AH41" s="290">
        <f t="shared" si="11"/>
        <v>762487</v>
      </c>
      <c r="AI41" s="290">
        <v>19408</v>
      </c>
      <c r="AJ41" s="290">
        <f t="shared" si="49"/>
        <v>781895</v>
      </c>
      <c r="AK41" s="289">
        <v>3.49</v>
      </c>
      <c r="AL41" s="349" t="s">
        <v>2249</v>
      </c>
    </row>
    <row r="42" spans="1:38" s="185" customFormat="1" ht="9.9499999999999993" customHeight="1">
      <c r="A42" s="848" t="s">
        <v>2089</v>
      </c>
      <c r="B42" s="340">
        <f>B43+B44+B45+B46</f>
        <v>494159</v>
      </c>
      <c r="C42" s="340">
        <f>C43+C44+C45+C46</f>
        <v>70236</v>
      </c>
      <c r="D42" s="340">
        <f t="shared" ref="D42:F42" si="50">D43+D44+D45+D46</f>
        <v>1003346</v>
      </c>
      <c r="E42" s="340">
        <f t="shared" si="50"/>
        <v>59675</v>
      </c>
      <c r="F42" s="340">
        <f t="shared" si="50"/>
        <v>420310</v>
      </c>
      <c r="G42" s="340">
        <f>C42+D42+E42+F42</f>
        <v>1553567</v>
      </c>
      <c r="H42" s="340">
        <f>H43+H44+H45+H46</f>
        <v>647366</v>
      </c>
      <c r="I42" s="340">
        <f t="shared" ref="I42:M42" si="51">I43+I44+I45+I46</f>
        <v>422563</v>
      </c>
      <c r="J42" s="340">
        <f t="shared" si="51"/>
        <v>144784</v>
      </c>
      <c r="K42" s="340">
        <f t="shared" si="51"/>
        <v>419340</v>
      </c>
      <c r="L42" s="340">
        <f t="shared" si="51"/>
        <v>434788</v>
      </c>
      <c r="M42" s="340">
        <f t="shared" si="51"/>
        <v>226513</v>
      </c>
      <c r="N42" s="340">
        <f t="shared" si="3"/>
        <v>2295354</v>
      </c>
      <c r="O42" s="340">
        <f t="shared" si="9"/>
        <v>4343080</v>
      </c>
      <c r="P42" s="340">
        <f>P43+P44+P45+P46</f>
        <v>147755</v>
      </c>
      <c r="Q42" s="340">
        <f>O42+P42</f>
        <v>4490835</v>
      </c>
      <c r="R42" s="339">
        <v>13.07</v>
      </c>
      <c r="S42" s="356" t="s">
        <v>2089</v>
      </c>
      <c r="T42" s="848" t="s">
        <v>2089</v>
      </c>
      <c r="U42" s="340">
        <f>U43+U44+U45+U46</f>
        <v>350558</v>
      </c>
      <c r="V42" s="340">
        <f>V43+V44+V45+V46</f>
        <v>57889</v>
      </c>
      <c r="W42" s="340">
        <f t="shared" ref="W42:Y42" si="52">W43+W44+W45+W46</f>
        <v>772522</v>
      </c>
      <c r="X42" s="340">
        <f t="shared" si="52"/>
        <v>40059</v>
      </c>
      <c r="Y42" s="340">
        <f t="shared" si="52"/>
        <v>298080</v>
      </c>
      <c r="Z42" s="340">
        <f>V42+W42+X42+Y42</f>
        <v>1168550</v>
      </c>
      <c r="AA42" s="340">
        <f>AA43+AA44+AA45+AA46</f>
        <v>473716</v>
      </c>
      <c r="AB42" s="340">
        <f t="shared" ref="AB42:AF42" si="53">AB43+AB44+AB45+AB46</f>
        <v>298663</v>
      </c>
      <c r="AC42" s="340">
        <f t="shared" si="53"/>
        <v>95432</v>
      </c>
      <c r="AD42" s="340">
        <f t="shared" si="53"/>
        <v>273990</v>
      </c>
      <c r="AE42" s="340">
        <f t="shared" si="53"/>
        <v>297370</v>
      </c>
      <c r="AF42" s="340">
        <f t="shared" si="53"/>
        <v>145241</v>
      </c>
      <c r="AG42" s="340">
        <f t="shared" si="6"/>
        <v>1584412</v>
      </c>
      <c r="AH42" s="340">
        <f t="shared" si="11"/>
        <v>3103520</v>
      </c>
      <c r="AI42" s="340">
        <f>AI43+AI44+AI45+AI46</f>
        <v>106914</v>
      </c>
      <c r="AJ42" s="340">
        <f>AH42+AI42</f>
        <v>3210434</v>
      </c>
      <c r="AK42" s="339">
        <v>5.78</v>
      </c>
      <c r="AL42" s="356" t="s">
        <v>2089</v>
      </c>
    </row>
    <row r="43" spans="1:38" s="160" customFormat="1" ht="9.9499999999999993" customHeight="1">
      <c r="A43" s="392" t="s">
        <v>2246</v>
      </c>
      <c r="B43" s="290">
        <v>107781</v>
      </c>
      <c r="C43" s="290">
        <v>13870</v>
      </c>
      <c r="D43" s="290">
        <v>222382</v>
      </c>
      <c r="E43" s="290">
        <v>16629</v>
      </c>
      <c r="F43" s="290">
        <v>85710</v>
      </c>
      <c r="G43" s="290">
        <f t="shared" ref="G43:G46" si="54">C43+D43+E43+F43</f>
        <v>338591</v>
      </c>
      <c r="H43" s="290">
        <v>149307</v>
      </c>
      <c r="I43" s="290">
        <v>100246</v>
      </c>
      <c r="J43" s="290">
        <v>34505</v>
      </c>
      <c r="K43" s="290">
        <v>97628</v>
      </c>
      <c r="L43" s="290">
        <v>94311</v>
      </c>
      <c r="M43" s="290">
        <v>51964</v>
      </c>
      <c r="N43" s="290">
        <f>H43+I43+J43+K43+L43+M43</f>
        <v>527961</v>
      </c>
      <c r="O43" s="290">
        <f>N43+G43+B43</f>
        <v>974333</v>
      </c>
      <c r="P43" s="290">
        <v>35084</v>
      </c>
      <c r="Q43" s="290">
        <f t="shared" ref="Q43:Q51" si="55">O43+P43</f>
        <v>1009417</v>
      </c>
      <c r="R43" s="289">
        <v>13.03</v>
      </c>
      <c r="S43" s="349" t="s">
        <v>2246</v>
      </c>
      <c r="T43" s="392" t="s">
        <v>2246</v>
      </c>
      <c r="U43" s="290">
        <v>78613</v>
      </c>
      <c r="V43" s="290">
        <v>12069</v>
      </c>
      <c r="W43" s="290">
        <v>176531</v>
      </c>
      <c r="X43" s="290">
        <v>11340</v>
      </c>
      <c r="Y43" s="290">
        <v>62579</v>
      </c>
      <c r="Z43" s="290">
        <f t="shared" ref="Z43:Z46" si="56">V43+W43+X43+Y43</f>
        <v>262519</v>
      </c>
      <c r="AA43" s="290">
        <v>112347</v>
      </c>
      <c r="AB43" s="290">
        <v>73149</v>
      </c>
      <c r="AC43" s="290">
        <v>23411</v>
      </c>
      <c r="AD43" s="290">
        <v>67316</v>
      </c>
      <c r="AE43" s="290">
        <v>66157</v>
      </c>
      <c r="AF43" s="290">
        <v>33881</v>
      </c>
      <c r="AG43" s="290">
        <f t="shared" si="6"/>
        <v>376261</v>
      </c>
      <c r="AH43" s="290">
        <f t="shared" si="11"/>
        <v>717393</v>
      </c>
      <c r="AI43" s="290">
        <v>27869</v>
      </c>
      <c r="AJ43" s="290">
        <f t="shared" ref="AJ43:AJ45" si="57">AH43+AI43</f>
        <v>745262</v>
      </c>
      <c r="AK43" s="289">
        <v>6.18</v>
      </c>
      <c r="AL43" s="349" t="s">
        <v>2246</v>
      </c>
    </row>
    <row r="44" spans="1:38" s="160" customFormat="1" ht="9.9499999999999993" customHeight="1">
      <c r="A44" s="378" t="s">
        <v>2247</v>
      </c>
      <c r="B44" s="376">
        <v>133942</v>
      </c>
      <c r="C44" s="376">
        <v>15763</v>
      </c>
      <c r="D44" s="376">
        <v>256840</v>
      </c>
      <c r="E44" s="376">
        <v>13464</v>
      </c>
      <c r="F44" s="376">
        <v>110178</v>
      </c>
      <c r="G44" s="376">
        <f t="shared" si="54"/>
        <v>396245</v>
      </c>
      <c r="H44" s="376">
        <v>159184</v>
      </c>
      <c r="I44" s="376">
        <v>104776</v>
      </c>
      <c r="J44" s="376">
        <v>35787</v>
      </c>
      <c r="K44" s="376">
        <v>101453</v>
      </c>
      <c r="L44" s="376">
        <v>98816</v>
      </c>
      <c r="M44" s="376">
        <v>55715</v>
      </c>
      <c r="N44" s="376">
        <f t="shared" si="3"/>
        <v>555731</v>
      </c>
      <c r="O44" s="376">
        <f t="shared" si="9"/>
        <v>1085918</v>
      </c>
      <c r="P44" s="376">
        <v>40969</v>
      </c>
      <c r="Q44" s="376">
        <f t="shared" si="55"/>
        <v>1126887</v>
      </c>
      <c r="R44" s="250">
        <v>13.99</v>
      </c>
      <c r="S44" s="373" t="s">
        <v>2247</v>
      </c>
      <c r="T44" s="378" t="s">
        <v>2247</v>
      </c>
      <c r="U44" s="376">
        <v>94795</v>
      </c>
      <c r="V44" s="376">
        <v>13282</v>
      </c>
      <c r="W44" s="376">
        <v>200527</v>
      </c>
      <c r="X44" s="376">
        <v>9111</v>
      </c>
      <c r="Y44" s="376">
        <v>78651</v>
      </c>
      <c r="Z44" s="376">
        <f t="shared" si="56"/>
        <v>301571</v>
      </c>
      <c r="AA44" s="376">
        <v>116909</v>
      </c>
      <c r="AB44" s="376">
        <v>73647</v>
      </c>
      <c r="AC44" s="376">
        <v>23644</v>
      </c>
      <c r="AD44" s="376">
        <v>67915</v>
      </c>
      <c r="AE44" s="376">
        <v>67470</v>
      </c>
      <c r="AF44" s="376">
        <v>36134</v>
      </c>
      <c r="AG44" s="376">
        <f t="shared" si="6"/>
        <v>385719</v>
      </c>
      <c r="AH44" s="376">
        <f t="shared" si="11"/>
        <v>782085</v>
      </c>
      <c r="AI44" s="376">
        <v>30407</v>
      </c>
      <c r="AJ44" s="376">
        <f t="shared" si="57"/>
        <v>812492</v>
      </c>
      <c r="AK44" s="250">
        <v>6.9</v>
      </c>
      <c r="AL44" s="373" t="s">
        <v>2247</v>
      </c>
    </row>
    <row r="45" spans="1:38" s="160" customFormat="1" ht="9.9499999999999993" customHeight="1">
      <c r="A45" s="392" t="s">
        <v>2248</v>
      </c>
      <c r="B45" s="290">
        <v>104186</v>
      </c>
      <c r="C45" s="290">
        <v>21090</v>
      </c>
      <c r="D45" s="290">
        <v>264710</v>
      </c>
      <c r="E45" s="290">
        <v>13350</v>
      </c>
      <c r="F45" s="290">
        <v>122768</v>
      </c>
      <c r="G45" s="290">
        <f t="shared" si="54"/>
        <v>421918</v>
      </c>
      <c r="H45" s="290">
        <v>159129</v>
      </c>
      <c r="I45" s="290">
        <v>108073</v>
      </c>
      <c r="J45" s="290">
        <v>36584</v>
      </c>
      <c r="K45" s="290">
        <v>107757</v>
      </c>
      <c r="L45" s="290">
        <v>109972</v>
      </c>
      <c r="M45" s="290">
        <v>59331</v>
      </c>
      <c r="N45" s="290">
        <f t="shared" si="3"/>
        <v>580846</v>
      </c>
      <c r="O45" s="290">
        <f t="shared" si="9"/>
        <v>1106950</v>
      </c>
      <c r="P45" s="290">
        <v>36367</v>
      </c>
      <c r="Q45" s="290">
        <f t="shared" si="55"/>
        <v>1143317</v>
      </c>
      <c r="R45" s="289">
        <v>10.45</v>
      </c>
      <c r="S45" s="349" t="s">
        <v>2248</v>
      </c>
      <c r="T45" s="392" t="s">
        <v>2248</v>
      </c>
      <c r="U45" s="290">
        <v>73990</v>
      </c>
      <c r="V45" s="290">
        <v>17221</v>
      </c>
      <c r="W45" s="290">
        <v>201453</v>
      </c>
      <c r="X45" s="290">
        <v>8992</v>
      </c>
      <c r="Y45" s="290">
        <v>86245</v>
      </c>
      <c r="Z45" s="290">
        <f t="shared" si="56"/>
        <v>313911</v>
      </c>
      <c r="AA45" s="290">
        <v>115916</v>
      </c>
      <c r="AB45" s="290">
        <v>75203</v>
      </c>
      <c r="AC45" s="290">
        <v>23971</v>
      </c>
      <c r="AD45" s="290">
        <v>68554</v>
      </c>
      <c r="AE45" s="290">
        <v>75059</v>
      </c>
      <c r="AF45" s="290">
        <v>38449</v>
      </c>
      <c r="AG45" s="290">
        <f t="shared" si="6"/>
        <v>397152</v>
      </c>
      <c r="AH45" s="290">
        <f t="shared" si="11"/>
        <v>785053</v>
      </c>
      <c r="AI45" s="290">
        <v>28193</v>
      </c>
      <c r="AJ45" s="290">
        <f t="shared" si="57"/>
        <v>813246</v>
      </c>
      <c r="AK45" s="289">
        <v>3.02</v>
      </c>
      <c r="AL45" s="349" t="s">
        <v>2248</v>
      </c>
    </row>
    <row r="46" spans="1:38" s="160" customFormat="1" ht="9.9499999999999993" customHeight="1">
      <c r="A46" s="378" t="s">
        <v>2249</v>
      </c>
      <c r="B46" s="376">
        <v>148250</v>
      </c>
      <c r="C46" s="376">
        <v>19513</v>
      </c>
      <c r="D46" s="376">
        <v>259414</v>
      </c>
      <c r="E46" s="376">
        <v>16232</v>
      </c>
      <c r="F46" s="376">
        <v>101654</v>
      </c>
      <c r="G46" s="376">
        <f t="shared" si="54"/>
        <v>396813</v>
      </c>
      <c r="H46" s="376">
        <v>179746</v>
      </c>
      <c r="I46" s="376">
        <v>109468</v>
      </c>
      <c r="J46" s="376">
        <v>37908</v>
      </c>
      <c r="K46" s="376">
        <v>112502</v>
      </c>
      <c r="L46" s="376">
        <v>131689</v>
      </c>
      <c r="M46" s="376">
        <v>59503</v>
      </c>
      <c r="N46" s="376">
        <f t="shared" si="3"/>
        <v>630816</v>
      </c>
      <c r="O46" s="376">
        <f t="shared" si="9"/>
        <v>1175879</v>
      </c>
      <c r="P46" s="376">
        <v>35335</v>
      </c>
      <c r="Q46" s="376">
        <f t="shared" si="55"/>
        <v>1211214</v>
      </c>
      <c r="R46" s="250">
        <v>14.83</v>
      </c>
      <c r="S46" s="373" t="s">
        <v>2249</v>
      </c>
      <c r="T46" s="378" t="s">
        <v>2249</v>
      </c>
      <c r="U46" s="376">
        <v>103160</v>
      </c>
      <c r="V46" s="376">
        <v>15317</v>
      </c>
      <c r="W46" s="376">
        <v>194011</v>
      </c>
      <c r="X46" s="376">
        <v>10616</v>
      </c>
      <c r="Y46" s="376">
        <v>70605</v>
      </c>
      <c r="Z46" s="376">
        <f t="shared" si="56"/>
        <v>290549</v>
      </c>
      <c r="AA46" s="376">
        <v>128544</v>
      </c>
      <c r="AB46" s="376">
        <v>76664</v>
      </c>
      <c r="AC46" s="376">
        <v>24406</v>
      </c>
      <c r="AD46" s="376">
        <v>70205</v>
      </c>
      <c r="AE46" s="376">
        <v>88684</v>
      </c>
      <c r="AF46" s="376">
        <v>36777</v>
      </c>
      <c r="AG46" s="376">
        <f t="shared" si="6"/>
        <v>425280</v>
      </c>
      <c r="AH46" s="376">
        <f t="shared" si="11"/>
        <v>818989</v>
      </c>
      <c r="AI46" s="376">
        <v>20445</v>
      </c>
      <c r="AJ46" s="376">
        <f t="shared" ref="AJ46:AJ51" si="58">AH46+AI46</f>
        <v>839434</v>
      </c>
      <c r="AK46" s="250">
        <v>7.09</v>
      </c>
      <c r="AL46" s="373" t="s">
        <v>2249</v>
      </c>
    </row>
    <row r="47" spans="1:38" s="185" customFormat="1" ht="9.9499999999999993" customHeight="1">
      <c r="A47" s="1661" t="s">
        <v>2327</v>
      </c>
      <c r="B47" s="476">
        <f>B48+B49+B50+B51</f>
        <v>558537</v>
      </c>
      <c r="C47" s="476">
        <f>C48+C49+C50+C51</f>
        <v>73802</v>
      </c>
      <c r="D47" s="476">
        <f t="shared" ref="D47:F47" si="59">D48+D49+D50+D51</f>
        <v>1095230</v>
      </c>
      <c r="E47" s="476">
        <f t="shared" si="59"/>
        <v>64354</v>
      </c>
      <c r="F47" s="476">
        <f t="shared" si="59"/>
        <v>472377</v>
      </c>
      <c r="G47" s="476">
        <f t="shared" ref="G47:G56" si="60">C47+D47+E47+F47</f>
        <v>1705763</v>
      </c>
      <c r="H47" s="476">
        <f>H48+H49+H50+H51</f>
        <v>730353</v>
      </c>
      <c r="I47" s="476">
        <f t="shared" ref="I47:M47" si="61">I48+I49+I50+I51</f>
        <v>469460</v>
      </c>
      <c r="J47" s="476">
        <f t="shared" si="61"/>
        <v>160769</v>
      </c>
      <c r="K47" s="476">
        <f t="shared" si="61"/>
        <v>463521</v>
      </c>
      <c r="L47" s="476">
        <f t="shared" si="61"/>
        <v>494911</v>
      </c>
      <c r="M47" s="476">
        <f t="shared" si="61"/>
        <v>253184</v>
      </c>
      <c r="N47" s="476">
        <f t="shared" ref="N47" si="62">H47+I47+J47+K47+L47+M47</f>
        <v>2572198</v>
      </c>
      <c r="O47" s="476">
        <f t="shared" ref="O47" si="63">N47+G47+B47</f>
        <v>4836498</v>
      </c>
      <c r="P47" s="476">
        <f>P48+P49+P50+P51</f>
        <v>166157</v>
      </c>
      <c r="Q47" s="476">
        <f>O47+P47</f>
        <v>5002655</v>
      </c>
      <c r="R47" s="332">
        <v>11.4</v>
      </c>
      <c r="S47" s="355" t="s">
        <v>2327</v>
      </c>
      <c r="T47" s="1661" t="s">
        <v>2327</v>
      </c>
      <c r="U47" s="476">
        <f>U48+U49+U50+U51</f>
        <v>362141</v>
      </c>
      <c r="V47" s="476">
        <f>V48+V49+V50+V51</f>
        <v>57224</v>
      </c>
      <c r="W47" s="476">
        <f t="shared" ref="W47:Y47" si="64">W48+W49+W50+W51</f>
        <v>796907</v>
      </c>
      <c r="X47" s="476">
        <f t="shared" si="64"/>
        <v>40542</v>
      </c>
      <c r="Y47" s="476">
        <f t="shared" si="64"/>
        <v>314847</v>
      </c>
      <c r="Z47" s="476">
        <f t="shared" ref="Z47:Z56" si="65">V47+W47+X47+Y47</f>
        <v>1209520</v>
      </c>
      <c r="AA47" s="476">
        <f>AA48+AA49+AA50+AA51</f>
        <v>501036</v>
      </c>
      <c r="AB47" s="476">
        <f t="shared" ref="AB47:AF47" si="66">AB48+AB49+AB50+AB51</f>
        <v>313747</v>
      </c>
      <c r="AC47" s="476">
        <f t="shared" si="66"/>
        <v>96584</v>
      </c>
      <c r="AD47" s="476">
        <f t="shared" si="66"/>
        <v>285022</v>
      </c>
      <c r="AE47" s="476">
        <f t="shared" si="66"/>
        <v>318705</v>
      </c>
      <c r="AF47" s="476">
        <f t="shared" si="66"/>
        <v>149952</v>
      </c>
      <c r="AG47" s="476">
        <f t="shared" ref="AG47" si="67">AA47+AB47+AC47+AD47+AE47+AF47</f>
        <v>1665046</v>
      </c>
      <c r="AH47" s="476">
        <f t="shared" ref="AH47" si="68">AG47+Z47+U47</f>
        <v>3236707</v>
      </c>
      <c r="AI47" s="476">
        <f>AI48+AI49+AI50+AI51</f>
        <v>109310</v>
      </c>
      <c r="AJ47" s="476">
        <f t="shared" si="58"/>
        <v>3346017</v>
      </c>
      <c r="AK47" s="332">
        <v>4.22</v>
      </c>
      <c r="AL47" s="355" t="s">
        <v>2327</v>
      </c>
    </row>
    <row r="48" spans="1:38" s="160" customFormat="1" ht="9.9499999999999993" customHeight="1">
      <c r="A48" s="378" t="s">
        <v>2246</v>
      </c>
      <c r="B48" s="376">
        <v>119155</v>
      </c>
      <c r="C48" s="376">
        <v>22712</v>
      </c>
      <c r="D48" s="376">
        <v>259898</v>
      </c>
      <c r="E48" s="376">
        <v>17373</v>
      </c>
      <c r="F48" s="376">
        <v>95089</v>
      </c>
      <c r="G48" s="376">
        <f t="shared" si="60"/>
        <v>395072</v>
      </c>
      <c r="H48" s="376">
        <v>168415</v>
      </c>
      <c r="I48" s="376">
        <v>112277</v>
      </c>
      <c r="J48" s="376">
        <v>38329</v>
      </c>
      <c r="K48" s="376">
        <v>110001</v>
      </c>
      <c r="L48" s="376">
        <v>108096</v>
      </c>
      <c r="M48" s="376">
        <v>58846</v>
      </c>
      <c r="N48" s="376">
        <f t="shared" si="3"/>
        <v>595964</v>
      </c>
      <c r="O48" s="376">
        <f>N48+G48+B48</f>
        <v>1110191</v>
      </c>
      <c r="P48" s="376">
        <v>40162</v>
      </c>
      <c r="Q48" s="376">
        <f t="shared" si="55"/>
        <v>1150353</v>
      </c>
      <c r="R48" s="250">
        <v>13.96</v>
      </c>
      <c r="S48" s="373" t="s">
        <v>2246</v>
      </c>
      <c r="T48" s="378" t="s">
        <v>2246</v>
      </c>
      <c r="U48" s="376">
        <v>79100</v>
      </c>
      <c r="V48" s="376">
        <v>17133</v>
      </c>
      <c r="W48" s="376">
        <v>188945</v>
      </c>
      <c r="X48" s="376">
        <v>11274</v>
      </c>
      <c r="Y48" s="376">
        <v>65579</v>
      </c>
      <c r="Z48" s="376">
        <f t="shared" si="65"/>
        <v>282931</v>
      </c>
      <c r="AA48" s="376">
        <v>118994</v>
      </c>
      <c r="AB48" s="376">
        <v>77311</v>
      </c>
      <c r="AC48" s="376">
        <v>23699</v>
      </c>
      <c r="AD48" s="376">
        <v>70173</v>
      </c>
      <c r="AE48" s="376">
        <v>71024</v>
      </c>
      <c r="AF48" s="376">
        <v>35823</v>
      </c>
      <c r="AG48" s="376">
        <f t="shared" si="6"/>
        <v>397024</v>
      </c>
      <c r="AH48" s="376">
        <f>AG48+Z48+U48</f>
        <v>759055</v>
      </c>
      <c r="AI48" s="376">
        <v>29959</v>
      </c>
      <c r="AJ48" s="376">
        <f t="shared" si="58"/>
        <v>789014</v>
      </c>
      <c r="AK48" s="250">
        <v>5.87</v>
      </c>
      <c r="AL48" s="373" t="s">
        <v>2246</v>
      </c>
    </row>
    <row r="49" spans="1:39" s="160" customFormat="1" ht="9.9499999999999993" customHeight="1">
      <c r="A49" s="392" t="s">
        <v>2247</v>
      </c>
      <c r="B49" s="290">
        <v>152805</v>
      </c>
      <c r="C49" s="290">
        <v>17648</v>
      </c>
      <c r="D49" s="290">
        <v>273802</v>
      </c>
      <c r="E49" s="290">
        <v>14429</v>
      </c>
      <c r="F49" s="290">
        <v>127536</v>
      </c>
      <c r="G49" s="290">
        <f t="shared" si="60"/>
        <v>433415</v>
      </c>
      <c r="H49" s="290">
        <v>186757</v>
      </c>
      <c r="I49" s="290">
        <v>116356</v>
      </c>
      <c r="J49" s="290">
        <v>39993</v>
      </c>
      <c r="K49" s="290">
        <v>112010</v>
      </c>
      <c r="L49" s="290">
        <v>116918</v>
      </c>
      <c r="M49" s="290">
        <v>61447</v>
      </c>
      <c r="N49" s="290">
        <f t="shared" si="3"/>
        <v>633481</v>
      </c>
      <c r="O49" s="290">
        <f>N49+G49+B49</f>
        <v>1219701</v>
      </c>
      <c r="P49" s="290">
        <v>47898</v>
      </c>
      <c r="Q49" s="290">
        <f t="shared" si="55"/>
        <v>1267599</v>
      </c>
      <c r="R49" s="289">
        <v>12.49</v>
      </c>
      <c r="S49" s="349" t="s">
        <v>2247</v>
      </c>
      <c r="T49" s="392" t="s">
        <v>2247</v>
      </c>
      <c r="U49" s="290">
        <v>98669</v>
      </c>
      <c r="V49" s="290">
        <v>12556</v>
      </c>
      <c r="W49" s="290">
        <v>196282</v>
      </c>
      <c r="X49" s="290">
        <v>9178</v>
      </c>
      <c r="Y49" s="290">
        <v>86684</v>
      </c>
      <c r="Z49" s="290">
        <f t="shared" si="65"/>
        <v>304700</v>
      </c>
      <c r="AA49" s="290">
        <v>128534</v>
      </c>
      <c r="AB49" s="290">
        <v>77828</v>
      </c>
      <c r="AC49" s="290">
        <v>24108</v>
      </c>
      <c r="AD49" s="290">
        <v>70745</v>
      </c>
      <c r="AE49" s="290">
        <v>75402</v>
      </c>
      <c r="AF49" s="290">
        <v>36493</v>
      </c>
      <c r="AG49" s="290">
        <f t="shared" si="6"/>
        <v>413110</v>
      </c>
      <c r="AH49" s="290">
        <f>AG49+Z49+U49</f>
        <v>816479</v>
      </c>
      <c r="AI49" s="290">
        <v>32298</v>
      </c>
      <c r="AJ49" s="290">
        <f t="shared" si="58"/>
        <v>848777</v>
      </c>
      <c r="AK49" s="289">
        <v>4.47</v>
      </c>
      <c r="AL49" s="349" t="s">
        <v>2247</v>
      </c>
    </row>
    <row r="50" spans="1:39" s="160" customFormat="1" ht="9.9499999999999993" customHeight="1">
      <c r="A50" s="1467" t="s">
        <v>2248</v>
      </c>
      <c r="B50" s="376">
        <v>117574</v>
      </c>
      <c r="C50" s="376">
        <v>11483</v>
      </c>
      <c r="D50" s="376">
        <v>293796</v>
      </c>
      <c r="E50" s="376">
        <v>13453</v>
      </c>
      <c r="F50" s="1334">
        <v>140300</v>
      </c>
      <c r="G50" s="376">
        <f t="shared" si="60"/>
        <v>459032</v>
      </c>
      <c r="H50" s="376">
        <v>179997</v>
      </c>
      <c r="I50" s="376">
        <v>119281</v>
      </c>
      <c r="J50" s="376">
        <v>40666</v>
      </c>
      <c r="K50" s="376">
        <v>119363</v>
      </c>
      <c r="L50" s="376">
        <v>122332</v>
      </c>
      <c r="M50" s="376">
        <v>65656</v>
      </c>
      <c r="N50" s="376">
        <f t="shared" si="3"/>
        <v>647295</v>
      </c>
      <c r="O50" s="376">
        <f>N50+G50+B50</f>
        <v>1223901</v>
      </c>
      <c r="P50" s="376">
        <v>43083</v>
      </c>
      <c r="Q50" s="376">
        <f t="shared" si="55"/>
        <v>1266984</v>
      </c>
      <c r="R50" s="250">
        <v>10.82</v>
      </c>
      <c r="S50" s="373" t="s">
        <v>2248</v>
      </c>
      <c r="T50" s="1467" t="s">
        <v>2248</v>
      </c>
      <c r="U50" s="376">
        <v>76968</v>
      </c>
      <c r="V50" s="376">
        <v>9671</v>
      </c>
      <c r="W50" s="376">
        <v>217093</v>
      </c>
      <c r="X50" s="376">
        <v>8414</v>
      </c>
      <c r="Y50" s="376">
        <v>93029</v>
      </c>
      <c r="Z50" s="376">
        <f t="shared" si="65"/>
        <v>328207</v>
      </c>
      <c r="AA50" s="376">
        <v>122697</v>
      </c>
      <c r="AB50" s="376">
        <v>78688</v>
      </c>
      <c r="AC50" s="376">
        <v>24274</v>
      </c>
      <c r="AD50" s="376">
        <v>71431</v>
      </c>
      <c r="AE50" s="376">
        <v>78752</v>
      </c>
      <c r="AF50" s="376">
        <v>38423</v>
      </c>
      <c r="AG50" s="376">
        <f t="shared" si="6"/>
        <v>414265</v>
      </c>
      <c r="AH50" s="376">
        <f>AG50+Z50+U50</f>
        <v>819440</v>
      </c>
      <c r="AI50" s="376">
        <v>31351</v>
      </c>
      <c r="AJ50" s="376">
        <f t="shared" si="58"/>
        <v>850791</v>
      </c>
      <c r="AK50" s="250">
        <v>4.62</v>
      </c>
      <c r="AL50" s="373" t="s">
        <v>2248</v>
      </c>
    </row>
    <row r="51" spans="1:39" s="160" customFormat="1" ht="9.9499999999999993" customHeight="1">
      <c r="A51" s="392" t="s">
        <v>2249</v>
      </c>
      <c r="B51" s="290">
        <v>169003</v>
      </c>
      <c r="C51" s="290">
        <v>21959</v>
      </c>
      <c r="D51" s="290">
        <v>267734</v>
      </c>
      <c r="E51" s="290">
        <v>19099</v>
      </c>
      <c r="F51" s="996">
        <v>109452</v>
      </c>
      <c r="G51" s="996">
        <f t="shared" si="60"/>
        <v>418244</v>
      </c>
      <c r="H51" s="290">
        <v>195184</v>
      </c>
      <c r="I51" s="290">
        <v>121546</v>
      </c>
      <c r="J51" s="290">
        <v>41781</v>
      </c>
      <c r="K51" s="290">
        <v>122147</v>
      </c>
      <c r="L51" s="290">
        <v>147565</v>
      </c>
      <c r="M51" s="290">
        <v>67235</v>
      </c>
      <c r="N51" s="290">
        <f t="shared" si="3"/>
        <v>695458</v>
      </c>
      <c r="O51" s="290">
        <f>N51+G51+B51</f>
        <v>1282705</v>
      </c>
      <c r="P51" s="290">
        <v>35014</v>
      </c>
      <c r="Q51" s="290">
        <f t="shared" si="55"/>
        <v>1317719</v>
      </c>
      <c r="R51" s="289">
        <v>8.7899999999999991</v>
      </c>
      <c r="S51" s="349" t="s">
        <v>2249</v>
      </c>
      <c r="T51" s="392" t="s">
        <v>2249</v>
      </c>
      <c r="U51" s="290">
        <v>107404</v>
      </c>
      <c r="V51" s="290">
        <v>17864</v>
      </c>
      <c r="W51" s="290">
        <v>194587</v>
      </c>
      <c r="X51" s="290">
        <v>11676</v>
      </c>
      <c r="Y51" s="290">
        <v>69555</v>
      </c>
      <c r="Z51" s="290">
        <f t="shared" si="65"/>
        <v>293682</v>
      </c>
      <c r="AA51" s="290">
        <v>130811</v>
      </c>
      <c r="AB51" s="290">
        <v>79920</v>
      </c>
      <c r="AC51" s="290">
        <v>24503</v>
      </c>
      <c r="AD51" s="290">
        <v>72673</v>
      </c>
      <c r="AE51" s="290">
        <v>93527</v>
      </c>
      <c r="AF51" s="290">
        <v>39213</v>
      </c>
      <c r="AG51" s="290">
        <f t="shared" ref="AG51:AG56" si="69">AA51+AB51+AC51+AD51+AE51+AF51</f>
        <v>440647</v>
      </c>
      <c r="AH51" s="290">
        <f>AG51+Z51+U51</f>
        <v>841733</v>
      </c>
      <c r="AI51" s="290">
        <v>15702</v>
      </c>
      <c r="AJ51" s="290">
        <f t="shared" si="58"/>
        <v>857435</v>
      </c>
      <c r="AK51" s="289">
        <v>2.14</v>
      </c>
      <c r="AL51" s="349" t="s">
        <v>2249</v>
      </c>
    </row>
    <row r="52" spans="1:39" s="185" customFormat="1" ht="9.9499999999999993" customHeight="1">
      <c r="A52" s="848" t="s">
        <v>2500</v>
      </c>
      <c r="B52" s="340">
        <f>B53+B54+B55+B56</f>
        <v>623690.30000000005</v>
      </c>
      <c r="C52" s="340">
        <f>C53+C54+C55+C56</f>
        <v>79632.5</v>
      </c>
      <c r="D52" s="340">
        <f t="shared" ref="D52:F52" si="70">D53+D54+D55+D56</f>
        <v>1209768.8</v>
      </c>
      <c r="E52" s="340">
        <f t="shared" si="70"/>
        <v>69397.3</v>
      </c>
      <c r="F52" s="340">
        <f t="shared" si="70"/>
        <v>507939.20000000007</v>
      </c>
      <c r="G52" s="340">
        <f t="shared" si="60"/>
        <v>1866737.8000000003</v>
      </c>
      <c r="H52" s="340">
        <f>H53+H54+H55+H56</f>
        <v>846854.39999999991</v>
      </c>
      <c r="I52" s="340">
        <f t="shared" ref="I52:M52" si="71">I53+I54+I55+I56</f>
        <v>519627.7</v>
      </c>
      <c r="J52" s="340">
        <f t="shared" si="71"/>
        <v>179900.19999999998</v>
      </c>
      <c r="K52" s="340">
        <f t="shared" si="71"/>
        <v>511105.6</v>
      </c>
      <c r="L52" s="340">
        <f t="shared" si="71"/>
        <v>548263.1</v>
      </c>
      <c r="M52" s="340">
        <f t="shared" si="71"/>
        <v>276997.69999999995</v>
      </c>
      <c r="N52" s="340">
        <f t="shared" ref="N52:N56" si="72">H52+I52+J52+K52+L52+M52</f>
        <v>2882748.7</v>
      </c>
      <c r="O52" s="340">
        <f t="shared" ref="O52" si="73">N52+G52+B52</f>
        <v>5373176.7999999998</v>
      </c>
      <c r="P52" s="340">
        <f>P53+P54+P55+P56</f>
        <v>115667.59999999999</v>
      </c>
      <c r="Q52" s="340">
        <f>O52+P52</f>
        <v>5488844.3999999994</v>
      </c>
      <c r="R52" s="339">
        <v>9.9499999999999993</v>
      </c>
      <c r="S52" s="356" t="s">
        <v>2500</v>
      </c>
      <c r="T52" s="848" t="s">
        <v>2500</v>
      </c>
      <c r="U52" s="340">
        <f>U53+U54+U55+U56</f>
        <v>369564.69999999995</v>
      </c>
      <c r="V52" s="340">
        <f>V53+V54+V55+V56</f>
        <v>59078</v>
      </c>
      <c r="W52" s="340">
        <f t="shared" ref="W52:Y52" si="74">W53+W54+W55+W56</f>
        <v>844326.2</v>
      </c>
      <c r="X52" s="340">
        <f t="shared" si="74"/>
        <v>40922.699999999997</v>
      </c>
      <c r="Y52" s="340">
        <f t="shared" si="74"/>
        <v>331425.60000000003</v>
      </c>
      <c r="Z52" s="340">
        <f t="shared" si="65"/>
        <v>1275752.5</v>
      </c>
      <c r="AA52" s="340">
        <f>AA53+AA54+AA55+AA56</f>
        <v>526718.19999999995</v>
      </c>
      <c r="AB52" s="340">
        <f t="shared" ref="AB52:AF52" si="75">AB53+AB54+AB55+AB56</f>
        <v>325764.09999999998</v>
      </c>
      <c r="AC52" s="340">
        <f t="shared" si="75"/>
        <v>98064.4</v>
      </c>
      <c r="AD52" s="340">
        <f t="shared" si="75"/>
        <v>295090.59999999998</v>
      </c>
      <c r="AE52" s="340">
        <f t="shared" si="75"/>
        <v>328930.57747614215</v>
      </c>
      <c r="AF52" s="340">
        <f t="shared" si="75"/>
        <v>153575</v>
      </c>
      <c r="AG52" s="340">
        <f t="shared" si="69"/>
        <v>1728142.877476142</v>
      </c>
      <c r="AH52" s="340">
        <f t="shared" ref="AH52" si="76">AG52+Z52+U52</f>
        <v>3373460.077476142</v>
      </c>
      <c r="AI52" s="340">
        <f>AI53+AI54+AI55+AI56</f>
        <v>97006.3</v>
      </c>
      <c r="AJ52" s="340">
        <f>AH52+AI52</f>
        <v>3470466.3774761418</v>
      </c>
      <c r="AK52" s="339">
        <v>3.66</v>
      </c>
      <c r="AL52" s="356" t="s">
        <v>2500</v>
      </c>
      <c r="AM52" s="186"/>
    </row>
    <row r="53" spans="1:39" s="160" customFormat="1" ht="9.9499999999999993" customHeight="1">
      <c r="A53" s="392" t="s">
        <v>2246</v>
      </c>
      <c r="B53" s="290">
        <v>130929.4</v>
      </c>
      <c r="C53" s="290">
        <v>24814.1</v>
      </c>
      <c r="D53" s="290">
        <v>276956.90000000002</v>
      </c>
      <c r="E53" s="290">
        <v>19474.2</v>
      </c>
      <c r="F53" s="996">
        <v>93033.7</v>
      </c>
      <c r="G53" s="996">
        <f t="shared" si="60"/>
        <v>414278.9</v>
      </c>
      <c r="H53" s="996">
        <v>191867.8</v>
      </c>
      <c r="I53" s="996">
        <v>121726.5</v>
      </c>
      <c r="J53" s="996">
        <v>42697.599999999999</v>
      </c>
      <c r="K53" s="996">
        <v>123217.7</v>
      </c>
      <c r="L53" s="996">
        <v>120620.9</v>
      </c>
      <c r="M53" s="996">
        <v>63400.6</v>
      </c>
      <c r="N53" s="996">
        <f t="shared" si="72"/>
        <v>663531.1</v>
      </c>
      <c r="O53" s="996">
        <f>N53+G53+B53</f>
        <v>1208739.3999999999</v>
      </c>
      <c r="P53" s="996">
        <v>31363.7</v>
      </c>
      <c r="Q53" s="996">
        <f t="shared" ref="Q53:Q56" si="77">O53+P53</f>
        <v>1240103.0999999999</v>
      </c>
      <c r="R53" s="875">
        <v>7.8</v>
      </c>
      <c r="S53" s="349" t="s">
        <v>2246</v>
      </c>
      <c r="T53" s="392" t="s">
        <v>2246</v>
      </c>
      <c r="U53" s="996">
        <v>78624</v>
      </c>
      <c r="V53" s="996">
        <v>18905.599999999999</v>
      </c>
      <c r="W53" s="996">
        <v>195678.1</v>
      </c>
      <c r="X53" s="996">
        <v>11690.9</v>
      </c>
      <c r="Y53" s="996">
        <v>66823.8</v>
      </c>
      <c r="Z53" s="996">
        <f t="shared" si="65"/>
        <v>293098.40000000002</v>
      </c>
      <c r="AA53" s="996">
        <v>122109.2</v>
      </c>
      <c r="AB53" s="996">
        <v>78638.100000000006</v>
      </c>
      <c r="AC53" s="996">
        <v>23828.799999999999</v>
      </c>
      <c r="AD53" s="996">
        <v>72850</v>
      </c>
      <c r="AE53" s="996">
        <v>75038</v>
      </c>
      <c r="AF53" s="996">
        <v>36319.699999999997</v>
      </c>
      <c r="AG53" s="996">
        <f t="shared" si="69"/>
        <v>408783.8</v>
      </c>
      <c r="AH53" s="996">
        <f>AG53+Z53+U53</f>
        <v>780506.2</v>
      </c>
      <c r="AI53" s="996">
        <v>28840.6</v>
      </c>
      <c r="AJ53" s="996">
        <f t="shared" ref="AJ53:AJ56" si="78">AH53+AI53</f>
        <v>809346.79999999993</v>
      </c>
      <c r="AK53" s="289">
        <v>2.58</v>
      </c>
      <c r="AL53" s="349" t="s">
        <v>2246</v>
      </c>
      <c r="AM53" s="159"/>
    </row>
    <row r="54" spans="1:39" s="160" customFormat="1" ht="9.9499999999999993" customHeight="1">
      <c r="A54" s="1572" t="s">
        <v>2247</v>
      </c>
      <c r="B54" s="376">
        <v>173136.6</v>
      </c>
      <c r="C54" s="376">
        <v>17510.7</v>
      </c>
      <c r="D54" s="376">
        <v>309389.40000000002</v>
      </c>
      <c r="E54" s="376">
        <v>16340.9</v>
      </c>
      <c r="F54" s="1334">
        <v>133868.5</v>
      </c>
      <c r="G54" s="1334">
        <f t="shared" si="60"/>
        <v>477109.50000000006</v>
      </c>
      <c r="H54" s="1334">
        <v>223068.5</v>
      </c>
      <c r="I54" s="1334">
        <v>129407.2</v>
      </c>
      <c r="J54" s="1334">
        <v>44490.7</v>
      </c>
      <c r="K54" s="1334">
        <v>125020.9</v>
      </c>
      <c r="L54" s="1334">
        <v>127346.1</v>
      </c>
      <c r="M54" s="1334">
        <v>64704.7</v>
      </c>
      <c r="N54" s="1334">
        <f t="shared" si="72"/>
        <v>714038.1</v>
      </c>
      <c r="O54" s="1334">
        <f>N54+G54+B54</f>
        <v>1364284.2000000002</v>
      </c>
      <c r="P54" s="1334">
        <v>31758</v>
      </c>
      <c r="Q54" s="1334">
        <f t="shared" si="77"/>
        <v>1396042.2000000002</v>
      </c>
      <c r="R54" s="526">
        <v>10.130000000000001</v>
      </c>
      <c r="S54" s="373" t="s">
        <v>2247</v>
      </c>
      <c r="T54" s="1739" t="s">
        <v>2247</v>
      </c>
      <c r="U54" s="1334">
        <v>100098.3</v>
      </c>
      <c r="V54" s="1334">
        <v>13158.1</v>
      </c>
      <c r="W54" s="1334">
        <v>215100.4</v>
      </c>
      <c r="X54" s="1334">
        <v>9609.2000000000007</v>
      </c>
      <c r="Y54" s="1334">
        <v>90186.6</v>
      </c>
      <c r="Z54" s="1334">
        <f t="shared" si="65"/>
        <v>328054.30000000005</v>
      </c>
      <c r="AA54" s="1334">
        <v>138063.79999999999</v>
      </c>
      <c r="AB54" s="1334">
        <v>81457.5</v>
      </c>
      <c r="AC54" s="1334">
        <v>24113.3</v>
      </c>
      <c r="AD54" s="1334">
        <v>73174.5</v>
      </c>
      <c r="AE54" s="1334">
        <v>77068.899999999994</v>
      </c>
      <c r="AF54" s="1334">
        <v>36145.699999999997</v>
      </c>
      <c r="AG54" s="1334">
        <f t="shared" si="69"/>
        <v>430023.7</v>
      </c>
      <c r="AH54" s="1334">
        <f>AG54+Z54+U54</f>
        <v>858176.3</v>
      </c>
      <c r="AI54" s="1334">
        <v>28255.3</v>
      </c>
      <c r="AJ54" s="1334">
        <f t="shared" si="78"/>
        <v>886431.60000000009</v>
      </c>
      <c r="AK54" s="250">
        <v>4.4400000000000004</v>
      </c>
      <c r="AL54" s="373" t="s">
        <v>2247</v>
      </c>
      <c r="AM54" s="159"/>
    </row>
    <row r="55" spans="1:39" s="160" customFormat="1" ht="9.9499999999999993" customHeight="1">
      <c r="A55" s="392" t="s">
        <v>2248</v>
      </c>
      <c r="B55" s="290">
        <v>132732.6</v>
      </c>
      <c r="C55" s="290">
        <v>12328.7</v>
      </c>
      <c r="D55" s="290">
        <v>329921.59999999998</v>
      </c>
      <c r="E55" s="290">
        <v>16274.4</v>
      </c>
      <c r="F55" s="996">
        <v>161454.6</v>
      </c>
      <c r="G55" s="996">
        <f t="shared" si="60"/>
        <v>519979.30000000005</v>
      </c>
      <c r="H55" s="996">
        <v>212386.4</v>
      </c>
      <c r="I55" s="996">
        <v>133678</v>
      </c>
      <c r="J55" s="996">
        <v>45806.400000000001</v>
      </c>
      <c r="K55" s="996">
        <v>130216.1</v>
      </c>
      <c r="L55" s="996">
        <v>140667.79999999999</v>
      </c>
      <c r="M55" s="996">
        <v>74003.399999999994</v>
      </c>
      <c r="N55" s="996">
        <f t="shared" si="72"/>
        <v>736758.1</v>
      </c>
      <c r="O55" s="996">
        <f>N55+G55+B55</f>
        <v>1389470</v>
      </c>
      <c r="P55" s="996">
        <v>31581.200000000001</v>
      </c>
      <c r="Q55" s="996">
        <f t="shared" si="77"/>
        <v>1421051.2</v>
      </c>
      <c r="R55" s="875">
        <v>12.16</v>
      </c>
      <c r="S55" s="1658" t="s">
        <v>2248</v>
      </c>
      <c r="T55" s="392" t="s">
        <v>2248</v>
      </c>
      <c r="U55" s="996">
        <v>80192.399999999994</v>
      </c>
      <c r="V55" s="996">
        <v>9321.6</v>
      </c>
      <c r="W55" s="996">
        <v>232399.1</v>
      </c>
      <c r="X55" s="996">
        <v>9599.4</v>
      </c>
      <c r="Y55" s="996">
        <v>102618.1</v>
      </c>
      <c r="Z55" s="996">
        <f t="shared" si="65"/>
        <v>353938.2</v>
      </c>
      <c r="AA55" s="996">
        <v>131779.70000000001</v>
      </c>
      <c r="AB55" s="996">
        <v>82580.100000000006</v>
      </c>
      <c r="AC55" s="996">
        <v>24913.599999999999</v>
      </c>
      <c r="AD55" s="996">
        <v>74054.3</v>
      </c>
      <c r="AE55" s="996">
        <v>83652.2</v>
      </c>
      <c r="AF55" s="996">
        <v>40660.1</v>
      </c>
      <c r="AG55" s="996">
        <f t="shared" si="69"/>
        <v>437640</v>
      </c>
      <c r="AH55" s="996">
        <f>AG55+Z55+U55</f>
        <v>871770.6</v>
      </c>
      <c r="AI55" s="996">
        <v>24330.1</v>
      </c>
      <c r="AJ55" s="996">
        <f t="shared" si="78"/>
        <v>896100.7</v>
      </c>
      <c r="AK55" s="289">
        <v>5.33</v>
      </c>
      <c r="AL55" s="349" t="s">
        <v>2248</v>
      </c>
      <c r="AM55" s="159"/>
    </row>
    <row r="56" spans="1:39" s="160" customFormat="1" ht="9.9499999999999993" customHeight="1">
      <c r="A56" s="1739" t="s">
        <v>2249</v>
      </c>
      <c r="B56" s="376">
        <v>186891.7</v>
      </c>
      <c r="C56" s="376">
        <v>24979</v>
      </c>
      <c r="D56" s="376">
        <v>293500.90000000002</v>
      </c>
      <c r="E56" s="376">
        <v>17307.8</v>
      </c>
      <c r="F56" s="1334">
        <v>119582.39999999999</v>
      </c>
      <c r="G56" s="376">
        <f t="shared" si="60"/>
        <v>455370.1</v>
      </c>
      <c r="H56" s="376">
        <v>219531.7</v>
      </c>
      <c r="I56" s="376">
        <v>134816</v>
      </c>
      <c r="J56" s="376">
        <v>46905.5</v>
      </c>
      <c r="K56" s="376">
        <v>132650.9</v>
      </c>
      <c r="L56" s="376">
        <v>159628.29999999999</v>
      </c>
      <c r="M56" s="376">
        <v>74889</v>
      </c>
      <c r="N56" s="376">
        <f t="shared" si="72"/>
        <v>768421.39999999991</v>
      </c>
      <c r="O56" s="376">
        <f>N56+G56+B56</f>
        <v>1410683.2</v>
      </c>
      <c r="P56" s="376">
        <v>20964.7</v>
      </c>
      <c r="Q56" s="376">
        <f t="shared" si="77"/>
        <v>1431647.9</v>
      </c>
      <c r="R56" s="526">
        <v>8.65</v>
      </c>
      <c r="S56" s="1748" t="s">
        <v>2249</v>
      </c>
      <c r="T56" s="1739" t="s">
        <v>2249</v>
      </c>
      <c r="U56" s="1334">
        <v>110650</v>
      </c>
      <c r="V56" s="1334">
        <v>17692.7</v>
      </c>
      <c r="W56" s="1334">
        <v>201148.6</v>
      </c>
      <c r="X56" s="1334">
        <v>10023.200000000001</v>
      </c>
      <c r="Y56" s="1334">
        <v>71797.100000000006</v>
      </c>
      <c r="Z56" s="1334">
        <f t="shared" si="65"/>
        <v>300661.60000000003</v>
      </c>
      <c r="AA56" s="1334">
        <v>134765.5</v>
      </c>
      <c r="AB56" s="1334">
        <v>83088.399999999994</v>
      </c>
      <c r="AC56" s="1334">
        <v>25208.7</v>
      </c>
      <c r="AD56" s="1334">
        <v>75011.8</v>
      </c>
      <c r="AE56" s="1334">
        <v>93171.477476142158</v>
      </c>
      <c r="AF56" s="1334">
        <v>40449.5</v>
      </c>
      <c r="AG56" s="1334">
        <f t="shared" si="69"/>
        <v>451695.3774761422</v>
      </c>
      <c r="AH56" s="1334">
        <f>AG56+Z56+U56</f>
        <v>863006.97747614223</v>
      </c>
      <c r="AI56" s="1334">
        <v>15580.3</v>
      </c>
      <c r="AJ56" s="1334">
        <f t="shared" si="78"/>
        <v>878587.27747614228</v>
      </c>
      <c r="AK56" s="250">
        <v>2.4700000000000002</v>
      </c>
      <c r="AL56" s="373" t="s">
        <v>2249</v>
      </c>
      <c r="AM56" s="159"/>
    </row>
    <row r="57" spans="1:39" s="160" customFormat="1" ht="9.9499999999999993" customHeight="1">
      <c r="A57" s="1740" t="s">
        <v>2754</v>
      </c>
      <c r="B57" s="668"/>
      <c r="C57" s="668"/>
      <c r="D57" s="668"/>
      <c r="E57" s="668"/>
      <c r="F57" s="668"/>
      <c r="G57" s="668"/>
      <c r="H57" s="1749"/>
      <c r="I57" s="1750"/>
      <c r="J57" s="1749"/>
      <c r="K57" s="1749"/>
      <c r="L57" s="1749"/>
      <c r="M57" s="1749"/>
      <c r="N57" s="1749"/>
      <c r="O57" s="1749"/>
      <c r="P57" s="1749"/>
      <c r="Q57" s="1749"/>
      <c r="R57" s="1749"/>
      <c r="S57" s="355" t="s">
        <v>2754</v>
      </c>
      <c r="T57" s="1740" t="s">
        <v>2754</v>
      </c>
      <c r="U57" s="1749"/>
      <c r="V57" s="1749"/>
      <c r="W57" s="1749"/>
      <c r="X57" s="1749"/>
      <c r="Y57" s="1749"/>
      <c r="Z57" s="1749"/>
      <c r="AA57" s="1749"/>
      <c r="AB57" s="1749"/>
      <c r="AC57" s="1749"/>
      <c r="AD57" s="1749"/>
      <c r="AE57" s="1749"/>
      <c r="AF57" s="1749"/>
      <c r="AG57" s="1749"/>
      <c r="AH57" s="1749"/>
      <c r="AI57" s="1749"/>
      <c r="AJ57" s="1749"/>
      <c r="AK57" s="1749"/>
      <c r="AL57" s="355" t="s">
        <v>2754</v>
      </c>
      <c r="AM57" s="159"/>
    </row>
    <row r="58" spans="1:39" s="160" customFormat="1" ht="9.9499999999999993" customHeight="1" thickBot="1">
      <c r="A58" s="1089" t="s">
        <v>2246</v>
      </c>
      <c r="B58" s="1659">
        <v>143652.70000000001</v>
      </c>
      <c r="C58" s="1659">
        <v>29194.799999999999</v>
      </c>
      <c r="D58" s="1659">
        <v>311943.5</v>
      </c>
      <c r="E58" s="1659">
        <v>17106.2</v>
      </c>
      <c r="F58" s="1657">
        <v>109207.5</v>
      </c>
      <c r="G58" s="1659">
        <f t="shared" ref="G58" si="79">C58+D58+E58+F58</f>
        <v>467452</v>
      </c>
      <c r="H58" s="1659">
        <v>216276.8</v>
      </c>
      <c r="I58" s="1659">
        <v>135592.6</v>
      </c>
      <c r="J58" s="1659">
        <v>47096.1</v>
      </c>
      <c r="K58" s="1659">
        <v>132458.70000000001</v>
      </c>
      <c r="L58" s="1659">
        <v>134076.5</v>
      </c>
      <c r="M58" s="1659">
        <v>71092.899999999994</v>
      </c>
      <c r="N58" s="1659">
        <f t="shared" ref="N58" si="80">H58+I58+J58+K58+L58+M58</f>
        <v>736593.6</v>
      </c>
      <c r="O58" s="1659">
        <f>N58+G58+B58</f>
        <v>1347698.3</v>
      </c>
      <c r="P58" s="1659">
        <v>37644.9</v>
      </c>
      <c r="Q58" s="1659">
        <f t="shared" ref="Q58" si="81">O58+P58</f>
        <v>1385343.2</v>
      </c>
      <c r="R58" s="1635">
        <v>11.71</v>
      </c>
      <c r="S58" s="1660" t="s">
        <v>2246</v>
      </c>
      <c r="T58" s="1089" t="s">
        <v>2246</v>
      </c>
      <c r="U58" s="1657">
        <v>80431.399999999994</v>
      </c>
      <c r="V58" s="1657">
        <v>20208.599999999999</v>
      </c>
      <c r="W58" s="1657">
        <v>207760.2</v>
      </c>
      <c r="X58" s="1657">
        <v>10439.799999999999</v>
      </c>
      <c r="Y58" s="1657">
        <v>75113.5</v>
      </c>
      <c r="Z58" s="1657">
        <f t="shared" ref="Z58" si="82">V58+W58+X58+Y58</f>
        <v>313522.09999999998</v>
      </c>
      <c r="AA58" s="1657">
        <v>127715.2</v>
      </c>
      <c r="AB58" s="1657">
        <v>81892.399999999994</v>
      </c>
      <c r="AC58" s="1657">
        <v>24223.200000000001</v>
      </c>
      <c r="AD58" s="1657">
        <v>74155</v>
      </c>
      <c r="AE58" s="1657">
        <v>78259.5</v>
      </c>
      <c r="AF58" s="1657">
        <v>37540.800000000003</v>
      </c>
      <c r="AG58" s="1657">
        <f t="shared" ref="AG58" si="83">AA58+AB58+AC58+AD58+AE58+AF58</f>
        <v>423786.1</v>
      </c>
      <c r="AH58" s="1657">
        <f>AG58+Z58+U58</f>
        <v>817739.6</v>
      </c>
      <c r="AI58" s="1657">
        <v>28068.3</v>
      </c>
      <c r="AJ58" s="1657">
        <f t="shared" ref="AJ58" si="84">AH58+AI58</f>
        <v>845807.9</v>
      </c>
      <c r="AK58" s="684">
        <v>4.5</v>
      </c>
      <c r="AL58" s="1656" t="s">
        <v>2246</v>
      </c>
      <c r="AM58" s="159"/>
    </row>
    <row r="59" spans="1:39" ht="9.9499999999999993" customHeight="1">
      <c r="A59" s="682" t="s">
        <v>1986</v>
      </c>
      <c r="B59" s="7"/>
      <c r="C59" s="7"/>
      <c r="D59" s="7"/>
      <c r="E59" s="52"/>
      <c r="F59" s="709"/>
      <c r="G59" s="597" t="s">
        <v>2206</v>
      </c>
      <c r="H59" s="709"/>
      <c r="I59" s="1245"/>
      <c r="J59" s="709"/>
      <c r="K59" s="709"/>
      <c r="L59" s="709"/>
      <c r="M59" s="709"/>
      <c r="N59" s="709"/>
      <c r="O59" s="709"/>
      <c r="P59" s="709"/>
      <c r="Q59" s="709"/>
      <c r="R59" s="709"/>
      <c r="S59" s="709"/>
      <c r="T59" s="709"/>
      <c r="U59" s="709"/>
      <c r="V59" s="709"/>
      <c r="W59" s="709"/>
      <c r="X59" s="709"/>
      <c r="Y59" s="709"/>
      <c r="Z59" s="709"/>
      <c r="AA59" s="709"/>
      <c r="AB59" s="709"/>
      <c r="AC59" s="709"/>
      <c r="AD59" s="709"/>
      <c r="AE59" s="709"/>
      <c r="AF59" s="709"/>
      <c r="AG59" s="709"/>
      <c r="AH59" s="709"/>
      <c r="AI59" s="709"/>
      <c r="AJ59" s="709"/>
      <c r="AK59" s="709"/>
    </row>
    <row r="60" spans="1:39" ht="9.75" customHeight="1">
      <c r="D60" s="709"/>
      <c r="H60" s="1245"/>
      <c r="I60" s="1245"/>
      <c r="AA60" s="709"/>
      <c r="AB60" s="709"/>
      <c r="AC60" s="709"/>
    </row>
    <row r="61" spans="1:39" ht="9.75" customHeight="1">
      <c r="B61" s="709"/>
      <c r="C61" s="709"/>
      <c r="D61" s="709"/>
      <c r="E61" s="709"/>
      <c r="F61" s="709"/>
      <c r="G61" s="709"/>
      <c r="H61" s="709"/>
      <c r="I61" s="709"/>
      <c r="J61" s="709"/>
      <c r="K61" s="709"/>
      <c r="L61" s="709"/>
      <c r="M61" s="709"/>
      <c r="N61" s="709"/>
      <c r="O61" s="709"/>
      <c r="P61" s="709"/>
      <c r="Q61" s="709"/>
      <c r="R61" s="709"/>
      <c r="U61" s="709"/>
      <c r="V61" s="709"/>
      <c r="W61" s="709"/>
      <c r="AA61" s="709"/>
      <c r="AB61" s="709"/>
      <c r="AC61" s="709"/>
    </row>
    <row r="62" spans="1:39" ht="9.75" customHeight="1">
      <c r="B62" s="709"/>
      <c r="C62" s="709"/>
      <c r="D62" s="709"/>
      <c r="E62" s="709"/>
      <c r="F62" s="709"/>
      <c r="H62" s="709"/>
      <c r="I62" s="709"/>
      <c r="J62" s="709"/>
      <c r="K62" s="709"/>
      <c r="U62" s="709"/>
      <c r="V62" s="709"/>
      <c r="W62" s="709"/>
      <c r="AA62" s="709"/>
      <c r="AB62" s="709"/>
      <c r="AC62" s="709"/>
    </row>
    <row r="63" spans="1:39" ht="9.75" customHeight="1">
      <c r="B63" s="709"/>
      <c r="C63" s="709"/>
      <c r="D63" s="709"/>
      <c r="G63" s="709"/>
      <c r="H63" s="709"/>
      <c r="I63" s="709"/>
      <c r="J63" s="709"/>
      <c r="K63" s="709"/>
      <c r="L63" s="709"/>
      <c r="M63" s="709"/>
      <c r="N63" s="709"/>
      <c r="P63" s="709"/>
      <c r="R63" s="8"/>
      <c r="S63" s="84"/>
      <c r="U63" s="709"/>
      <c r="V63" s="709"/>
      <c r="W63" s="709"/>
      <c r="AA63" s="709"/>
      <c r="AB63" s="709"/>
      <c r="AC63" s="709"/>
    </row>
    <row r="64" spans="1:39" ht="9.75" customHeight="1">
      <c r="B64" s="709"/>
      <c r="C64" s="709"/>
      <c r="D64" s="709"/>
      <c r="G64" s="709"/>
      <c r="H64" s="709"/>
      <c r="I64" s="709"/>
      <c r="J64" s="709"/>
      <c r="K64" s="709"/>
      <c r="L64" s="709"/>
      <c r="M64" s="709"/>
      <c r="N64" s="709"/>
      <c r="O64" s="709"/>
      <c r="P64" s="709"/>
      <c r="Q64" s="709"/>
      <c r="R64" s="709"/>
      <c r="U64" s="709"/>
      <c r="V64" s="709"/>
      <c r="W64" s="709"/>
      <c r="AA64" s="709"/>
      <c r="AB64" s="709"/>
      <c r="AC64" s="709"/>
    </row>
    <row r="65" spans="2:29" ht="9.75" customHeight="1">
      <c r="B65" s="709"/>
      <c r="C65" s="709"/>
      <c r="D65" s="709"/>
      <c r="E65" s="709"/>
      <c r="F65" s="709"/>
      <c r="H65" s="709"/>
      <c r="I65" s="709"/>
      <c r="J65" s="709"/>
      <c r="K65" s="709"/>
      <c r="U65" s="709"/>
      <c r="V65" s="709"/>
      <c r="W65" s="709"/>
      <c r="AA65" s="709"/>
      <c r="AB65" s="709"/>
      <c r="AC65" s="709"/>
    </row>
    <row r="66" spans="2:29" ht="9.75" customHeight="1">
      <c r="B66" s="709"/>
      <c r="H66" s="709"/>
      <c r="I66" s="709"/>
      <c r="J66" s="709"/>
      <c r="K66" s="709"/>
      <c r="U66" s="709"/>
      <c r="V66" s="709"/>
      <c r="W66" s="709"/>
    </row>
    <row r="67" spans="2:29" ht="9.75" customHeight="1">
      <c r="H67" s="1245"/>
      <c r="I67" s="1245"/>
    </row>
    <row r="68" spans="2:29" ht="9.75" customHeight="1">
      <c r="B68" s="709"/>
      <c r="C68" s="709"/>
      <c r="D68" s="709"/>
      <c r="E68" s="709"/>
      <c r="F68" s="709"/>
      <c r="G68" s="709"/>
      <c r="H68" s="709"/>
      <c r="I68" s="709"/>
      <c r="J68" s="709"/>
      <c r="K68" s="709"/>
      <c r="L68" s="709"/>
      <c r="M68" s="709"/>
      <c r="N68" s="709"/>
      <c r="O68" s="709"/>
      <c r="P68" s="709"/>
      <c r="Q68" s="709"/>
      <c r="R68" s="709"/>
      <c r="S68" s="709"/>
      <c r="T68" s="709"/>
      <c r="U68" s="709"/>
      <c r="V68" s="709"/>
      <c r="W68" s="709"/>
    </row>
    <row r="69" spans="2:29" ht="9.75" customHeight="1">
      <c r="H69" s="1245"/>
      <c r="I69" s="1245"/>
    </row>
    <row r="70" spans="2:29" ht="9.75" customHeight="1">
      <c r="H70" s="1245"/>
      <c r="I70" s="1245"/>
    </row>
    <row r="71" spans="2:29" ht="9.75" customHeight="1">
      <c r="H71" s="1245"/>
      <c r="I71" s="1245"/>
    </row>
    <row r="72" spans="2:29" ht="9.75" customHeight="1">
      <c r="H72" s="1245"/>
      <c r="I72" s="1245"/>
    </row>
    <row r="73" spans="2:29" ht="9.75" customHeight="1">
      <c r="H73" s="1245"/>
      <c r="I73" s="1245"/>
    </row>
    <row r="74" spans="2:29" ht="9.75" customHeight="1">
      <c r="H74" s="1245"/>
      <c r="I74" s="1245"/>
    </row>
    <row r="75" spans="2:29" ht="9.75" customHeight="1">
      <c r="H75" s="1245"/>
      <c r="I75" s="1245"/>
    </row>
    <row r="76" spans="2:29" ht="9.75" customHeight="1">
      <c r="H76" s="1245"/>
      <c r="I76" s="1245"/>
    </row>
    <row r="77" spans="2:29">
      <c r="H77" s="1245"/>
      <c r="I77" s="1245"/>
    </row>
    <row r="78" spans="2:29">
      <c r="H78" s="1245"/>
      <c r="I78" s="1245"/>
    </row>
    <row r="79" spans="2:29">
      <c r="H79" s="1245"/>
      <c r="I79" s="1245"/>
    </row>
    <row r="80" spans="2:29">
      <c r="H80" s="1245"/>
      <c r="I80" s="1245"/>
    </row>
    <row r="81" spans="8:9">
      <c r="H81" s="1245"/>
      <c r="I81" s="1245"/>
    </row>
    <row r="82" spans="8:9">
      <c r="H82" s="1245"/>
      <c r="I82" s="1245"/>
    </row>
    <row r="83" spans="8:9">
      <c r="H83" s="1245"/>
      <c r="I83" s="1245"/>
    </row>
    <row r="84" spans="8:9">
      <c r="H84" s="1245"/>
      <c r="I84" s="1245"/>
    </row>
    <row r="85" spans="8:9">
      <c r="H85" s="1245"/>
      <c r="I85" s="1245"/>
    </row>
    <row r="86" spans="8:9">
      <c r="H86" s="1245"/>
      <c r="I86" s="1245"/>
    </row>
    <row r="87" spans="8:9">
      <c r="H87" s="1245"/>
      <c r="I87" s="1245"/>
    </row>
    <row r="88" spans="8:9">
      <c r="H88" s="1245"/>
      <c r="I88" s="1245"/>
    </row>
    <row r="89" spans="8:9">
      <c r="H89" s="1245"/>
      <c r="I89" s="1245"/>
    </row>
    <row r="90" spans="8:9">
      <c r="H90" s="1245"/>
      <c r="I90" s="1245"/>
    </row>
    <row r="91" spans="8:9">
      <c r="H91" s="1245"/>
      <c r="I91" s="1245"/>
    </row>
    <row r="92" spans="8:9">
      <c r="H92" s="1245"/>
      <c r="I92" s="1245"/>
    </row>
    <row r="93" spans="8:9">
      <c r="H93" s="1245"/>
      <c r="I93" s="1245"/>
    </row>
    <row r="94" spans="8:9">
      <c r="H94" s="1245"/>
      <c r="I94" s="1245"/>
    </row>
    <row r="95" spans="8:9">
      <c r="H95" s="1245"/>
      <c r="I95" s="1245"/>
    </row>
    <row r="96" spans="8:9">
      <c r="H96" s="1245"/>
      <c r="I96" s="1245"/>
    </row>
    <row r="97" spans="8:9">
      <c r="H97" s="1245"/>
      <c r="I97" s="1245"/>
    </row>
    <row r="98" spans="8:9">
      <c r="H98" s="1245"/>
      <c r="I98" s="1245"/>
    </row>
    <row r="99" spans="8:9">
      <c r="H99" s="1245"/>
      <c r="I99" s="1245"/>
    </row>
    <row r="100" spans="8:9">
      <c r="H100" s="1245"/>
      <c r="I100" s="1245"/>
    </row>
    <row r="101" spans="8:9">
      <c r="H101" s="1245"/>
      <c r="I101" s="1245"/>
    </row>
    <row r="102" spans="8:9">
      <c r="H102" s="1245"/>
      <c r="I102" s="1245"/>
    </row>
    <row r="103" spans="8:9">
      <c r="H103" s="1245"/>
      <c r="I103" s="1245"/>
    </row>
    <row r="104" spans="8:9">
      <c r="H104" s="1245"/>
      <c r="I104" s="1245"/>
    </row>
    <row r="105" spans="8:9">
      <c r="H105" s="1245"/>
      <c r="I105" s="1245"/>
    </row>
    <row r="106" spans="8:9">
      <c r="H106" s="1245"/>
      <c r="I106" s="1245"/>
    </row>
    <row r="107" spans="8:9">
      <c r="H107" s="1245"/>
      <c r="I107" s="1245"/>
    </row>
    <row r="108" spans="8:9">
      <c r="H108" s="1245"/>
      <c r="I108" s="1245"/>
    </row>
    <row r="109" spans="8:9">
      <c r="H109" s="1245"/>
      <c r="I109" s="1245"/>
    </row>
    <row r="110" spans="8:9">
      <c r="H110" s="1245"/>
      <c r="I110" s="1245"/>
    </row>
    <row r="111" spans="8:9">
      <c r="H111" s="1245"/>
      <c r="I111" s="1245"/>
    </row>
    <row r="112" spans="8:9">
      <c r="H112" s="1245"/>
      <c r="I112" s="1245"/>
    </row>
    <row r="113" spans="8:9">
      <c r="H113" s="1245"/>
      <c r="I113" s="1245"/>
    </row>
    <row r="114" spans="8:9">
      <c r="H114" s="1245"/>
      <c r="I114" s="1245"/>
    </row>
    <row r="115" spans="8:9">
      <c r="H115" s="1245"/>
      <c r="I115" s="1245"/>
    </row>
    <row r="116" spans="8:9">
      <c r="H116" s="1245"/>
      <c r="I116" s="1245"/>
    </row>
    <row r="117" spans="8:9">
      <c r="H117" s="1245"/>
      <c r="I117" s="1245"/>
    </row>
    <row r="118" spans="8:9">
      <c r="H118" s="1245"/>
      <c r="I118" s="1245"/>
    </row>
    <row r="119" spans="8:9">
      <c r="H119" s="1245"/>
      <c r="I119" s="1245"/>
    </row>
    <row r="120" spans="8:9">
      <c r="H120" s="1245"/>
      <c r="I120" s="1245"/>
    </row>
    <row r="121" spans="8:9">
      <c r="H121" s="1245"/>
      <c r="I121" s="1245"/>
    </row>
    <row r="122" spans="8:9">
      <c r="H122" s="1245"/>
      <c r="I122" s="1245"/>
    </row>
    <row r="123" spans="8:9">
      <c r="H123" s="1245"/>
      <c r="I123" s="1245"/>
    </row>
    <row r="124" spans="8:9">
      <c r="H124" s="1245"/>
      <c r="I124" s="1245"/>
    </row>
    <row r="125" spans="8:9">
      <c r="H125" s="1245"/>
      <c r="I125" s="1245"/>
    </row>
    <row r="126" spans="8:9">
      <c r="H126" s="1245"/>
      <c r="I126" s="1245"/>
    </row>
    <row r="127" spans="8:9">
      <c r="H127" s="1245"/>
      <c r="I127" s="1245"/>
    </row>
    <row r="128" spans="8:9">
      <c r="H128" s="1245"/>
      <c r="I128" s="1245"/>
    </row>
    <row r="129" spans="8:9">
      <c r="H129" s="1245"/>
      <c r="I129" s="1245"/>
    </row>
    <row r="130" spans="8:9">
      <c r="H130" s="1245"/>
      <c r="I130" s="1245"/>
    </row>
    <row r="131" spans="8:9">
      <c r="H131" s="1245"/>
      <c r="I131" s="1245"/>
    </row>
    <row r="132" spans="8:9">
      <c r="H132" s="1245"/>
      <c r="I132" s="1245"/>
    </row>
    <row r="133" spans="8:9">
      <c r="H133" s="1245"/>
      <c r="I133" s="1245"/>
    </row>
    <row r="134" spans="8:9">
      <c r="H134" s="1245"/>
      <c r="I134" s="1245"/>
    </row>
    <row r="135" spans="8:9">
      <c r="H135" s="1245"/>
      <c r="I135" s="1245"/>
    </row>
    <row r="136" spans="8:9">
      <c r="H136" s="1245"/>
      <c r="I136" s="1245"/>
    </row>
    <row r="137" spans="8:9">
      <c r="H137" s="1245"/>
      <c r="I137" s="1245"/>
    </row>
    <row r="138" spans="8:9">
      <c r="H138" s="1245"/>
      <c r="I138" s="1245"/>
    </row>
    <row r="139" spans="8:9">
      <c r="H139" s="1245"/>
      <c r="I139" s="1245"/>
    </row>
    <row r="140" spans="8:9">
      <c r="H140" s="1245"/>
      <c r="I140" s="1245"/>
    </row>
    <row r="141" spans="8:9">
      <c r="H141" s="1245"/>
      <c r="I141" s="1245"/>
    </row>
    <row r="142" spans="8:9">
      <c r="H142" s="1245"/>
      <c r="I142" s="1245"/>
    </row>
    <row r="143" spans="8:9">
      <c r="H143" s="1245"/>
      <c r="I143" s="1245"/>
    </row>
    <row r="144" spans="8:9">
      <c r="H144" s="1245"/>
      <c r="I144" s="1245"/>
    </row>
    <row r="145" spans="8:9">
      <c r="H145" s="1245"/>
      <c r="I145" s="1245"/>
    </row>
    <row r="146" spans="8:9">
      <c r="H146" s="1245"/>
      <c r="I146" s="1245"/>
    </row>
    <row r="147" spans="8:9">
      <c r="H147" s="1245"/>
      <c r="I147" s="1245"/>
    </row>
    <row r="148" spans="8:9">
      <c r="H148" s="1245"/>
      <c r="I148" s="1245"/>
    </row>
    <row r="149" spans="8:9">
      <c r="H149" s="1245"/>
      <c r="I149" s="1245"/>
    </row>
    <row r="150" spans="8:9">
      <c r="H150" s="1245"/>
      <c r="I150" s="1245"/>
    </row>
    <row r="151" spans="8:9">
      <c r="H151" s="1245"/>
      <c r="I151" s="1245"/>
    </row>
    <row r="152" spans="8:9">
      <c r="H152" s="1245"/>
      <c r="I152" s="1245"/>
    </row>
    <row r="153" spans="8:9">
      <c r="H153" s="1245"/>
      <c r="I153" s="1245"/>
    </row>
    <row r="154" spans="8:9">
      <c r="H154" s="1245"/>
      <c r="I154" s="1245"/>
    </row>
    <row r="155" spans="8:9">
      <c r="H155" s="1245"/>
      <c r="I155" s="1245"/>
    </row>
    <row r="156" spans="8:9">
      <c r="H156" s="1245"/>
      <c r="I156" s="1245"/>
    </row>
    <row r="157" spans="8:9">
      <c r="H157" s="1245"/>
      <c r="I157" s="1245"/>
    </row>
    <row r="158" spans="8:9">
      <c r="H158" s="1245"/>
      <c r="I158" s="1245"/>
    </row>
    <row r="159" spans="8:9">
      <c r="H159" s="1245"/>
      <c r="I159" s="1245"/>
    </row>
    <row r="160" spans="8:9">
      <c r="H160" s="1245"/>
      <c r="I160" s="1245"/>
    </row>
    <row r="161" spans="8:9">
      <c r="H161" s="1245"/>
      <c r="I161" s="1245"/>
    </row>
    <row r="162" spans="8:9">
      <c r="H162" s="1245"/>
      <c r="I162" s="1245"/>
    </row>
    <row r="163" spans="8:9">
      <c r="H163" s="1245"/>
      <c r="I163" s="1245"/>
    </row>
    <row r="164" spans="8:9">
      <c r="H164" s="1245"/>
      <c r="I164" s="1245"/>
    </row>
    <row r="165" spans="8:9">
      <c r="H165" s="1245"/>
      <c r="I165" s="1245"/>
    </row>
    <row r="166" spans="8:9">
      <c r="H166" s="1245"/>
      <c r="I166" s="1245"/>
    </row>
    <row r="167" spans="8:9">
      <c r="H167" s="1245"/>
      <c r="I167" s="1245"/>
    </row>
    <row r="168" spans="8:9">
      <c r="H168" s="1245"/>
      <c r="I168" s="1245"/>
    </row>
    <row r="169" spans="8:9">
      <c r="H169" s="1245"/>
      <c r="I169" s="1245"/>
    </row>
    <row r="170" spans="8:9">
      <c r="H170" s="1245"/>
      <c r="I170" s="1245"/>
    </row>
    <row r="171" spans="8:9">
      <c r="H171" s="1245"/>
      <c r="I171" s="1245"/>
    </row>
    <row r="172" spans="8:9">
      <c r="H172" s="1245"/>
      <c r="I172" s="1245"/>
    </row>
    <row r="173" spans="8:9">
      <c r="H173" s="1245"/>
      <c r="I173" s="1245"/>
    </row>
    <row r="174" spans="8:9">
      <c r="H174" s="1245"/>
      <c r="I174" s="1245"/>
    </row>
    <row r="175" spans="8:9">
      <c r="H175" s="1245"/>
      <c r="I175" s="1245"/>
    </row>
    <row r="176" spans="8:9">
      <c r="H176" s="1245"/>
      <c r="I176" s="1245"/>
    </row>
    <row r="177" spans="8:9">
      <c r="H177" s="1245"/>
      <c r="I177" s="1245"/>
    </row>
    <row r="178" spans="8:9">
      <c r="H178" s="1245"/>
      <c r="I178" s="1245"/>
    </row>
    <row r="179" spans="8:9">
      <c r="H179" s="1245"/>
      <c r="I179" s="1245"/>
    </row>
    <row r="180" spans="8:9">
      <c r="H180" s="1245"/>
      <c r="I180" s="1245"/>
    </row>
    <row r="181" spans="8:9">
      <c r="H181" s="1245"/>
      <c r="I181" s="1245"/>
    </row>
    <row r="182" spans="8:9">
      <c r="H182" s="1245"/>
      <c r="I182" s="1245"/>
    </row>
    <row r="183" spans="8:9">
      <c r="H183" s="1245"/>
      <c r="I183" s="1245"/>
    </row>
    <row r="184" spans="8:9">
      <c r="H184" s="1245"/>
      <c r="I184" s="1245"/>
    </row>
    <row r="185" spans="8:9">
      <c r="H185" s="1245"/>
      <c r="I185" s="1245"/>
    </row>
    <row r="186" spans="8:9">
      <c r="H186" s="1245"/>
      <c r="I186" s="1245"/>
    </row>
    <row r="187" spans="8:9">
      <c r="H187" s="1245"/>
      <c r="I187" s="1245"/>
    </row>
    <row r="188" spans="8:9">
      <c r="H188" s="1245"/>
      <c r="I188" s="1245"/>
    </row>
    <row r="189" spans="8:9">
      <c r="H189" s="1245"/>
      <c r="I189" s="1245"/>
    </row>
    <row r="190" spans="8:9">
      <c r="H190" s="1245"/>
      <c r="I190" s="1245"/>
    </row>
    <row r="191" spans="8:9">
      <c r="H191" s="1245"/>
      <c r="I191" s="1245"/>
    </row>
    <row r="192" spans="8:9">
      <c r="H192" s="1245"/>
      <c r="I192" s="1245"/>
    </row>
    <row r="193" spans="8:9">
      <c r="H193" s="1245"/>
      <c r="I193" s="1245"/>
    </row>
    <row r="194" spans="8:9">
      <c r="H194" s="1245"/>
      <c r="I194" s="1245"/>
    </row>
    <row r="195" spans="8:9">
      <c r="H195" s="1245"/>
      <c r="I195" s="1245"/>
    </row>
    <row r="196" spans="8:9">
      <c r="H196" s="1245"/>
      <c r="I196" s="1245"/>
    </row>
    <row r="197" spans="8:9">
      <c r="H197" s="1245"/>
      <c r="I197" s="1245"/>
    </row>
    <row r="198" spans="8:9">
      <c r="H198" s="1245"/>
      <c r="I198" s="1245"/>
    </row>
    <row r="199" spans="8:9">
      <c r="H199" s="1245"/>
      <c r="I199" s="1245"/>
    </row>
    <row r="200" spans="8:9">
      <c r="H200" s="1245"/>
      <c r="I200" s="1245"/>
    </row>
    <row r="201" spans="8:9">
      <c r="H201" s="1245"/>
      <c r="I201" s="1245"/>
    </row>
    <row r="202" spans="8:9">
      <c r="H202" s="1245"/>
      <c r="I202" s="1245"/>
    </row>
    <row r="203" spans="8:9">
      <c r="H203" s="1245"/>
      <c r="I203" s="1245"/>
    </row>
    <row r="204" spans="8:9">
      <c r="H204" s="1245"/>
      <c r="I204" s="1245"/>
    </row>
    <row r="205" spans="8:9">
      <c r="H205" s="1245"/>
      <c r="I205" s="1245"/>
    </row>
    <row r="206" spans="8:9">
      <c r="H206" s="1245"/>
      <c r="I206" s="1245"/>
    </row>
    <row r="207" spans="8:9">
      <c r="H207" s="1245"/>
      <c r="I207" s="1245"/>
    </row>
    <row r="208" spans="8:9">
      <c r="H208" s="1245"/>
      <c r="I208" s="1245"/>
    </row>
    <row r="209" spans="8:9">
      <c r="H209" s="1245"/>
      <c r="I209" s="1245"/>
    </row>
    <row r="210" spans="8:9">
      <c r="H210" s="1245"/>
      <c r="I210" s="1245"/>
    </row>
    <row r="211" spans="8:9">
      <c r="H211" s="1245"/>
      <c r="I211" s="1245"/>
    </row>
    <row r="212" spans="8:9">
      <c r="H212" s="1245"/>
      <c r="I212" s="1245"/>
    </row>
    <row r="213" spans="8:9">
      <c r="H213" s="1245"/>
      <c r="I213" s="1245"/>
    </row>
    <row r="214" spans="8:9">
      <c r="H214" s="1245"/>
      <c r="I214" s="1245"/>
    </row>
    <row r="215" spans="8:9">
      <c r="H215" s="1245"/>
      <c r="I215" s="1245"/>
    </row>
    <row r="216" spans="8:9">
      <c r="H216" s="1245"/>
      <c r="I216" s="1245"/>
    </row>
    <row r="217" spans="8:9">
      <c r="H217" s="1245"/>
      <c r="I217" s="1245"/>
    </row>
    <row r="218" spans="8:9">
      <c r="H218" s="1245"/>
      <c r="I218" s="1245"/>
    </row>
    <row r="219" spans="8:9">
      <c r="H219" s="1245"/>
      <c r="I219" s="1245"/>
    </row>
    <row r="220" spans="8:9">
      <c r="H220" s="1245"/>
      <c r="I220" s="1245"/>
    </row>
    <row r="221" spans="8:9">
      <c r="H221" s="1245"/>
      <c r="I221" s="1245"/>
    </row>
    <row r="222" spans="8:9">
      <c r="H222" s="1245"/>
      <c r="I222" s="1245"/>
    </row>
    <row r="223" spans="8:9">
      <c r="H223" s="1245"/>
      <c r="I223" s="1245"/>
    </row>
    <row r="224" spans="8:9">
      <c r="H224" s="1245"/>
      <c r="I224" s="1245"/>
    </row>
    <row r="225" spans="8:9">
      <c r="H225" s="1245"/>
      <c r="I225" s="1245"/>
    </row>
    <row r="226" spans="8:9">
      <c r="H226" s="1245"/>
      <c r="I226" s="1245"/>
    </row>
    <row r="227" spans="8:9">
      <c r="H227" s="1245"/>
      <c r="I227" s="1245"/>
    </row>
    <row r="228" spans="8:9">
      <c r="H228" s="1245"/>
      <c r="I228" s="1245"/>
    </row>
    <row r="229" spans="8:9">
      <c r="H229" s="1245"/>
      <c r="I229" s="1245"/>
    </row>
    <row r="230" spans="8:9">
      <c r="H230" s="1245"/>
      <c r="I230" s="1245"/>
    </row>
    <row r="231" spans="8:9">
      <c r="H231" s="1245"/>
      <c r="I231" s="1245"/>
    </row>
    <row r="232" spans="8:9">
      <c r="H232" s="1245"/>
      <c r="I232" s="1245"/>
    </row>
    <row r="233" spans="8:9">
      <c r="H233" s="1245"/>
      <c r="I233" s="1245"/>
    </row>
    <row r="234" spans="8:9">
      <c r="H234" s="1245"/>
      <c r="I234" s="1245"/>
    </row>
    <row r="235" spans="8:9">
      <c r="H235" s="1245"/>
      <c r="I235" s="1245"/>
    </row>
    <row r="236" spans="8:9">
      <c r="H236" s="1245"/>
      <c r="I236" s="1245"/>
    </row>
    <row r="237" spans="8:9">
      <c r="H237" s="1245"/>
      <c r="I237" s="1245"/>
    </row>
    <row r="238" spans="8:9">
      <c r="H238" s="1245"/>
      <c r="I238" s="1245"/>
    </row>
    <row r="239" spans="8:9">
      <c r="H239" s="1245"/>
      <c r="I239" s="1245"/>
    </row>
    <row r="240" spans="8:9">
      <c r="H240" s="1245"/>
      <c r="I240" s="1245"/>
    </row>
    <row r="241" spans="8:9">
      <c r="H241" s="1245"/>
      <c r="I241" s="1245"/>
    </row>
    <row r="242" spans="8:9">
      <c r="H242" s="1245"/>
      <c r="I242" s="1245"/>
    </row>
    <row r="243" spans="8:9">
      <c r="H243" s="1245"/>
      <c r="I243" s="1245"/>
    </row>
    <row r="244" spans="8:9">
      <c r="H244" s="1245"/>
      <c r="I244" s="1245"/>
    </row>
    <row r="245" spans="8:9">
      <c r="H245" s="1245"/>
      <c r="I245" s="1245"/>
    </row>
    <row r="246" spans="8:9">
      <c r="H246" s="1245"/>
      <c r="I246" s="1245"/>
    </row>
    <row r="247" spans="8:9">
      <c r="H247" s="1245"/>
      <c r="I247" s="1245"/>
    </row>
    <row r="248" spans="8:9">
      <c r="H248" s="1245"/>
      <c r="I248" s="1245"/>
    </row>
    <row r="249" spans="8:9">
      <c r="H249" s="1245"/>
      <c r="I249" s="1245"/>
    </row>
    <row r="250" spans="8:9">
      <c r="H250" s="1245"/>
      <c r="I250" s="1245"/>
    </row>
    <row r="251" spans="8:9">
      <c r="H251" s="1245"/>
      <c r="I251" s="1245"/>
    </row>
    <row r="252" spans="8:9">
      <c r="H252" s="1245"/>
      <c r="I252" s="1245"/>
    </row>
    <row r="253" spans="8:9">
      <c r="H253" s="1245"/>
      <c r="I253" s="1245"/>
    </row>
    <row r="254" spans="8:9">
      <c r="H254" s="1245"/>
      <c r="I254" s="1245"/>
    </row>
    <row r="255" spans="8:9">
      <c r="H255" s="1245"/>
      <c r="I255" s="1245"/>
    </row>
    <row r="256" spans="8:9">
      <c r="H256" s="1245"/>
      <c r="I256" s="1245"/>
    </row>
    <row r="257" spans="8:9">
      <c r="H257" s="1245"/>
      <c r="I257" s="1245"/>
    </row>
    <row r="258" spans="8:9">
      <c r="H258" s="1245"/>
      <c r="I258" s="1245"/>
    </row>
    <row r="259" spans="8:9">
      <c r="H259" s="1245"/>
      <c r="I259" s="1245"/>
    </row>
    <row r="260" spans="8:9">
      <c r="H260" s="1245"/>
      <c r="I260" s="1245"/>
    </row>
    <row r="261" spans="8:9">
      <c r="H261" s="1245"/>
      <c r="I261" s="1245"/>
    </row>
    <row r="262" spans="8:9">
      <c r="H262" s="1245"/>
      <c r="I262" s="1245"/>
    </row>
    <row r="263" spans="8:9">
      <c r="H263" s="1245"/>
      <c r="I263" s="1245"/>
    </row>
    <row r="264" spans="8:9">
      <c r="H264" s="1245"/>
      <c r="I264" s="1245"/>
    </row>
    <row r="265" spans="8:9">
      <c r="H265" s="1245"/>
      <c r="I265" s="1245"/>
    </row>
    <row r="266" spans="8:9">
      <c r="H266" s="1245"/>
      <c r="I266" s="1245"/>
    </row>
    <row r="267" spans="8:9">
      <c r="H267" s="1245"/>
      <c r="I267" s="1245"/>
    </row>
    <row r="268" spans="8:9">
      <c r="H268" s="1245"/>
      <c r="I268" s="1245"/>
    </row>
    <row r="269" spans="8:9">
      <c r="H269" s="1245"/>
      <c r="I269" s="1245"/>
    </row>
    <row r="270" spans="8:9">
      <c r="H270" s="1245"/>
      <c r="I270" s="1245"/>
    </row>
    <row r="271" spans="8:9">
      <c r="H271" s="1245"/>
      <c r="I271" s="1245"/>
    </row>
    <row r="272" spans="8:9">
      <c r="H272" s="1245"/>
      <c r="I272" s="1245"/>
    </row>
    <row r="273" spans="8:9">
      <c r="H273" s="1245"/>
      <c r="I273" s="1245"/>
    </row>
    <row r="274" spans="8:9">
      <c r="H274" s="1245"/>
      <c r="I274" s="1245"/>
    </row>
    <row r="275" spans="8:9">
      <c r="H275" s="1245"/>
      <c r="I275" s="1245"/>
    </row>
    <row r="276" spans="8:9">
      <c r="H276" s="1245"/>
      <c r="I276" s="1245"/>
    </row>
    <row r="277" spans="8:9">
      <c r="H277" s="1245"/>
      <c r="I277" s="1245"/>
    </row>
    <row r="278" spans="8:9">
      <c r="H278" s="1245"/>
      <c r="I278" s="1245"/>
    </row>
    <row r="279" spans="8:9">
      <c r="H279" s="1245"/>
      <c r="I279" s="1245"/>
    </row>
    <row r="280" spans="8:9">
      <c r="H280" s="1245"/>
      <c r="I280" s="1245"/>
    </row>
    <row r="281" spans="8:9">
      <c r="H281" s="1245"/>
      <c r="I281" s="1245"/>
    </row>
    <row r="282" spans="8:9">
      <c r="H282" s="1245"/>
      <c r="I282" s="1245"/>
    </row>
    <row r="283" spans="8:9">
      <c r="H283" s="1245"/>
      <c r="I283" s="1245"/>
    </row>
    <row r="284" spans="8:9">
      <c r="H284" s="1245"/>
      <c r="I284" s="1245"/>
    </row>
    <row r="285" spans="8:9">
      <c r="H285" s="1245"/>
      <c r="I285" s="1245"/>
    </row>
    <row r="286" spans="8:9">
      <c r="H286" s="1245"/>
      <c r="I286" s="1245"/>
    </row>
    <row r="287" spans="8:9">
      <c r="H287" s="1245"/>
      <c r="I287" s="1245"/>
    </row>
    <row r="288" spans="8:9">
      <c r="H288" s="1245"/>
      <c r="I288" s="1245"/>
    </row>
    <row r="289" spans="8:9">
      <c r="H289" s="1245"/>
      <c r="I289" s="1245"/>
    </row>
    <row r="290" spans="8:9">
      <c r="H290" s="1245"/>
      <c r="I290" s="1245"/>
    </row>
    <row r="291" spans="8:9">
      <c r="H291" s="1245"/>
      <c r="I291" s="1245"/>
    </row>
    <row r="292" spans="8:9">
      <c r="H292" s="1245"/>
      <c r="I292" s="1245"/>
    </row>
    <row r="293" spans="8:9">
      <c r="H293" s="1245"/>
      <c r="I293" s="1245"/>
    </row>
    <row r="294" spans="8:9">
      <c r="H294" s="1245"/>
      <c r="I294" s="1245"/>
    </row>
    <row r="295" spans="8:9">
      <c r="H295" s="1245"/>
      <c r="I295" s="1245"/>
    </row>
    <row r="296" spans="8:9">
      <c r="H296" s="1245"/>
      <c r="I296" s="1245"/>
    </row>
    <row r="297" spans="8:9">
      <c r="H297" s="1245"/>
      <c r="I297" s="1245"/>
    </row>
    <row r="298" spans="8:9">
      <c r="H298" s="1245"/>
      <c r="I298" s="1245"/>
    </row>
    <row r="299" spans="8:9">
      <c r="H299" s="1245"/>
      <c r="I299" s="1245"/>
    </row>
    <row r="300" spans="8:9">
      <c r="H300" s="1245"/>
      <c r="I300" s="1245"/>
    </row>
    <row r="301" spans="8:9">
      <c r="H301" s="1245"/>
      <c r="I301" s="1245"/>
    </row>
    <row r="302" spans="8:9">
      <c r="H302" s="1245"/>
      <c r="I302" s="1245"/>
    </row>
    <row r="303" spans="8:9">
      <c r="H303" s="1245"/>
      <c r="I303" s="1245"/>
    </row>
    <row r="304" spans="8:9">
      <c r="H304" s="1245"/>
      <c r="I304" s="1245"/>
    </row>
    <row r="305" spans="8:9">
      <c r="H305" s="1245"/>
      <c r="I305" s="1245"/>
    </row>
    <row r="306" spans="8:9">
      <c r="H306" s="1245"/>
      <c r="I306" s="1245"/>
    </row>
    <row r="307" spans="8:9">
      <c r="H307" s="1245"/>
      <c r="I307" s="1245"/>
    </row>
    <row r="308" spans="8:9">
      <c r="H308" s="1245"/>
      <c r="I308" s="1245"/>
    </row>
    <row r="309" spans="8:9">
      <c r="H309" s="1245"/>
      <c r="I309" s="1245"/>
    </row>
    <row r="310" spans="8:9">
      <c r="H310" s="1245"/>
      <c r="I310" s="1245"/>
    </row>
    <row r="311" spans="8:9">
      <c r="H311" s="1245"/>
      <c r="I311" s="1245"/>
    </row>
    <row r="312" spans="8:9">
      <c r="H312" s="1245"/>
      <c r="I312" s="1245"/>
    </row>
    <row r="313" spans="8:9">
      <c r="H313" s="1245"/>
      <c r="I313" s="1245"/>
    </row>
    <row r="314" spans="8:9">
      <c r="H314" s="1245"/>
      <c r="I314" s="1245"/>
    </row>
    <row r="315" spans="8:9">
      <c r="H315" s="1245"/>
      <c r="I315" s="1245"/>
    </row>
    <row r="316" spans="8:9">
      <c r="H316" s="1245"/>
      <c r="I316" s="1245"/>
    </row>
    <row r="317" spans="8:9">
      <c r="H317" s="1245"/>
      <c r="I317" s="1245"/>
    </row>
    <row r="318" spans="8:9">
      <c r="H318" s="1245"/>
      <c r="I318" s="1245"/>
    </row>
    <row r="319" spans="8:9">
      <c r="H319" s="1245"/>
      <c r="I319" s="1245"/>
    </row>
    <row r="320" spans="8:9">
      <c r="H320" s="1245"/>
      <c r="I320" s="1245"/>
    </row>
    <row r="321" spans="8:9">
      <c r="H321" s="1245"/>
      <c r="I321" s="1245"/>
    </row>
    <row r="322" spans="8:9">
      <c r="H322" s="1245"/>
      <c r="I322" s="1245"/>
    </row>
    <row r="323" spans="8:9">
      <c r="H323" s="1245"/>
      <c r="I323" s="1245"/>
    </row>
    <row r="324" spans="8:9">
      <c r="H324" s="1245"/>
      <c r="I324" s="1245"/>
    </row>
    <row r="325" spans="8:9">
      <c r="H325" s="1245"/>
      <c r="I325" s="1245"/>
    </row>
    <row r="326" spans="8:9">
      <c r="H326" s="1245"/>
      <c r="I326" s="1245"/>
    </row>
    <row r="327" spans="8:9">
      <c r="H327" s="1245"/>
      <c r="I327" s="1245"/>
    </row>
    <row r="328" spans="8:9">
      <c r="H328" s="1245"/>
      <c r="I328" s="1245"/>
    </row>
    <row r="329" spans="8:9">
      <c r="H329" s="1245"/>
      <c r="I329" s="1245"/>
    </row>
    <row r="330" spans="8:9">
      <c r="H330" s="1245"/>
      <c r="I330" s="1245"/>
    </row>
    <row r="331" spans="8:9">
      <c r="H331" s="1245"/>
      <c r="I331" s="1245"/>
    </row>
    <row r="332" spans="8:9">
      <c r="H332" s="1245"/>
      <c r="I332" s="1245"/>
    </row>
    <row r="333" spans="8:9">
      <c r="H333" s="1245"/>
      <c r="I333" s="1245"/>
    </row>
    <row r="334" spans="8:9">
      <c r="H334" s="1245"/>
      <c r="I334" s="1245"/>
    </row>
    <row r="335" spans="8:9">
      <c r="H335" s="1245"/>
      <c r="I335" s="1245"/>
    </row>
    <row r="336" spans="8:9">
      <c r="H336" s="1245"/>
      <c r="I336" s="1245"/>
    </row>
    <row r="337" spans="8:9">
      <c r="H337" s="1245"/>
      <c r="I337" s="1245"/>
    </row>
    <row r="338" spans="8:9">
      <c r="H338" s="1245"/>
      <c r="I338" s="1245"/>
    </row>
    <row r="339" spans="8:9">
      <c r="H339" s="1245"/>
      <c r="I339" s="1245"/>
    </row>
    <row r="340" spans="8:9">
      <c r="H340" s="1245"/>
      <c r="I340" s="1245"/>
    </row>
    <row r="341" spans="8:9">
      <c r="H341" s="1245"/>
      <c r="I341" s="1245"/>
    </row>
    <row r="342" spans="8:9">
      <c r="H342" s="1245"/>
      <c r="I342" s="1245"/>
    </row>
    <row r="343" spans="8:9">
      <c r="H343" s="1245"/>
      <c r="I343" s="1245"/>
    </row>
    <row r="344" spans="8:9">
      <c r="H344" s="1245"/>
      <c r="I344" s="1245"/>
    </row>
    <row r="345" spans="8:9">
      <c r="H345" s="1245"/>
      <c r="I345" s="1245"/>
    </row>
    <row r="346" spans="8:9">
      <c r="H346" s="1245"/>
      <c r="I346" s="1245"/>
    </row>
    <row r="347" spans="8:9">
      <c r="H347" s="1245"/>
      <c r="I347" s="1245"/>
    </row>
    <row r="348" spans="8:9">
      <c r="H348" s="1245"/>
      <c r="I348" s="1245"/>
    </row>
    <row r="349" spans="8:9">
      <c r="H349" s="1245"/>
      <c r="I349" s="1245"/>
    </row>
    <row r="350" spans="8:9">
      <c r="H350" s="1245"/>
      <c r="I350" s="1245"/>
    </row>
    <row r="351" spans="8:9">
      <c r="H351" s="1245"/>
      <c r="I351" s="1245"/>
    </row>
    <row r="352" spans="8:9">
      <c r="H352" s="1245"/>
      <c r="I352" s="1245"/>
    </row>
    <row r="353" spans="8:9">
      <c r="H353" s="1245"/>
      <c r="I353" s="1245"/>
    </row>
    <row r="354" spans="8:9">
      <c r="H354" s="1245"/>
      <c r="I354" s="1245"/>
    </row>
    <row r="355" spans="8:9">
      <c r="H355" s="1245"/>
      <c r="I355" s="1245"/>
    </row>
    <row r="356" spans="8:9">
      <c r="H356" s="1245"/>
      <c r="I356" s="1245"/>
    </row>
    <row r="357" spans="8:9">
      <c r="H357" s="1245"/>
      <c r="I357" s="1245"/>
    </row>
    <row r="358" spans="8:9">
      <c r="H358" s="1245"/>
      <c r="I358" s="1245"/>
    </row>
    <row r="359" spans="8:9">
      <c r="H359" s="1245"/>
      <c r="I359" s="1245"/>
    </row>
    <row r="360" spans="8:9">
      <c r="H360" s="1245"/>
      <c r="I360" s="1245"/>
    </row>
    <row r="361" spans="8:9">
      <c r="H361" s="1245"/>
      <c r="I361" s="1245"/>
    </row>
    <row r="362" spans="8:9">
      <c r="H362" s="1245"/>
      <c r="I362" s="1245"/>
    </row>
    <row r="363" spans="8:9">
      <c r="H363" s="1245"/>
      <c r="I363" s="1245"/>
    </row>
    <row r="364" spans="8:9">
      <c r="H364" s="1245"/>
      <c r="I364" s="1245"/>
    </row>
    <row r="365" spans="8:9">
      <c r="H365" s="1245"/>
      <c r="I365" s="1245"/>
    </row>
    <row r="366" spans="8:9">
      <c r="H366" s="1245"/>
      <c r="I366" s="1245"/>
    </row>
    <row r="367" spans="8:9">
      <c r="H367" s="1245"/>
      <c r="I367" s="1245"/>
    </row>
    <row r="368" spans="8:9">
      <c r="H368" s="1245"/>
      <c r="I368" s="1245"/>
    </row>
    <row r="369" spans="8:9">
      <c r="H369" s="1245"/>
      <c r="I369" s="1245"/>
    </row>
    <row r="370" spans="8:9">
      <c r="H370" s="1245"/>
      <c r="I370" s="1245"/>
    </row>
    <row r="371" spans="8:9">
      <c r="H371" s="1245"/>
      <c r="I371" s="1245"/>
    </row>
    <row r="372" spans="8:9">
      <c r="H372" s="1245"/>
      <c r="I372" s="1245"/>
    </row>
    <row r="373" spans="8:9">
      <c r="H373" s="1245"/>
      <c r="I373" s="1245"/>
    </row>
    <row r="374" spans="8:9">
      <c r="H374" s="1245"/>
      <c r="I374" s="1245"/>
    </row>
    <row r="375" spans="8:9">
      <c r="H375" s="1245"/>
      <c r="I375" s="1245"/>
    </row>
    <row r="376" spans="8:9">
      <c r="H376" s="1245"/>
      <c r="I376" s="1245"/>
    </row>
    <row r="377" spans="8:9">
      <c r="H377" s="1245"/>
      <c r="I377" s="1245"/>
    </row>
    <row r="378" spans="8:9">
      <c r="H378" s="1245"/>
      <c r="I378" s="1245"/>
    </row>
    <row r="379" spans="8:9">
      <c r="H379" s="1245"/>
      <c r="I379" s="1245"/>
    </row>
    <row r="380" spans="8:9">
      <c r="H380" s="1245"/>
      <c r="I380" s="1245"/>
    </row>
    <row r="381" spans="8:9">
      <c r="H381" s="1245"/>
      <c r="I381" s="1245"/>
    </row>
    <row r="382" spans="8:9">
      <c r="H382" s="1245"/>
      <c r="I382" s="1245"/>
    </row>
    <row r="383" spans="8:9">
      <c r="H383" s="1245"/>
      <c r="I383" s="1245"/>
    </row>
    <row r="384" spans="8:9">
      <c r="H384" s="1245"/>
      <c r="I384" s="1245"/>
    </row>
    <row r="385" spans="8:9">
      <c r="H385" s="1245"/>
      <c r="I385" s="1245"/>
    </row>
    <row r="386" spans="8:9">
      <c r="H386" s="1245"/>
      <c r="I386" s="1245"/>
    </row>
    <row r="387" spans="8:9">
      <c r="H387" s="1245"/>
      <c r="I387" s="1245"/>
    </row>
    <row r="388" spans="8:9">
      <c r="H388" s="1245"/>
      <c r="I388" s="1245"/>
    </row>
    <row r="389" spans="8:9">
      <c r="H389" s="1245"/>
      <c r="I389" s="1245"/>
    </row>
    <row r="390" spans="8:9">
      <c r="H390" s="1245"/>
      <c r="I390" s="1245"/>
    </row>
    <row r="391" spans="8:9">
      <c r="H391" s="1245"/>
      <c r="I391" s="1245"/>
    </row>
    <row r="392" spans="8:9">
      <c r="H392" s="1245"/>
      <c r="I392" s="1245"/>
    </row>
    <row r="393" spans="8:9">
      <c r="H393" s="1245"/>
      <c r="I393" s="1245"/>
    </row>
    <row r="394" spans="8:9">
      <c r="H394" s="1245"/>
      <c r="I394" s="1245"/>
    </row>
    <row r="395" spans="8:9">
      <c r="H395" s="1245"/>
      <c r="I395" s="1245"/>
    </row>
    <row r="396" spans="8:9">
      <c r="H396" s="1245"/>
      <c r="I396" s="1245"/>
    </row>
    <row r="397" spans="8:9">
      <c r="H397" s="1245"/>
      <c r="I397" s="1245"/>
    </row>
    <row r="398" spans="8:9">
      <c r="H398" s="1245"/>
      <c r="I398" s="1245"/>
    </row>
    <row r="399" spans="8:9">
      <c r="H399" s="1245"/>
      <c r="I399" s="1245"/>
    </row>
    <row r="400" spans="8:9">
      <c r="H400" s="1245"/>
      <c r="I400" s="1245"/>
    </row>
    <row r="401" spans="8:9">
      <c r="H401" s="1245"/>
      <c r="I401" s="1245"/>
    </row>
    <row r="402" spans="8:9">
      <c r="H402" s="1245"/>
      <c r="I402" s="1245"/>
    </row>
    <row r="403" spans="8:9">
      <c r="H403" s="1245"/>
      <c r="I403" s="1245"/>
    </row>
    <row r="404" spans="8:9">
      <c r="H404" s="1245"/>
      <c r="I404" s="1245"/>
    </row>
    <row r="405" spans="8:9">
      <c r="H405" s="1245"/>
      <c r="I405" s="1245"/>
    </row>
    <row r="406" spans="8:9">
      <c r="H406" s="1245"/>
      <c r="I406" s="1245"/>
    </row>
    <row r="407" spans="8:9">
      <c r="H407" s="1245"/>
      <c r="I407" s="1245"/>
    </row>
    <row r="408" spans="8:9">
      <c r="H408" s="1245"/>
      <c r="I408" s="1245"/>
    </row>
    <row r="409" spans="8:9">
      <c r="H409" s="1245"/>
      <c r="I409" s="1245"/>
    </row>
    <row r="410" spans="8:9">
      <c r="H410" s="1245"/>
      <c r="I410" s="1245"/>
    </row>
    <row r="411" spans="8:9">
      <c r="H411" s="1245"/>
      <c r="I411" s="1245"/>
    </row>
    <row r="412" spans="8:9">
      <c r="H412" s="1245"/>
      <c r="I412" s="1245"/>
    </row>
    <row r="413" spans="8:9">
      <c r="H413" s="1245"/>
      <c r="I413" s="1245"/>
    </row>
    <row r="414" spans="8:9">
      <c r="H414" s="1245"/>
      <c r="I414" s="1245"/>
    </row>
    <row r="415" spans="8:9">
      <c r="H415" s="1245"/>
      <c r="I415" s="1245"/>
    </row>
    <row r="416" spans="8:9">
      <c r="H416" s="1245"/>
      <c r="I416" s="1245"/>
    </row>
    <row r="417" spans="8:9">
      <c r="H417" s="1245"/>
      <c r="I417" s="1245"/>
    </row>
    <row r="418" spans="8:9">
      <c r="H418" s="1245"/>
      <c r="I418" s="1245"/>
    </row>
    <row r="419" spans="8:9">
      <c r="H419" s="1245"/>
      <c r="I419" s="1245"/>
    </row>
    <row r="420" spans="8:9">
      <c r="H420" s="1245"/>
      <c r="I420" s="1245"/>
    </row>
    <row r="421" spans="8:9">
      <c r="H421" s="1245"/>
      <c r="I421" s="1245"/>
    </row>
    <row r="422" spans="8:9">
      <c r="H422" s="1245"/>
      <c r="I422" s="1245"/>
    </row>
    <row r="423" spans="8:9">
      <c r="H423" s="1245"/>
      <c r="I423" s="1245"/>
    </row>
    <row r="424" spans="8:9">
      <c r="H424" s="1245"/>
      <c r="I424" s="1245"/>
    </row>
    <row r="425" spans="8:9">
      <c r="H425" s="1245"/>
      <c r="I425" s="1245"/>
    </row>
    <row r="426" spans="8:9">
      <c r="H426" s="1245"/>
      <c r="I426" s="1245"/>
    </row>
    <row r="427" spans="8:9">
      <c r="H427" s="1245"/>
      <c r="I427" s="1245"/>
    </row>
    <row r="428" spans="8:9">
      <c r="H428" s="1245"/>
      <c r="I428" s="1245"/>
    </row>
    <row r="429" spans="8:9">
      <c r="H429" s="1245"/>
      <c r="I429" s="1245"/>
    </row>
    <row r="430" spans="8:9">
      <c r="H430" s="1245"/>
      <c r="I430" s="1245"/>
    </row>
    <row r="431" spans="8:9">
      <c r="H431" s="1245"/>
      <c r="I431" s="1245"/>
    </row>
    <row r="432" spans="8:9">
      <c r="H432" s="1245"/>
      <c r="I432" s="1245"/>
    </row>
    <row r="433" spans="8:9">
      <c r="H433" s="1245"/>
      <c r="I433" s="1245"/>
    </row>
    <row r="434" spans="8:9">
      <c r="H434" s="1245"/>
      <c r="I434" s="1245"/>
    </row>
    <row r="435" spans="8:9">
      <c r="H435" s="1245"/>
      <c r="I435" s="1245"/>
    </row>
    <row r="436" spans="8:9">
      <c r="H436" s="1245"/>
      <c r="I436" s="1245"/>
    </row>
    <row r="437" spans="8:9">
      <c r="H437" s="1245"/>
      <c r="I437" s="1245"/>
    </row>
    <row r="438" spans="8:9">
      <c r="H438" s="1245"/>
      <c r="I438" s="1245"/>
    </row>
    <row r="439" spans="8:9">
      <c r="H439" s="1245"/>
      <c r="I439" s="1245"/>
    </row>
    <row r="440" spans="8:9">
      <c r="H440" s="1245"/>
      <c r="I440" s="1245"/>
    </row>
    <row r="441" spans="8:9">
      <c r="H441" s="1245"/>
      <c r="I441" s="1245"/>
    </row>
    <row r="442" spans="8:9">
      <c r="H442" s="1245"/>
      <c r="I442" s="1245"/>
    </row>
    <row r="443" spans="8:9">
      <c r="H443" s="1245"/>
      <c r="I443" s="1245"/>
    </row>
    <row r="444" spans="8:9">
      <c r="H444" s="1245"/>
      <c r="I444" s="1245"/>
    </row>
    <row r="445" spans="8:9">
      <c r="H445" s="1245"/>
      <c r="I445" s="1245"/>
    </row>
    <row r="446" spans="8:9">
      <c r="H446" s="1245"/>
      <c r="I446" s="1245"/>
    </row>
    <row r="447" spans="8:9">
      <c r="H447" s="1245"/>
      <c r="I447" s="1245"/>
    </row>
    <row r="448" spans="8:9">
      <c r="H448" s="1245"/>
      <c r="I448" s="1245"/>
    </row>
    <row r="449" spans="8:9">
      <c r="H449" s="1245"/>
      <c r="I449" s="1245"/>
    </row>
    <row r="450" spans="8:9">
      <c r="H450" s="1245"/>
      <c r="I450" s="1245"/>
    </row>
    <row r="451" spans="8:9">
      <c r="H451" s="1245"/>
      <c r="I451" s="1245"/>
    </row>
    <row r="452" spans="8:9">
      <c r="H452" s="1245"/>
      <c r="I452" s="1245"/>
    </row>
    <row r="453" spans="8:9">
      <c r="H453" s="1245"/>
      <c r="I453" s="1245"/>
    </row>
    <row r="454" spans="8:9">
      <c r="H454" s="1245"/>
      <c r="I454" s="1245"/>
    </row>
    <row r="455" spans="8:9">
      <c r="H455" s="1245"/>
      <c r="I455" s="1245"/>
    </row>
    <row r="456" spans="8:9">
      <c r="H456" s="1245"/>
      <c r="I456" s="1245"/>
    </row>
    <row r="457" spans="8:9">
      <c r="H457" s="1245"/>
      <c r="I457" s="1245"/>
    </row>
    <row r="458" spans="8:9">
      <c r="H458" s="1245"/>
      <c r="I458" s="1245"/>
    </row>
    <row r="459" spans="8:9">
      <c r="H459" s="1245"/>
      <c r="I459" s="1245"/>
    </row>
    <row r="460" spans="8:9">
      <c r="H460" s="1245"/>
      <c r="I460" s="1245"/>
    </row>
    <row r="461" spans="8:9">
      <c r="H461" s="1245"/>
      <c r="I461" s="1245"/>
    </row>
    <row r="462" spans="8:9">
      <c r="H462" s="1245"/>
      <c r="I462" s="1245"/>
    </row>
    <row r="463" spans="8:9">
      <c r="H463" s="1245"/>
      <c r="I463" s="1245"/>
    </row>
    <row r="464" spans="8:9">
      <c r="H464" s="1245"/>
      <c r="I464" s="1245"/>
    </row>
    <row r="465" spans="8:9">
      <c r="H465" s="1245"/>
      <c r="I465" s="1245"/>
    </row>
    <row r="466" spans="8:9">
      <c r="H466" s="1245"/>
      <c r="I466" s="1245"/>
    </row>
    <row r="467" spans="8:9">
      <c r="H467" s="1245"/>
      <c r="I467" s="1245"/>
    </row>
    <row r="468" spans="8:9">
      <c r="H468" s="1245"/>
      <c r="I468" s="1245"/>
    </row>
    <row r="469" spans="8:9">
      <c r="H469" s="1245"/>
      <c r="I469" s="1245"/>
    </row>
    <row r="470" spans="8:9">
      <c r="H470" s="1245"/>
      <c r="I470" s="1245"/>
    </row>
    <row r="471" spans="8:9">
      <c r="H471" s="1245"/>
      <c r="I471" s="1245"/>
    </row>
    <row r="472" spans="8:9">
      <c r="H472" s="1245"/>
      <c r="I472" s="1245"/>
    </row>
    <row r="473" spans="8:9">
      <c r="H473" s="1245"/>
      <c r="I473" s="1245"/>
    </row>
    <row r="474" spans="8:9">
      <c r="H474" s="1245"/>
      <c r="I474" s="1245"/>
    </row>
    <row r="475" spans="8:9">
      <c r="H475" s="1245"/>
      <c r="I475" s="1245"/>
    </row>
    <row r="476" spans="8:9">
      <c r="H476" s="1245"/>
      <c r="I476" s="1245"/>
    </row>
    <row r="477" spans="8:9">
      <c r="H477" s="1245"/>
      <c r="I477" s="1245"/>
    </row>
    <row r="478" spans="8:9">
      <c r="H478" s="1245"/>
      <c r="I478" s="1245"/>
    </row>
    <row r="479" spans="8:9">
      <c r="H479" s="1245"/>
      <c r="I479" s="1245"/>
    </row>
    <row r="480" spans="8:9">
      <c r="H480" s="1245"/>
      <c r="I480" s="1245"/>
    </row>
    <row r="481" spans="8:9">
      <c r="H481" s="1245"/>
      <c r="I481" s="1245"/>
    </row>
    <row r="482" spans="8:9">
      <c r="H482" s="1245"/>
      <c r="I482" s="1245"/>
    </row>
    <row r="483" spans="8:9">
      <c r="H483" s="1245"/>
      <c r="I483" s="1245"/>
    </row>
    <row r="484" spans="8:9">
      <c r="H484" s="1245"/>
      <c r="I484" s="1245"/>
    </row>
    <row r="485" spans="8:9">
      <c r="H485" s="1245"/>
      <c r="I485" s="1245"/>
    </row>
    <row r="486" spans="8:9">
      <c r="H486" s="1245"/>
      <c r="I486" s="1245"/>
    </row>
    <row r="487" spans="8:9">
      <c r="H487" s="1245"/>
      <c r="I487" s="1245"/>
    </row>
    <row r="488" spans="8:9">
      <c r="H488" s="1245"/>
      <c r="I488" s="1245"/>
    </row>
    <row r="489" spans="8:9">
      <c r="H489" s="1245"/>
      <c r="I489" s="1245"/>
    </row>
    <row r="490" spans="8:9">
      <c r="H490" s="1245"/>
      <c r="I490" s="1245"/>
    </row>
    <row r="491" spans="8:9">
      <c r="H491" s="1245"/>
      <c r="I491" s="1245"/>
    </row>
    <row r="492" spans="8:9">
      <c r="H492" s="1245"/>
      <c r="I492" s="1245"/>
    </row>
    <row r="493" spans="8:9">
      <c r="H493" s="1245"/>
      <c r="I493" s="1245"/>
    </row>
    <row r="494" spans="8:9">
      <c r="H494" s="1245"/>
      <c r="I494" s="1245"/>
    </row>
    <row r="495" spans="8:9">
      <c r="H495" s="1245"/>
      <c r="I495" s="1245"/>
    </row>
    <row r="496" spans="8:9">
      <c r="H496" s="1245"/>
      <c r="I496" s="1245"/>
    </row>
    <row r="497" spans="8:9">
      <c r="H497" s="1245"/>
      <c r="I497" s="1245"/>
    </row>
    <row r="498" spans="8:9">
      <c r="H498" s="1245"/>
      <c r="I498" s="1245"/>
    </row>
    <row r="499" spans="8:9">
      <c r="H499" s="1245"/>
      <c r="I499" s="1245"/>
    </row>
    <row r="500" spans="8:9">
      <c r="H500" s="1245"/>
      <c r="I500" s="1245"/>
    </row>
    <row r="501" spans="8:9">
      <c r="H501" s="1245"/>
      <c r="I501" s="1245"/>
    </row>
    <row r="502" spans="8:9">
      <c r="H502" s="1245"/>
      <c r="I502" s="1245"/>
    </row>
    <row r="503" spans="8:9">
      <c r="H503" s="1245"/>
      <c r="I503" s="1245"/>
    </row>
    <row r="504" spans="8:9">
      <c r="H504" s="1245"/>
      <c r="I504" s="1245"/>
    </row>
    <row r="505" spans="8:9">
      <c r="H505" s="1245"/>
      <c r="I505" s="1245"/>
    </row>
    <row r="506" spans="8:9">
      <c r="H506" s="1245"/>
      <c r="I506" s="1245"/>
    </row>
    <row r="507" spans="8:9">
      <c r="H507" s="1245"/>
      <c r="I507" s="1245"/>
    </row>
    <row r="508" spans="8:9">
      <c r="H508" s="1245"/>
      <c r="I508" s="1245"/>
    </row>
    <row r="509" spans="8:9">
      <c r="H509" s="1245"/>
      <c r="I509" s="1245"/>
    </row>
    <row r="510" spans="8:9">
      <c r="H510" s="1245"/>
      <c r="I510" s="1245"/>
    </row>
    <row r="511" spans="8:9">
      <c r="H511" s="1245"/>
      <c r="I511" s="1245"/>
    </row>
    <row r="512" spans="8:9">
      <c r="H512" s="1245"/>
      <c r="I512" s="1245"/>
    </row>
    <row r="513" spans="8:9">
      <c r="H513" s="1245"/>
      <c r="I513" s="1245"/>
    </row>
    <row r="514" spans="8:9">
      <c r="H514" s="1245"/>
      <c r="I514" s="1245"/>
    </row>
    <row r="515" spans="8:9">
      <c r="H515" s="1245"/>
      <c r="I515" s="1245"/>
    </row>
    <row r="516" spans="8:9">
      <c r="H516" s="1245"/>
      <c r="I516" s="1245"/>
    </row>
    <row r="517" spans="8:9">
      <c r="H517" s="1245"/>
      <c r="I517" s="1245"/>
    </row>
    <row r="518" spans="8:9">
      <c r="H518" s="1245"/>
      <c r="I518" s="1245"/>
    </row>
    <row r="519" spans="8:9">
      <c r="H519" s="1245"/>
      <c r="I519" s="1245"/>
    </row>
    <row r="520" spans="8:9">
      <c r="H520" s="1245"/>
      <c r="I520" s="1245"/>
    </row>
    <row r="521" spans="8:9">
      <c r="H521" s="1245"/>
      <c r="I521" s="1245"/>
    </row>
    <row r="522" spans="8:9">
      <c r="H522" s="1245"/>
      <c r="I522" s="1245"/>
    </row>
    <row r="523" spans="8:9">
      <c r="H523" s="1245"/>
      <c r="I523" s="1245"/>
    </row>
    <row r="524" spans="8:9">
      <c r="H524" s="1245"/>
      <c r="I524" s="1245"/>
    </row>
    <row r="525" spans="8:9">
      <c r="H525" s="1245"/>
      <c r="I525" s="1245"/>
    </row>
    <row r="526" spans="8:9">
      <c r="H526" s="1245"/>
      <c r="I526" s="1245"/>
    </row>
    <row r="527" spans="8:9">
      <c r="H527" s="1245"/>
      <c r="I527" s="1245"/>
    </row>
    <row r="528" spans="8:9">
      <c r="H528" s="1245"/>
      <c r="I528" s="1245"/>
    </row>
    <row r="529" spans="8:9">
      <c r="H529" s="1245"/>
      <c r="I529" s="1245"/>
    </row>
    <row r="530" spans="8:9">
      <c r="H530" s="1245"/>
      <c r="I530" s="1245"/>
    </row>
    <row r="531" spans="8:9">
      <c r="H531" s="1245"/>
      <c r="I531" s="1245"/>
    </row>
    <row r="532" spans="8:9">
      <c r="H532" s="1245"/>
      <c r="I532" s="1245"/>
    </row>
    <row r="533" spans="8:9">
      <c r="H533" s="1245"/>
      <c r="I533" s="1245"/>
    </row>
    <row r="534" spans="8:9">
      <c r="H534" s="1245"/>
      <c r="I534" s="1245"/>
    </row>
    <row r="535" spans="8:9">
      <c r="H535" s="1245"/>
      <c r="I535" s="1245"/>
    </row>
    <row r="536" spans="8:9">
      <c r="H536" s="1245"/>
      <c r="I536" s="1245"/>
    </row>
    <row r="537" spans="8:9">
      <c r="H537" s="1245"/>
      <c r="I537" s="1245"/>
    </row>
    <row r="538" spans="8:9">
      <c r="H538" s="1245"/>
      <c r="I538" s="1245"/>
    </row>
    <row r="539" spans="8:9">
      <c r="H539" s="1245"/>
      <c r="I539" s="1245"/>
    </row>
    <row r="540" spans="8:9">
      <c r="H540" s="1245"/>
      <c r="I540" s="1245"/>
    </row>
    <row r="541" spans="8:9">
      <c r="H541" s="1245"/>
      <c r="I541" s="1245"/>
    </row>
    <row r="542" spans="8:9">
      <c r="H542" s="1245"/>
      <c r="I542" s="1245"/>
    </row>
    <row r="543" spans="8:9">
      <c r="H543" s="1245"/>
      <c r="I543" s="1245"/>
    </row>
    <row r="544" spans="8:9">
      <c r="H544" s="1245"/>
      <c r="I544" s="1245"/>
    </row>
    <row r="545" spans="8:9">
      <c r="H545" s="1245"/>
      <c r="I545" s="1245"/>
    </row>
    <row r="546" spans="8:9">
      <c r="H546" s="1245"/>
      <c r="I546" s="1245"/>
    </row>
    <row r="547" spans="8:9">
      <c r="H547" s="1245"/>
      <c r="I547" s="1245"/>
    </row>
    <row r="548" spans="8:9">
      <c r="H548" s="1245"/>
      <c r="I548" s="1245"/>
    </row>
    <row r="549" spans="8:9">
      <c r="H549" s="1245"/>
      <c r="I549" s="1245"/>
    </row>
    <row r="550" spans="8:9">
      <c r="H550" s="1245"/>
      <c r="I550" s="1245"/>
    </row>
    <row r="551" spans="8:9">
      <c r="H551" s="1245"/>
      <c r="I551" s="1245"/>
    </row>
    <row r="552" spans="8:9">
      <c r="H552" s="1245"/>
      <c r="I552" s="1245"/>
    </row>
    <row r="553" spans="8:9">
      <c r="H553" s="1245"/>
      <c r="I553" s="1245"/>
    </row>
    <row r="554" spans="8:9">
      <c r="H554" s="1245"/>
      <c r="I554" s="1245"/>
    </row>
    <row r="555" spans="8:9">
      <c r="H555" s="1245"/>
      <c r="I555" s="1245"/>
    </row>
    <row r="556" spans="8:9">
      <c r="H556" s="1245"/>
      <c r="I556" s="1245"/>
    </row>
    <row r="557" spans="8:9">
      <c r="H557" s="1245"/>
      <c r="I557" s="1245"/>
    </row>
    <row r="558" spans="8:9">
      <c r="H558" s="1245"/>
      <c r="I558" s="1245"/>
    </row>
    <row r="559" spans="8:9">
      <c r="H559" s="1245"/>
      <c r="I559" s="1245"/>
    </row>
    <row r="560" spans="8:9">
      <c r="H560" s="1245"/>
      <c r="I560" s="1245"/>
    </row>
    <row r="561" spans="8:9">
      <c r="H561" s="1245"/>
      <c r="I561" s="1245"/>
    </row>
    <row r="562" spans="8:9">
      <c r="H562" s="1245"/>
      <c r="I562" s="1245"/>
    </row>
    <row r="563" spans="8:9">
      <c r="H563" s="1245"/>
      <c r="I563" s="1245"/>
    </row>
    <row r="564" spans="8:9">
      <c r="H564" s="1245"/>
      <c r="I564" s="1245"/>
    </row>
    <row r="565" spans="8:9">
      <c r="H565" s="1245"/>
      <c r="I565" s="1245"/>
    </row>
    <row r="566" spans="8:9">
      <c r="H566" s="1245"/>
      <c r="I566" s="1245"/>
    </row>
    <row r="567" spans="8:9">
      <c r="H567" s="1245"/>
      <c r="I567" s="1245"/>
    </row>
    <row r="568" spans="8:9">
      <c r="H568" s="1245"/>
      <c r="I568" s="1245"/>
    </row>
    <row r="569" spans="8:9">
      <c r="H569" s="1245"/>
      <c r="I569" s="1245"/>
    </row>
    <row r="570" spans="8:9">
      <c r="H570" s="1245"/>
      <c r="I570" s="1245"/>
    </row>
    <row r="571" spans="8:9">
      <c r="H571" s="1245"/>
      <c r="I571" s="1245"/>
    </row>
    <row r="572" spans="8:9">
      <c r="H572" s="1245"/>
      <c r="I572" s="1245"/>
    </row>
    <row r="573" spans="8:9">
      <c r="H573" s="1245"/>
      <c r="I573" s="1245"/>
    </row>
    <row r="574" spans="8:9">
      <c r="H574" s="1245"/>
      <c r="I574" s="1245"/>
    </row>
    <row r="575" spans="8:9">
      <c r="H575" s="1245"/>
      <c r="I575" s="1245"/>
    </row>
    <row r="576" spans="8:9">
      <c r="H576" s="1245"/>
      <c r="I576" s="1245"/>
    </row>
    <row r="577" spans="8:9">
      <c r="H577" s="1245"/>
      <c r="I577" s="1245"/>
    </row>
    <row r="578" spans="8:9">
      <c r="H578" s="1245"/>
      <c r="I578" s="1245"/>
    </row>
    <row r="579" spans="8:9">
      <c r="H579" s="1245"/>
      <c r="I579" s="1245"/>
    </row>
    <row r="580" spans="8:9">
      <c r="H580" s="1245"/>
      <c r="I580" s="1245"/>
    </row>
    <row r="581" spans="8:9">
      <c r="H581" s="1245"/>
      <c r="I581" s="1245"/>
    </row>
    <row r="582" spans="8:9">
      <c r="H582" s="1245"/>
      <c r="I582" s="1245"/>
    </row>
    <row r="583" spans="8:9">
      <c r="H583" s="1245"/>
      <c r="I583" s="1245"/>
    </row>
    <row r="584" spans="8:9">
      <c r="H584" s="1245"/>
      <c r="I584" s="1245"/>
    </row>
    <row r="585" spans="8:9">
      <c r="H585" s="1245"/>
      <c r="I585" s="1245"/>
    </row>
    <row r="586" spans="8:9">
      <c r="H586" s="1245"/>
      <c r="I586" s="1245"/>
    </row>
    <row r="587" spans="8:9">
      <c r="H587" s="1245"/>
      <c r="I587" s="1245"/>
    </row>
    <row r="588" spans="8:9">
      <c r="H588" s="1245"/>
      <c r="I588" s="1245"/>
    </row>
    <row r="589" spans="8:9">
      <c r="H589" s="1245"/>
      <c r="I589" s="1245"/>
    </row>
    <row r="590" spans="8:9">
      <c r="H590" s="1245"/>
      <c r="I590" s="1245"/>
    </row>
    <row r="591" spans="8:9">
      <c r="H591" s="1245"/>
      <c r="I591" s="1245"/>
    </row>
    <row r="592" spans="8:9">
      <c r="H592" s="1245"/>
      <c r="I592" s="1245"/>
    </row>
    <row r="593" spans="8:9">
      <c r="H593" s="1245"/>
      <c r="I593" s="1245"/>
    </row>
    <row r="594" spans="8:9">
      <c r="H594" s="1245"/>
      <c r="I594" s="1245"/>
    </row>
    <row r="595" spans="8:9">
      <c r="H595" s="1245"/>
      <c r="I595" s="1245"/>
    </row>
    <row r="596" spans="8:9">
      <c r="H596" s="1245"/>
      <c r="I596" s="1245"/>
    </row>
    <row r="597" spans="8:9">
      <c r="H597" s="1245"/>
      <c r="I597" s="1245"/>
    </row>
    <row r="598" spans="8:9">
      <c r="H598" s="1245"/>
      <c r="I598" s="1245"/>
    </row>
    <row r="599" spans="8:9">
      <c r="H599" s="1245"/>
      <c r="I599" s="1245"/>
    </row>
    <row r="600" spans="8:9">
      <c r="H600" s="1245"/>
      <c r="I600" s="1245"/>
    </row>
    <row r="601" spans="8:9">
      <c r="H601" s="1245"/>
      <c r="I601" s="1245"/>
    </row>
    <row r="602" spans="8:9">
      <c r="H602" s="1245"/>
      <c r="I602" s="1245"/>
    </row>
    <row r="603" spans="8:9">
      <c r="H603" s="1245"/>
      <c r="I603" s="1245"/>
    </row>
    <row r="604" spans="8:9">
      <c r="H604" s="1245"/>
      <c r="I604" s="1245"/>
    </row>
    <row r="605" spans="8:9">
      <c r="H605" s="1245"/>
      <c r="I605" s="1245"/>
    </row>
    <row r="606" spans="8:9">
      <c r="H606" s="1245"/>
      <c r="I606" s="1245"/>
    </row>
    <row r="607" spans="8:9">
      <c r="H607" s="1245"/>
      <c r="I607" s="1245"/>
    </row>
    <row r="608" spans="8:9">
      <c r="H608" s="1245"/>
      <c r="I608" s="1245"/>
    </row>
    <row r="609" spans="8:9">
      <c r="H609" s="1245"/>
      <c r="I609" s="1245"/>
    </row>
    <row r="610" spans="8:9">
      <c r="H610" s="1245"/>
      <c r="I610" s="1245"/>
    </row>
    <row r="611" spans="8:9">
      <c r="H611" s="1245"/>
      <c r="I611" s="1245"/>
    </row>
    <row r="612" spans="8:9">
      <c r="H612" s="1245"/>
      <c r="I612" s="1245"/>
    </row>
    <row r="613" spans="8:9">
      <c r="H613" s="1245"/>
      <c r="I613" s="1245"/>
    </row>
    <row r="614" spans="8:9">
      <c r="H614" s="1245"/>
      <c r="I614" s="1245"/>
    </row>
    <row r="615" spans="8:9">
      <c r="H615" s="1245"/>
      <c r="I615" s="1245"/>
    </row>
    <row r="616" spans="8:9">
      <c r="H616" s="1245"/>
      <c r="I616" s="1245"/>
    </row>
    <row r="617" spans="8:9">
      <c r="H617" s="1245"/>
      <c r="I617" s="1245"/>
    </row>
    <row r="618" spans="8:9">
      <c r="H618" s="1245"/>
      <c r="I618" s="1245"/>
    </row>
    <row r="619" spans="8:9">
      <c r="H619" s="1245"/>
      <c r="I619" s="1245"/>
    </row>
    <row r="620" spans="8:9">
      <c r="H620" s="1245"/>
      <c r="I620" s="1245"/>
    </row>
    <row r="621" spans="8:9">
      <c r="H621" s="1245"/>
      <c r="I621" s="1245"/>
    </row>
    <row r="622" spans="8:9">
      <c r="H622" s="1245"/>
      <c r="I622" s="1245"/>
    </row>
    <row r="623" spans="8:9">
      <c r="H623" s="1245"/>
      <c r="I623" s="1245"/>
    </row>
    <row r="624" spans="8:9">
      <c r="H624" s="1245"/>
      <c r="I624" s="1245"/>
    </row>
    <row r="625" spans="8:9">
      <c r="H625" s="1245"/>
      <c r="I625" s="1245"/>
    </row>
    <row r="626" spans="8:9">
      <c r="H626" s="1245"/>
      <c r="I626" s="1245"/>
    </row>
    <row r="627" spans="8:9">
      <c r="H627" s="1245"/>
      <c r="I627" s="1245"/>
    </row>
    <row r="628" spans="8:9">
      <c r="H628" s="1245"/>
      <c r="I628" s="1245"/>
    </row>
    <row r="629" spans="8:9">
      <c r="H629" s="1245"/>
      <c r="I629" s="1245"/>
    </row>
    <row r="630" spans="8:9">
      <c r="H630" s="1245"/>
      <c r="I630" s="1245"/>
    </row>
    <row r="631" spans="8:9">
      <c r="H631" s="1245"/>
      <c r="I631" s="1245"/>
    </row>
    <row r="632" spans="8:9">
      <c r="H632" s="1245"/>
      <c r="I632" s="1245"/>
    </row>
    <row r="633" spans="8:9">
      <c r="H633" s="1245"/>
      <c r="I633" s="1245"/>
    </row>
    <row r="634" spans="8:9">
      <c r="H634" s="1245"/>
      <c r="I634" s="1245"/>
    </row>
    <row r="635" spans="8:9">
      <c r="H635" s="1245"/>
      <c r="I635" s="1245"/>
    </row>
    <row r="636" spans="8:9">
      <c r="H636" s="1245"/>
      <c r="I636" s="1245"/>
    </row>
    <row r="637" spans="8:9">
      <c r="H637" s="1245"/>
      <c r="I637" s="1245"/>
    </row>
    <row r="638" spans="8:9">
      <c r="H638" s="1245"/>
      <c r="I638" s="1245"/>
    </row>
    <row r="639" spans="8:9">
      <c r="H639" s="1245"/>
      <c r="I639" s="1245"/>
    </row>
    <row r="640" spans="8:9">
      <c r="H640" s="1245"/>
      <c r="I640" s="1245"/>
    </row>
    <row r="641" spans="8:9">
      <c r="H641" s="1245"/>
      <c r="I641" s="1245"/>
    </row>
    <row r="642" spans="8:9">
      <c r="H642" s="1245"/>
      <c r="I642" s="1245"/>
    </row>
    <row r="643" spans="8:9">
      <c r="H643" s="1245"/>
      <c r="I643" s="1245"/>
    </row>
    <row r="644" spans="8:9">
      <c r="H644" s="1245"/>
      <c r="I644" s="1245"/>
    </row>
    <row r="645" spans="8:9">
      <c r="H645" s="1245"/>
      <c r="I645" s="1245"/>
    </row>
    <row r="646" spans="8:9">
      <c r="H646" s="1245"/>
      <c r="I646" s="1245"/>
    </row>
    <row r="647" spans="8:9">
      <c r="H647" s="1245"/>
      <c r="I647" s="1245"/>
    </row>
    <row r="648" spans="8:9">
      <c r="H648" s="1245"/>
      <c r="I648" s="1245"/>
    </row>
    <row r="649" spans="8:9">
      <c r="H649" s="1245"/>
      <c r="I649" s="1245"/>
    </row>
    <row r="650" spans="8:9">
      <c r="H650" s="1245"/>
      <c r="I650" s="1245"/>
    </row>
    <row r="651" spans="8:9">
      <c r="H651" s="1245"/>
      <c r="I651" s="1245"/>
    </row>
    <row r="652" spans="8:9">
      <c r="H652" s="1245"/>
      <c r="I652" s="1245"/>
    </row>
    <row r="653" spans="8:9">
      <c r="H653" s="1245"/>
      <c r="I653" s="1245"/>
    </row>
    <row r="654" spans="8:9">
      <c r="H654" s="1245"/>
      <c r="I654" s="1245"/>
    </row>
    <row r="655" spans="8:9">
      <c r="H655" s="1245"/>
      <c r="I655" s="1245"/>
    </row>
    <row r="656" spans="8:9">
      <c r="H656" s="1245"/>
      <c r="I656" s="1245"/>
    </row>
    <row r="657" spans="8:9">
      <c r="H657" s="1245"/>
      <c r="I657" s="1245"/>
    </row>
    <row r="658" spans="8:9">
      <c r="H658" s="1245"/>
      <c r="I658" s="1245"/>
    </row>
    <row r="659" spans="8:9">
      <c r="H659" s="1245"/>
      <c r="I659" s="1245"/>
    </row>
    <row r="660" spans="8:9">
      <c r="H660" s="1245"/>
      <c r="I660" s="1245"/>
    </row>
    <row r="661" spans="8:9">
      <c r="H661" s="1245"/>
      <c r="I661" s="1245"/>
    </row>
    <row r="662" spans="8:9">
      <c r="H662" s="1245"/>
      <c r="I662" s="1245"/>
    </row>
    <row r="663" spans="8:9">
      <c r="H663" s="1245"/>
      <c r="I663" s="1245"/>
    </row>
    <row r="664" spans="8:9">
      <c r="H664" s="1245"/>
      <c r="I664" s="1245"/>
    </row>
    <row r="665" spans="8:9">
      <c r="H665" s="1245"/>
      <c r="I665" s="1245"/>
    </row>
    <row r="666" spans="8:9">
      <c r="H666" s="1245"/>
      <c r="I666" s="1245"/>
    </row>
    <row r="667" spans="8:9">
      <c r="H667" s="1245"/>
      <c r="I667" s="1245"/>
    </row>
    <row r="668" spans="8:9">
      <c r="H668" s="1245"/>
      <c r="I668" s="1245"/>
    </row>
    <row r="669" spans="8:9">
      <c r="H669" s="1245"/>
      <c r="I669" s="1245"/>
    </row>
    <row r="670" spans="8:9">
      <c r="H670" s="1245"/>
      <c r="I670" s="1245"/>
    </row>
    <row r="671" spans="8:9">
      <c r="H671" s="1245"/>
      <c r="I671" s="1245"/>
    </row>
    <row r="672" spans="8:9">
      <c r="H672" s="1245"/>
      <c r="I672" s="1245"/>
    </row>
    <row r="673" spans="8:9">
      <c r="H673" s="1245"/>
      <c r="I673" s="1245"/>
    </row>
    <row r="674" spans="8:9">
      <c r="H674" s="1245"/>
      <c r="I674" s="1245"/>
    </row>
    <row r="675" spans="8:9">
      <c r="H675" s="1245"/>
      <c r="I675" s="1245"/>
    </row>
    <row r="676" spans="8:9">
      <c r="H676" s="1245"/>
      <c r="I676" s="1245"/>
    </row>
    <row r="677" spans="8:9">
      <c r="H677" s="1245"/>
      <c r="I677" s="1245"/>
    </row>
    <row r="678" spans="8:9">
      <c r="H678" s="1245"/>
      <c r="I678" s="1245"/>
    </row>
    <row r="679" spans="8:9">
      <c r="H679" s="1245"/>
      <c r="I679" s="1245"/>
    </row>
    <row r="680" spans="8:9">
      <c r="H680" s="1245"/>
      <c r="I680" s="1245"/>
    </row>
    <row r="681" spans="8:9">
      <c r="H681" s="1245"/>
      <c r="I681" s="1245"/>
    </row>
    <row r="682" spans="8:9">
      <c r="H682" s="1245"/>
      <c r="I682" s="1245"/>
    </row>
    <row r="683" spans="8:9">
      <c r="H683" s="1245"/>
      <c r="I683" s="1245"/>
    </row>
    <row r="684" spans="8:9">
      <c r="H684" s="1245"/>
      <c r="I684" s="1245"/>
    </row>
    <row r="685" spans="8:9">
      <c r="H685" s="1245"/>
      <c r="I685" s="1245"/>
    </row>
    <row r="686" spans="8:9">
      <c r="H686" s="1245"/>
      <c r="I686" s="1245"/>
    </row>
    <row r="687" spans="8:9">
      <c r="H687" s="1245"/>
      <c r="I687" s="1245"/>
    </row>
    <row r="688" spans="8:9">
      <c r="H688" s="1245"/>
      <c r="I688" s="1245"/>
    </row>
    <row r="689" spans="8:9">
      <c r="H689" s="1245"/>
      <c r="I689" s="1245"/>
    </row>
    <row r="690" spans="8:9">
      <c r="H690" s="1245"/>
      <c r="I690" s="1245"/>
    </row>
    <row r="691" spans="8:9">
      <c r="H691" s="1245"/>
      <c r="I691" s="1245"/>
    </row>
    <row r="692" spans="8:9">
      <c r="H692" s="1245"/>
      <c r="I692" s="1245"/>
    </row>
    <row r="693" spans="8:9">
      <c r="H693" s="1245"/>
      <c r="I693" s="1245"/>
    </row>
    <row r="694" spans="8:9">
      <c r="H694" s="1245"/>
      <c r="I694" s="1245"/>
    </row>
    <row r="695" spans="8:9">
      <c r="H695" s="1245"/>
      <c r="I695" s="1245"/>
    </row>
    <row r="696" spans="8:9">
      <c r="H696" s="1245"/>
      <c r="I696" s="1245"/>
    </row>
    <row r="697" spans="8:9">
      <c r="H697" s="1245"/>
      <c r="I697" s="1245"/>
    </row>
    <row r="698" spans="8:9">
      <c r="H698" s="1245"/>
      <c r="I698" s="1245"/>
    </row>
    <row r="699" spans="8:9">
      <c r="H699" s="1245"/>
      <c r="I699" s="1245"/>
    </row>
    <row r="700" spans="8:9">
      <c r="H700" s="1245"/>
      <c r="I700" s="1245"/>
    </row>
    <row r="701" spans="8:9">
      <c r="H701" s="1245"/>
      <c r="I701" s="1245"/>
    </row>
    <row r="702" spans="8:9">
      <c r="H702" s="1245"/>
      <c r="I702" s="1245"/>
    </row>
    <row r="703" spans="8:9">
      <c r="H703" s="1245"/>
      <c r="I703" s="1245"/>
    </row>
    <row r="704" spans="8:9">
      <c r="H704" s="1245"/>
      <c r="I704" s="1245"/>
    </row>
    <row r="705" spans="8:9">
      <c r="H705" s="1245"/>
      <c r="I705" s="1245"/>
    </row>
    <row r="706" spans="8:9">
      <c r="H706" s="1245"/>
      <c r="I706" s="1245"/>
    </row>
    <row r="707" spans="8:9">
      <c r="H707" s="1245"/>
      <c r="I707" s="1245"/>
    </row>
    <row r="708" spans="8:9">
      <c r="H708" s="1245"/>
      <c r="I708" s="1245"/>
    </row>
    <row r="709" spans="8:9">
      <c r="H709" s="1245"/>
      <c r="I709" s="1245"/>
    </row>
    <row r="710" spans="8:9">
      <c r="H710" s="1245"/>
      <c r="I710" s="1245"/>
    </row>
    <row r="711" spans="8:9">
      <c r="H711" s="1245"/>
      <c r="I711" s="1245"/>
    </row>
    <row r="712" spans="8:9">
      <c r="H712" s="1245"/>
      <c r="I712" s="1245"/>
    </row>
    <row r="713" spans="8:9">
      <c r="H713" s="1245"/>
      <c r="I713" s="1245"/>
    </row>
    <row r="714" spans="8:9">
      <c r="H714" s="1245"/>
      <c r="I714" s="1245"/>
    </row>
    <row r="715" spans="8:9">
      <c r="H715" s="1245"/>
      <c r="I715" s="1245"/>
    </row>
    <row r="716" spans="8:9">
      <c r="H716" s="1245"/>
      <c r="I716" s="1245"/>
    </row>
    <row r="717" spans="8:9">
      <c r="H717" s="1245"/>
      <c r="I717" s="1245"/>
    </row>
    <row r="718" spans="8:9">
      <c r="H718" s="1245"/>
      <c r="I718" s="1245"/>
    </row>
    <row r="719" spans="8:9">
      <c r="H719" s="1245"/>
      <c r="I719" s="1245"/>
    </row>
    <row r="720" spans="8:9">
      <c r="H720" s="1245"/>
      <c r="I720" s="1245"/>
    </row>
    <row r="721" spans="8:9">
      <c r="H721" s="1245"/>
      <c r="I721" s="1245"/>
    </row>
    <row r="722" spans="8:9">
      <c r="H722" s="1245"/>
      <c r="I722" s="1245"/>
    </row>
    <row r="723" spans="8:9">
      <c r="H723" s="1245"/>
      <c r="I723" s="1245"/>
    </row>
    <row r="724" spans="8:9">
      <c r="H724" s="1245"/>
      <c r="I724" s="1245"/>
    </row>
    <row r="725" spans="8:9">
      <c r="H725" s="1245"/>
      <c r="I725" s="1245"/>
    </row>
    <row r="726" spans="8:9">
      <c r="H726" s="1245"/>
      <c r="I726" s="1245"/>
    </row>
    <row r="727" spans="8:9">
      <c r="H727" s="1245"/>
      <c r="I727" s="1245"/>
    </row>
    <row r="728" spans="8:9">
      <c r="H728" s="1245"/>
      <c r="I728" s="1245"/>
    </row>
    <row r="729" spans="8:9">
      <c r="H729" s="1245"/>
      <c r="I729" s="1245"/>
    </row>
    <row r="730" spans="8:9">
      <c r="H730" s="1245"/>
      <c r="I730" s="1245"/>
    </row>
    <row r="731" spans="8:9">
      <c r="H731" s="1245"/>
      <c r="I731" s="1245"/>
    </row>
    <row r="732" spans="8:9">
      <c r="H732" s="1245"/>
      <c r="I732" s="1245"/>
    </row>
    <row r="733" spans="8:9">
      <c r="H733" s="1245"/>
      <c r="I733" s="1245"/>
    </row>
    <row r="734" spans="8:9">
      <c r="H734" s="1245"/>
      <c r="I734" s="1245"/>
    </row>
    <row r="735" spans="8:9">
      <c r="H735" s="1245"/>
      <c r="I735" s="1245"/>
    </row>
    <row r="736" spans="8:9">
      <c r="H736" s="1245"/>
      <c r="I736" s="1245"/>
    </row>
    <row r="737" spans="8:9">
      <c r="H737" s="1245"/>
      <c r="I737" s="1245"/>
    </row>
    <row r="738" spans="8:9">
      <c r="H738" s="1245"/>
      <c r="I738" s="1245"/>
    </row>
    <row r="739" spans="8:9">
      <c r="H739" s="1245"/>
      <c r="I739" s="1245"/>
    </row>
    <row r="740" spans="8:9">
      <c r="H740" s="1245"/>
      <c r="I740" s="1245"/>
    </row>
    <row r="741" spans="8:9">
      <c r="H741" s="1245"/>
      <c r="I741" s="1245"/>
    </row>
    <row r="742" spans="8:9">
      <c r="H742" s="1245"/>
      <c r="I742" s="1245"/>
    </row>
    <row r="743" spans="8:9">
      <c r="H743" s="1245"/>
      <c r="I743" s="1245"/>
    </row>
    <row r="744" spans="8:9">
      <c r="H744" s="1245"/>
      <c r="I744" s="1245"/>
    </row>
    <row r="745" spans="8:9">
      <c r="H745" s="1245"/>
      <c r="I745" s="1245"/>
    </row>
    <row r="746" spans="8:9">
      <c r="H746" s="1245"/>
      <c r="I746" s="1245"/>
    </row>
    <row r="747" spans="8:9">
      <c r="H747" s="1245"/>
      <c r="I747" s="1245"/>
    </row>
    <row r="748" spans="8:9">
      <c r="H748" s="1245"/>
      <c r="I748" s="1245"/>
    </row>
    <row r="749" spans="8:9">
      <c r="H749" s="1245"/>
      <c r="I749" s="1245"/>
    </row>
    <row r="750" spans="8:9">
      <c r="H750" s="1245"/>
      <c r="I750" s="1245"/>
    </row>
    <row r="751" spans="8:9">
      <c r="H751" s="1245"/>
      <c r="I751" s="1245"/>
    </row>
    <row r="752" spans="8:9">
      <c r="H752" s="1245"/>
      <c r="I752" s="1245"/>
    </row>
    <row r="753" spans="8:9">
      <c r="H753" s="1245"/>
      <c r="I753" s="1245"/>
    </row>
    <row r="754" spans="8:9">
      <c r="H754" s="1245"/>
      <c r="I754" s="1245"/>
    </row>
    <row r="755" spans="8:9">
      <c r="H755" s="1245"/>
      <c r="I755" s="1245"/>
    </row>
    <row r="756" spans="8:9">
      <c r="H756" s="1245"/>
      <c r="I756" s="1245"/>
    </row>
    <row r="757" spans="8:9">
      <c r="H757" s="1245"/>
      <c r="I757" s="1245"/>
    </row>
    <row r="758" spans="8:9">
      <c r="H758" s="1245"/>
      <c r="I758" s="1245"/>
    </row>
    <row r="759" spans="8:9">
      <c r="H759" s="1245"/>
      <c r="I759" s="1245"/>
    </row>
    <row r="760" spans="8:9">
      <c r="H760" s="1245"/>
      <c r="I760" s="1245"/>
    </row>
    <row r="761" spans="8:9">
      <c r="H761" s="1245"/>
      <c r="I761" s="1245"/>
    </row>
    <row r="762" spans="8:9">
      <c r="H762" s="1245"/>
      <c r="I762" s="1245"/>
    </row>
    <row r="763" spans="8:9">
      <c r="H763" s="1245"/>
      <c r="I763" s="1245"/>
    </row>
    <row r="764" spans="8:9">
      <c r="H764" s="1245"/>
      <c r="I764" s="1245"/>
    </row>
    <row r="765" spans="8:9">
      <c r="H765" s="1245"/>
      <c r="I765" s="1245"/>
    </row>
    <row r="766" spans="8:9">
      <c r="H766" s="1245"/>
      <c r="I766" s="1245"/>
    </row>
    <row r="767" spans="8:9">
      <c r="H767" s="1245"/>
      <c r="I767" s="1245"/>
    </row>
    <row r="768" spans="8:9">
      <c r="H768" s="1245"/>
      <c r="I768" s="1245"/>
    </row>
    <row r="769" spans="8:9">
      <c r="H769" s="1245"/>
      <c r="I769" s="1245"/>
    </row>
    <row r="770" spans="8:9">
      <c r="H770" s="1245"/>
      <c r="I770" s="1245"/>
    </row>
    <row r="771" spans="8:9">
      <c r="H771" s="1245"/>
      <c r="I771" s="1245"/>
    </row>
    <row r="772" spans="8:9">
      <c r="H772" s="1245"/>
      <c r="I772" s="1245"/>
    </row>
    <row r="773" spans="8:9">
      <c r="H773" s="1245"/>
      <c r="I773" s="1245"/>
    </row>
    <row r="774" spans="8:9">
      <c r="H774" s="1245"/>
      <c r="I774" s="1245"/>
    </row>
    <row r="775" spans="8:9">
      <c r="H775" s="1245"/>
      <c r="I775" s="1245"/>
    </row>
    <row r="776" spans="8:9">
      <c r="H776" s="1245"/>
      <c r="I776" s="1245"/>
    </row>
    <row r="777" spans="8:9">
      <c r="H777" s="1245"/>
      <c r="I777" s="1245"/>
    </row>
    <row r="778" spans="8:9">
      <c r="H778" s="1245"/>
      <c r="I778" s="1245"/>
    </row>
    <row r="779" spans="8:9">
      <c r="H779" s="1245"/>
      <c r="I779" s="1245"/>
    </row>
    <row r="780" spans="8:9">
      <c r="H780" s="1245"/>
      <c r="I780" s="1245"/>
    </row>
    <row r="781" spans="8:9">
      <c r="H781" s="1245"/>
      <c r="I781" s="1245"/>
    </row>
    <row r="782" spans="8:9">
      <c r="H782" s="1245"/>
      <c r="I782" s="1245"/>
    </row>
    <row r="783" spans="8:9">
      <c r="H783" s="1245"/>
      <c r="I783" s="1245"/>
    </row>
    <row r="784" spans="8:9">
      <c r="H784" s="1245"/>
      <c r="I784" s="1245"/>
    </row>
    <row r="785" spans="8:9">
      <c r="H785" s="1245"/>
      <c r="I785" s="1245"/>
    </row>
    <row r="786" spans="8:9">
      <c r="H786" s="1245"/>
      <c r="I786" s="1245"/>
    </row>
    <row r="787" spans="8:9">
      <c r="H787" s="1245"/>
      <c r="I787" s="1245"/>
    </row>
    <row r="788" spans="8:9">
      <c r="H788" s="1245"/>
      <c r="I788" s="1245"/>
    </row>
    <row r="789" spans="8:9">
      <c r="H789" s="1245"/>
      <c r="I789" s="1245"/>
    </row>
    <row r="790" spans="8:9">
      <c r="H790" s="1245"/>
      <c r="I790" s="1245"/>
    </row>
    <row r="791" spans="8:9">
      <c r="H791" s="1245"/>
      <c r="I791" s="1245"/>
    </row>
    <row r="792" spans="8:9">
      <c r="H792" s="1245"/>
      <c r="I792" s="1245"/>
    </row>
    <row r="793" spans="8:9">
      <c r="H793" s="1245"/>
      <c r="I793" s="1245"/>
    </row>
    <row r="794" spans="8:9">
      <c r="H794" s="1245"/>
      <c r="I794" s="1245"/>
    </row>
    <row r="795" spans="8:9">
      <c r="H795" s="1245"/>
      <c r="I795" s="1245"/>
    </row>
    <row r="796" spans="8:9">
      <c r="H796" s="1245"/>
      <c r="I796" s="1245"/>
    </row>
    <row r="797" spans="8:9">
      <c r="H797" s="1245"/>
      <c r="I797" s="1245"/>
    </row>
    <row r="798" spans="8:9">
      <c r="H798" s="1245"/>
      <c r="I798" s="1245"/>
    </row>
    <row r="799" spans="8:9">
      <c r="H799" s="1245"/>
      <c r="I799" s="1245"/>
    </row>
    <row r="800" spans="8:9">
      <c r="H800" s="1245"/>
      <c r="I800" s="1245"/>
    </row>
    <row r="801" spans="8:9">
      <c r="H801" s="1245"/>
      <c r="I801" s="1245"/>
    </row>
    <row r="802" spans="8:9">
      <c r="H802" s="1245"/>
      <c r="I802" s="1245"/>
    </row>
    <row r="803" spans="8:9">
      <c r="H803" s="1245"/>
      <c r="I803" s="1245"/>
    </row>
    <row r="804" spans="8:9">
      <c r="H804" s="1245"/>
      <c r="I804" s="1245"/>
    </row>
    <row r="805" spans="8:9">
      <c r="H805" s="1245"/>
      <c r="I805" s="1245"/>
    </row>
    <row r="806" spans="8:9">
      <c r="H806" s="1245"/>
      <c r="I806" s="1245"/>
    </row>
    <row r="807" spans="8:9">
      <c r="H807" s="1245"/>
      <c r="I807" s="1245"/>
    </row>
    <row r="808" spans="8:9">
      <c r="H808" s="1245"/>
      <c r="I808" s="1245"/>
    </row>
    <row r="809" spans="8:9">
      <c r="H809" s="1245"/>
      <c r="I809" s="1245"/>
    </row>
    <row r="810" spans="8:9">
      <c r="H810" s="1245"/>
      <c r="I810" s="1245"/>
    </row>
    <row r="811" spans="8:9">
      <c r="H811" s="1245"/>
      <c r="I811" s="1245"/>
    </row>
    <row r="812" spans="8:9">
      <c r="H812" s="1245"/>
      <c r="I812" s="1245"/>
    </row>
    <row r="813" spans="8:9">
      <c r="H813" s="1245"/>
      <c r="I813" s="1245"/>
    </row>
    <row r="814" spans="8:9">
      <c r="H814" s="1245"/>
      <c r="I814" s="1245"/>
    </row>
    <row r="815" spans="8:9">
      <c r="H815" s="1245"/>
      <c r="I815" s="1245"/>
    </row>
    <row r="816" spans="8:9">
      <c r="H816" s="1245"/>
      <c r="I816" s="1245"/>
    </row>
    <row r="817" spans="8:9">
      <c r="H817" s="1245"/>
      <c r="I817" s="1245"/>
    </row>
    <row r="818" spans="8:9">
      <c r="H818" s="1245"/>
      <c r="I818" s="1245"/>
    </row>
    <row r="819" spans="8:9">
      <c r="H819" s="1245"/>
      <c r="I819" s="1245"/>
    </row>
    <row r="820" spans="8:9">
      <c r="H820" s="1245"/>
      <c r="I820" s="1245"/>
    </row>
    <row r="821" spans="8:9">
      <c r="H821" s="1245"/>
      <c r="I821" s="1245"/>
    </row>
    <row r="822" spans="8:9">
      <c r="H822" s="1245"/>
      <c r="I822" s="1245"/>
    </row>
    <row r="823" spans="8:9">
      <c r="H823" s="1245"/>
      <c r="I823" s="1245"/>
    </row>
    <row r="824" spans="8:9">
      <c r="H824" s="1245"/>
      <c r="I824" s="1245"/>
    </row>
    <row r="825" spans="8:9">
      <c r="H825" s="1245"/>
      <c r="I825" s="1245"/>
    </row>
    <row r="826" spans="8:9">
      <c r="H826" s="1245"/>
      <c r="I826" s="1245"/>
    </row>
    <row r="827" spans="8:9">
      <c r="H827" s="1245"/>
      <c r="I827" s="1245"/>
    </row>
    <row r="828" spans="8:9">
      <c r="H828" s="1245"/>
      <c r="I828" s="1245"/>
    </row>
    <row r="829" spans="8:9">
      <c r="H829" s="1245"/>
      <c r="I829" s="1245"/>
    </row>
    <row r="830" spans="8:9">
      <c r="H830" s="1245"/>
      <c r="I830" s="1245"/>
    </row>
    <row r="831" spans="8:9">
      <c r="H831" s="1245"/>
      <c r="I831" s="1245"/>
    </row>
    <row r="832" spans="8:9">
      <c r="H832" s="1245"/>
      <c r="I832" s="1245"/>
    </row>
    <row r="833" spans="8:9">
      <c r="H833" s="1245"/>
      <c r="I833" s="1245"/>
    </row>
    <row r="834" spans="8:9">
      <c r="H834" s="1245"/>
      <c r="I834" s="1245"/>
    </row>
    <row r="835" spans="8:9">
      <c r="H835" s="1245"/>
      <c r="I835" s="1245"/>
    </row>
    <row r="836" spans="8:9">
      <c r="H836" s="1245"/>
      <c r="I836" s="1245"/>
    </row>
    <row r="837" spans="8:9">
      <c r="H837" s="1245"/>
      <c r="I837" s="1245"/>
    </row>
    <row r="838" spans="8:9">
      <c r="H838" s="1245"/>
      <c r="I838" s="1245"/>
    </row>
    <row r="839" spans="8:9">
      <c r="H839" s="1245"/>
      <c r="I839" s="1245"/>
    </row>
    <row r="840" spans="8:9">
      <c r="H840" s="1245"/>
      <c r="I840" s="1245"/>
    </row>
    <row r="841" spans="8:9">
      <c r="H841" s="1245"/>
      <c r="I841" s="1245"/>
    </row>
    <row r="842" spans="8:9">
      <c r="H842" s="1245"/>
      <c r="I842" s="1245"/>
    </row>
    <row r="843" spans="8:9">
      <c r="H843" s="1245"/>
      <c r="I843" s="1245"/>
    </row>
    <row r="844" spans="8:9">
      <c r="H844" s="1245"/>
      <c r="I844" s="1245"/>
    </row>
    <row r="845" spans="8:9">
      <c r="H845" s="1245"/>
      <c r="I845" s="1245"/>
    </row>
    <row r="846" spans="8:9">
      <c r="H846" s="1245"/>
      <c r="I846" s="1245"/>
    </row>
    <row r="847" spans="8:9">
      <c r="H847" s="1245"/>
      <c r="I847" s="1245"/>
    </row>
    <row r="848" spans="8:9">
      <c r="H848" s="1245"/>
      <c r="I848" s="1245"/>
    </row>
    <row r="849" spans="8:9">
      <c r="H849" s="1245"/>
      <c r="I849" s="1245"/>
    </row>
    <row r="850" spans="8:9">
      <c r="H850" s="1245"/>
      <c r="I850" s="1245"/>
    </row>
    <row r="851" spans="8:9">
      <c r="H851" s="1245"/>
      <c r="I851" s="1245"/>
    </row>
    <row r="852" spans="8:9">
      <c r="H852" s="1245"/>
      <c r="I852" s="1245"/>
    </row>
    <row r="853" spans="8:9">
      <c r="H853" s="1245"/>
      <c r="I853" s="1245"/>
    </row>
    <row r="854" spans="8:9">
      <c r="H854" s="1245"/>
      <c r="I854" s="1245"/>
    </row>
    <row r="855" spans="8:9">
      <c r="H855" s="1245"/>
      <c r="I855" s="1245"/>
    </row>
    <row r="856" spans="8:9">
      <c r="H856" s="1245"/>
      <c r="I856" s="1245"/>
    </row>
    <row r="857" spans="8:9">
      <c r="H857" s="1245"/>
      <c r="I857" s="1245"/>
    </row>
    <row r="858" spans="8:9">
      <c r="H858" s="1245"/>
      <c r="I858" s="1245"/>
    </row>
    <row r="859" spans="8:9">
      <c r="H859" s="1245"/>
      <c r="I859" s="1245"/>
    </row>
    <row r="860" spans="8:9">
      <c r="H860" s="1245"/>
      <c r="I860" s="1245"/>
    </row>
    <row r="861" spans="8:9">
      <c r="H861" s="1245"/>
      <c r="I861" s="1245"/>
    </row>
    <row r="862" spans="8:9">
      <c r="H862" s="1245"/>
      <c r="I862" s="1245"/>
    </row>
    <row r="863" spans="8:9">
      <c r="H863" s="1245"/>
      <c r="I863" s="1245"/>
    </row>
    <row r="864" spans="8:9">
      <c r="H864" s="1245"/>
      <c r="I864" s="1245"/>
    </row>
    <row r="865" spans="8:9">
      <c r="H865" s="1245"/>
      <c r="I865" s="1245"/>
    </row>
    <row r="866" spans="8:9">
      <c r="H866" s="1245"/>
      <c r="I866" s="1245"/>
    </row>
    <row r="867" spans="8:9">
      <c r="H867" s="1245"/>
      <c r="I867" s="1245"/>
    </row>
    <row r="868" spans="8:9">
      <c r="H868" s="1245"/>
      <c r="I868" s="1245"/>
    </row>
    <row r="869" spans="8:9">
      <c r="H869" s="1245"/>
      <c r="I869" s="1245"/>
    </row>
    <row r="870" spans="8:9">
      <c r="H870" s="1245"/>
      <c r="I870" s="1245"/>
    </row>
    <row r="871" spans="8:9">
      <c r="H871" s="1245"/>
      <c r="I871" s="1245"/>
    </row>
    <row r="872" spans="8:9">
      <c r="H872" s="1245"/>
      <c r="I872" s="1245"/>
    </row>
    <row r="873" spans="8:9">
      <c r="H873" s="1245"/>
      <c r="I873" s="1245"/>
    </row>
    <row r="874" spans="8:9">
      <c r="H874" s="1245"/>
      <c r="I874" s="1245"/>
    </row>
    <row r="875" spans="8:9">
      <c r="H875" s="1245"/>
      <c r="I875" s="1245"/>
    </row>
    <row r="876" spans="8:9">
      <c r="H876" s="1245"/>
      <c r="I876" s="1245"/>
    </row>
    <row r="877" spans="8:9">
      <c r="H877" s="1245"/>
      <c r="I877" s="1245"/>
    </row>
    <row r="878" spans="8:9">
      <c r="H878" s="1245"/>
      <c r="I878" s="1245"/>
    </row>
    <row r="879" spans="8:9">
      <c r="H879" s="1245"/>
      <c r="I879" s="1245"/>
    </row>
    <row r="880" spans="8:9">
      <c r="H880" s="1245"/>
      <c r="I880" s="1245"/>
    </row>
    <row r="881" spans="8:9">
      <c r="H881" s="1245"/>
      <c r="I881" s="1245"/>
    </row>
    <row r="882" spans="8:9">
      <c r="H882" s="1245"/>
      <c r="I882" s="1245"/>
    </row>
    <row r="883" spans="8:9">
      <c r="H883" s="1245"/>
      <c r="I883" s="1245"/>
    </row>
    <row r="884" spans="8:9">
      <c r="H884" s="1245"/>
      <c r="I884" s="1245"/>
    </row>
    <row r="885" spans="8:9">
      <c r="H885" s="1245"/>
      <c r="I885" s="1245"/>
    </row>
    <row r="886" spans="8:9">
      <c r="H886" s="1245"/>
      <c r="I886" s="1245"/>
    </row>
    <row r="887" spans="8:9">
      <c r="H887" s="1245"/>
      <c r="I887" s="1245"/>
    </row>
    <row r="888" spans="8:9">
      <c r="H888" s="1245"/>
      <c r="I888" s="1245"/>
    </row>
    <row r="889" spans="8:9">
      <c r="H889" s="1245"/>
      <c r="I889" s="1245"/>
    </row>
    <row r="890" spans="8:9">
      <c r="H890" s="1245"/>
      <c r="I890" s="1245"/>
    </row>
    <row r="891" spans="8:9">
      <c r="H891" s="1245"/>
      <c r="I891" s="1245"/>
    </row>
    <row r="892" spans="8:9">
      <c r="H892" s="1245"/>
      <c r="I892" s="1245"/>
    </row>
    <row r="893" spans="8:9">
      <c r="H893" s="1245"/>
      <c r="I893" s="1245"/>
    </row>
    <row r="894" spans="8:9">
      <c r="H894" s="1245"/>
      <c r="I894" s="1245"/>
    </row>
    <row r="895" spans="8:9">
      <c r="H895" s="1245"/>
      <c r="I895" s="1245"/>
    </row>
    <row r="896" spans="8:9">
      <c r="H896" s="1245"/>
      <c r="I896" s="1245"/>
    </row>
    <row r="897" spans="8:9">
      <c r="H897" s="1245"/>
      <c r="I897" s="1245"/>
    </row>
    <row r="898" spans="8:9">
      <c r="H898" s="1245"/>
      <c r="I898" s="1245"/>
    </row>
    <row r="899" spans="8:9">
      <c r="H899" s="1245"/>
      <c r="I899" s="1245"/>
    </row>
    <row r="900" spans="8:9">
      <c r="H900" s="1245"/>
      <c r="I900" s="1245"/>
    </row>
    <row r="901" spans="8:9">
      <c r="H901" s="1245"/>
      <c r="I901" s="1245"/>
    </row>
    <row r="902" spans="8:9">
      <c r="H902" s="1245"/>
      <c r="I902" s="1245"/>
    </row>
    <row r="903" spans="8:9">
      <c r="H903" s="1245"/>
      <c r="I903" s="1245"/>
    </row>
    <row r="904" spans="8:9">
      <c r="H904" s="1245"/>
      <c r="I904" s="1245"/>
    </row>
    <row r="905" spans="8:9">
      <c r="H905" s="1245"/>
      <c r="I905" s="1245"/>
    </row>
    <row r="906" spans="8:9">
      <c r="H906" s="1245"/>
      <c r="I906" s="1245"/>
    </row>
    <row r="907" spans="8:9">
      <c r="H907" s="1245"/>
      <c r="I907" s="1245"/>
    </row>
    <row r="908" spans="8:9">
      <c r="H908" s="1245"/>
      <c r="I908" s="1245"/>
    </row>
    <row r="909" spans="8:9">
      <c r="H909" s="1245"/>
      <c r="I909" s="1245"/>
    </row>
    <row r="910" spans="8:9">
      <c r="H910" s="1245"/>
      <c r="I910" s="1245"/>
    </row>
    <row r="911" spans="8:9">
      <c r="H911" s="1245"/>
      <c r="I911" s="1245"/>
    </row>
    <row r="912" spans="8:9">
      <c r="H912" s="1245"/>
      <c r="I912" s="1245"/>
    </row>
    <row r="913" spans="8:9">
      <c r="H913" s="1245"/>
      <c r="I913" s="1245"/>
    </row>
    <row r="914" spans="8:9">
      <c r="H914" s="1245"/>
      <c r="I914" s="1245"/>
    </row>
    <row r="915" spans="8:9">
      <c r="H915" s="1245"/>
      <c r="I915" s="1245"/>
    </row>
    <row r="916" spans="8:9">
      <c r="H916" s="1245"/>
      <c r="I916" s="1245"/>
    </row>
    <row r="917" spans="8:9">
      <c r="H917" s="1245"/>
      <c r="I917" s="1245"/>
    </row>
    <row r="918" spans="8:9">
      <c r="H918" s="1245"/>
      <c r="I918" s="1245"/>
    </row>
    <row r="919" spans="8:9">
      <c r="H919" s="1245"/>
      <c r="I919" s="1245"/>
    </row>
    <row r="920" spans="8:9">
      <c r="H920" s="1245"/>
      <c r="I920" s="1245"/>
    </row>
    <row r="921" spans="8:9">
      <c r="H921" s="1245"/>
      <c r="I921" s="1245"/>
    </row>
    <row r="922" spans="8:9">
      <c r="H922" s="1245"/>
      <c r="I922" s="1245"/>
    </row>
    <row r="923" spans="8:9">
      <c r="H923" s="1245"/>
      <c r="I923" s="1245"/>
    </row>
    <row r="924" spans="8:9">
      <c r="H924" s="1245"/>
      <c r="I924" s="1245"/>
    </row>
    <row r="925" spans="8:9">
      <c r="H925" s="1245"/>
      <c r="I925" s="1245"/>
    </row>
    <row r="926" spans="8:9">
      <c r="H926" s="1245"/>
      <c r="I926" s="1245"/>
    </row>
    <row r="927" spans="8:9">
      <c r="H927" s="1245"/>
      <c r="I927" s="1245"/>
    </row>
    <row r="928" spans="8:9">
      <c r="H928" s="1245"/>
      <c r="I928" s="1245"/>
    </row>
    <row r="929" spans="8:9">
      <c r="H929" s="1245"/>
      <c r="I929" s="1245"/>
    </row>
    <row r="930" spans="8:9">
      <c r="H930" s="1245"/>
      <c r="I930" s="1245"/>
    </row>
    <row r="931" spans="8:9">
      <c r="H931" s="1245"/>
      <c r="I931" s="1245"/>
    </row>
    <row r="932" spans="8:9">
      <c r="H932" s="1245"/>
      <c r="I932" s="1245"/>
    </row>
    <row r="933" spans="8:9">
      <c r="H933" s="1245"/>
      <c r="I933" s="1245"/>
    </row>
    <row r="934" spans="8:9">
      <c r="H934" s="1245"/>
      <c r="I934" s="1245"/>
    </row>
    <row r="935" spans="8:9">
      <c r="H935" s="1245"/>
      <c r="I935" s="1245"/>
    </row>
    <row r="936" spans="8:9">
      <c r="H936" s="1245"/>
      <c r="I936" s="1245"/>
    </row>
    <row r="937" spans="8:9">
      <c r="H937" s="1245"/>
      <c r="I937" s="1245"/>
    </row>
    <row r="938" spans="8:9">
      <c r="H938" s="1245"/>
      <c r="I938" s="1245"/>
    </row>
    <row r="939" spans="8:9">
      <c r="H939" s="1245"/>
      <c r="I939" s="1245"/>
    </row>
    <row r="940" spans="8:9">
      <c r="H940" s="1245"/>
      <c r="I940" s="1245"/>
    </row>
    <row r="941" spans="8:9">
      <c r="H941" s="1245"/>
      <c r="I941" s="1245"/>
    </row>
    <row r="942" spans="8:9">
      <c r="H942" s="1245"/>
      <c r="I942" s="1245"/>
    </row>
    <row r="943" spans="8:9">
      <c r="H943" s="1245"/>
      <c r="I943" s="1245"/>
    </row>
    <row r="944" spans="8:9">
      <c r="H944" s="1245"/>
      <c r="I944" s="1245"/>
    </row>
    <row r="945" spans="8:9">
      <c r="H945" s="1245"/>
      <c r="I945" s="1245"/>
    </row>
    <row r="946" spans="8:9">
      <c r="H946" s="1245"/>
      <c r="I946" s="1245"/>
    </row>
    <row r="947" spans="8:9">
      <c r="H947" s="1245"/>
      <c r="I947" s="1245"/>
    </row>
    <row r="948" spans="8:9">
      <c r="H948" s="1245"/>
      <c r="I948" s="1245"/>
    </row>
    <row r="949" spans="8:9">
      <c r="H949" s="1245"/>
      <c r="I949" s="1245"/>
    </row>
    <row r="950" spans="8:9">
      <c r="H950" s="1245"/>
      <c r="I950" s="1245"/>
    </row>
    <row r="951" spans="8:9">
      <c r="H951" s="1245"/>
      <c r="I951" s="1245"/>
    </row>
    <row r="952" spans="8:9">
      <c r="H952" s="1245"/>
      <c r="I952" s="1245"/>
    </row>
    <row r="953" spans="8:9">
      <c r="H953" s="1245"/>
      <c r="I953" s="1245"/>
    </row>
    <row r="954" spans="8:9">
      <c r="H954" s="1245"/>
      <c r="I954" s="1245"/>
    </row>
    <row r="955" spans="8:9">
      <c r="H955" s="1245"/>
      <c r="I955" s="1245"/>
    </row>
    <row r="956" spans="8:9">
      <c r="H956" s="1245"/>
      <c r="I956" s="1245"/>
    </row>
    <row r="957" spans="8:9">
      <c r="H957" s="1245"/>
      <c r="I957" s="1245"/>
    </row>
    <row r="958" spans="8:9">
      <c r="H958" s="1245"/>
      <c r="I958" s="1245"/>
    </row>
    <row r="959" spans="8:9">
      <c r="H959" s="1245"/>
      <c r="I959" s="1245"/>
    </row>
    <row r="960" spans="8:9">
      <c r="H960" s="1245"/>
      <c r="I960" s="1245"/>
    </row>
    <row r="961" spans="8:9">
      <c r="H961" s="1245"/>
      <c r="I961" s="1245"/>
    </row>
    <row r="962" spans="8:9">
      <c r="H962" s="1245"/>
      <c r="I962" s="1245"/>
    </row>
    <row r="963" spans="8:9">
      <c r="H963" s="1245"/>
      <c r="I963" s="1245"/>
    </row>
    <row r="964" spans="8:9">
      <c r="H964" s="1245"/>
      <c r="I964" s="1245"/>
    </row>
    <row r="965" spans="8:9">
      <c r="H965" s="1245"/>
      <c r="I965" s="1245"/>
    </row>
    <row r="966" spans="8:9">
      <c r="H966" s="1245"/>
      <c r="I966" s="1245"/>
    </row>
    <row r="967" spans="8:9">
      <c r="H967" s="1245"/>
      <c r="I967" s="1245"/>
    </row>
    <row r="968" spans="8:9">
      <c r="H968" s="1245"/>
      <c r="I968" s="1245"/>
    </row>
    <row r="969" spans="8:9">
      <c r="H969" s="1245"/>
      <c r="I969" s="1245"/>
    </row>
    <row r="970" spans="8:9">
      <c r="H970" s="1245"/>
      <c r="I970" s="1245"/>
    </row>
    <row r="971" spans="8:9">
      <c r="H971" s="1245"/>
      <c r="I971" s="1245"/>
    </row>
    <row r="972" spans="8:9">
      <c r="H972" s="1245"/>
      <c r="I972" s="1245"/>
    </row>
    <row r="973" spans="8:9">
      <c r="H973" s="1245"/>
      <c r="I973" s="1245"/>
    </row>
    <row r="974" spans="8:9">
      <c r="H974" s="1245"/>
      <c r="I974" s="1245"/>
    </row>
    <row r="975" spans="8:9">
      <c r="H975" s="1245"/>
      <c r="I975" s="1245"/>
    </row>
    <row r="976" spans="8:9">
      <c r="H976" s="1245"/>
      <c r="I976" s="1245"/>
    </row>
    <row r="977" spans="8:9">
      <c r="H977" s="1245"/>
      <c r="I977" s="1245"/>
    </row>
    <row r="978" spans="8:9">
      <c r="H978" s="1245"/>
      <c r="I978" s="1245"/>
    </row>
    <row r="979" spans="8:9">
      <c r="H979" s="1245"/>
      <c r="I979" s="1245"/>
    </row>
    <row r="980" spans="8:9">
      <c r="H980" s="1245"/>
      <c r="I980" s="1245"/>
    </row>
    <row r="981" spans="8:9">
      <c r="H981" s="1245"/>
      <c r="I981" s="1245"/>
    </row>
    <row r="982" spans="8:9">
      <c r="H982" s="1245"/>
      <c r="I982" s="1245"/>
    </row>
    <row r="983" spans="8:9">
      <c r="H983" s="1245"/>
      <c r="I983" s="1245"/>
    </row>
    <row r="984" spans="8:9">
      <c r="H984" s="1245"/>
      <c r="I984" s="1245"/>
    </row>
    <row r="985" spans="8:9">
      <c r="H985" s="1245"/>
      <c r="I985" s="1245"/>
    </row>
    <row r="986" spans="8:9">
      <c r="H986" s="1245"/>
      <c r="I986" s="1245"/>
    </row>
    <row r="987" spans="8:9">
      <c r="H987" s="1245"/>
      <c r="I987" s="1245"/>
    </row>
    <row r="988" spans="8:9">
      <c r="H988" s="1245"/>
      <c r="I988" s="1245"/>
    </row>
    <row r="989" spans="8:9">
      <c r="H989" s="1245"/>
      <c r="I989" s="1245"/>
    </row>
    <row r="990" spans="8:9">
      <c r="H990" s="1245"/>
      <c r="I990" s="1245"/>
    </row>
    <row r="991" spans="8:9">
      <c r="H991" s="1245"/>
      <c r="I991" s="1245"/>
    </row>
    <row r="992" spans="8:9">
      <c r="H992" s="1245"/>
      <c r="I992" s="1245"/>
    </row>
    <row r="993" spans="8:9">
      <c r="H993" s="1245"/>
      <c r="I993" s="1245"/>
    </row>
    <row r="994" spans="8:9">
      <c r="H994" s="1245"/>
      <c r="I994" s="1245"/>
    </row>
    <row r="995" spans="8:9">
      <c r="H995" s="1245"/>
      <c r="I995" s="1245"/>
    </row>
    <row r="996" spans="8:9">
      <c r="H996" s="1245"/>
      <c r="I996" s="1245"/>
    </row>
    <row r="997" spans="8:9">
      <c r="H997" s="1245"/>
      <c r="I997" s="1245"/>
    </row>
    <row r="998" spans="8:9">
      <c r="H998" s="1245"/>
      <c r="I998" s="1245"/>
    </row>
    <row r="999" spans="8:9">
      <c r="H999" s="1245"/>
      <c r="I999" s="1245"/>
    </row>
    <row r="1000" spans="8:9">
      <c r="H1000" s="1245"/>
      <c r="I1000" s="1245"/>
    </row>
    <row r="1001" spans="8:9">
      <c r="H1001" s="1245"/>
      <c r="I1001" s="1245"/>
    </row>
    <row r="1002" spans="8:9">
      <c r="H1002" s="1245"/>
      <c r="I1002" s="1245"/>
    </row>
    <row r="1003" spans="8:9">
      <c r="H1003" s="1245"/>
      <c r="I1003" s="1245"/>
    </row>
    <row r="1004" spans="8:9">
      <c r="H1004" s="1245"/>
      <c r="I1004" s="1245"/>
    </row>
    <row r="1005" spans="8:9">
      <c r="H1005" s="1245"/>
      <c r="I1005" s="1245"/>
    </row>
    <row r="1006" spans="8:9">
      <c r="H1006" s="1245"/>
      <c r="I1006" s="1245"/>
    </row>
    <row r="1007" spans="8:9">
      <c r="H1007" s="1245"/>
      <c r="I1007" s="1245"/>
    </row>
    <row r="1008" spans="8:9">
      <c r="H1008" s="1245"/>
      <c r="I1008" s="1245"/>
    </row>
    <row r="1009" spans="8:9">
      <c r="H1009" s="1245"/>
      <c r="I1009" s="1245"/>
    </row>
    <row r="1010" spans="8:9">
      <c r="H1010" s="1245"/>
      <c r="I1010" s="1245"/>
    </row>
    <row r="1011" spans="8:9">
      <c r="H1011" s="1245"/>
      <c r="I1011" s="1245"/>
    </row>
    <row r="1012" spans="8:9">
      <c r="H1012" s="1245"/>
      <c r="I1012" s="1245"/>
    </row>
    <row r="1013" spans="8:9">
      <c r="H1013" s="1245"/>
      <c r="I1013" s="1245"/>
    </row>
    <row r="1014" spans="8:9">
      <c r="H1014" s="1245"/>
      <c r="I1014" s="1245"/>
    </row>
    <row r="1015" spans="8:9">
      <c r="H1015" s="1245"/>
      <c r="I1015" s="1245"/>
    </row>
    <row r="1016" spans="8:9">
      <c r="H1016" s="1245"/>
      <c r="I1016" s="1245"/>
    </row>
    <row r="1017" spans="8:9">
      <c r="H1017" s="1245"/>
      <c r="I1017" s="1245"/>
    </row>
    <row r="1018" spans="8:9">
      <c r="H1018" s="1245"/>
      <c r="I1018" s="1245"/>
    </row>
    <row r="1019" spans="8:9">
      <c r="H1019" s="1245"/>
      <c r="I1019" s="1245"/>
    </row>
    <row r="1020" spans="8:9">
      <c r="H1020" s="1245"/>
      <c r="I1020" s="1245"/>
    </row>
    <row r="1021" spans="8:9">
      <c r="H1021" s="1245"/>
      <c r="I1021" s="1245"/>
    </row>
    <row r="1022" spans="8:9">
      <c r="H1022" s="1245"/>
      <c r="I1022" s="1245"/>
    </row>
    <row r="1023" spans="8:9">
      <c r="H1023" s="1245"/>
      <c r="I1023" s="1245"/>
    </row>
    <row r="1024" spans="8:9">
      <c r="H1024" s="1245"/>
      <c r="I1024" s="1245"/>
    </row>
    <row r="1025" spans="8:9">
      <c r="H1025" s="1245"/>
      <c r="I1025" s="1245"/>
    </row>
    <row r="1026" spans="8:9">
      <c r="H1026" s="1245"/>
      <c r="I1026" s="1245"/>
    </row>
    <row r="1027" spans="8:9">
      <c r="H1027" s="1245"/>
      <c r="I1027" s="1245"/>
    </row>
    <row r="1028" spans="8:9">
      <c r="H1028" s="1245"/>
      <c r="I1028" s="1245"/>
    </row>
    <row r="1029" spans="8:9">
      <c r="H1029" s="1245"/>
      <c r="I1029" s="1245"/>
    </row>
    <row r="1030" spans="8:9">
      <c r="H1030" s="1245"/>
      <c r="I1030" s="1245"/>
    </row>
    <row r="1031" spans="8:9">
      <c r="H1031" s="1245"/>
      <c r="I1031" s="1245"/>
    </row>
    <row r="1032" spans="8:9">
      <c r="H1032" s="1245"/>
      <c r="I1032" s="1245"/>
    </row>
    <row r="1033" spans="8:9">
      <c r="H1033" s="1245"/>
      <c r="I1033" s="1245"/>
    </row>
    <row r="1034" spans="8:9">
      <c r="H1034" s="1245"/>
      <c r="I1034" s="1245"/>
    </row>
    <row r="1035" spans="8:9">
      <c r="H1035" s="1245"/>
      <c r="I1035" s="1245"/>
    </row>
    <row r="1036" spans="8:9">
      <c r="H1036" s="1245"/>
      <c r="I1036" s="1245"/>
    </row>
    <row r="1037" spans="8:9">
      <c r="H1037" s="1245"/>
      <c r="I1037" s="1245"/>
    </row>
    <row r="1038" spans="8:9">
      <c r="H1038" s="1245"/>
      <c r="I1038" s="1245"/>
    </row>
    <row r="1039" spans="8:9">
      <c r="H1039" s="1245"/>
      <c r="I1039" s="1245"/>
    </row>
    <row r="1040" spans="8:9">
      <c r="H1040" s="1245"/>
      <c r="I1040" s="1245"/>
    </row>
    <row r="1041" spans="8:9">
      <c r="H1041" s="1245"/>
      <c r="I1041" s="1245"/>
    </row>
    <row r="1042" spans="8:9">
      <c r="H1042" s="1245"/>
      <c r="I1042" s="1245"/>
    </row>
    <row r="1043" spans="8:9">
      <c r="H1043" s="1245"/>
      <c r="I1043" s="1245"/>
    </row>
    <row r="1044" spans="8:9">
      <c r="H1044" s="1245"/>
      <c r="I1044" s="1245"/>
    </row>
    <row r="1045" spans="8:9">
      <c r="H1045" s="1245"/>
      <c r="I1045" s="1245"/>
    </row>
    <row r="1046" spans="8:9">
      <c r="H1046" s="1245"/>
      <c r="I1046" s="1245"/>
    </row>
    <row r="1047" spans="8:9">
      <c r="H1047" s="1245"/>
      <c r="I1047" s="1245"/>
    </row>
    <row r="1048" spans="8:9">
      <c r="H1048" s="1245"/>
      <c r="I1048" s="1245"/>
    </row>
    <row r="1049" spans="8:9">
      <c r="H1049" s="1245"/>
      <c r="I1049" s="1245"/>
    </row>
    <row r="1050" spans="8:9">
      <c r="H1050" s="1245"/>
      <c r="I1050" s="1245"/>
    </row>
    <row r="1051" spans="8:9">
      <c r="H1051" s="1245"/>
      <c r="I1051" s="1245"/>
    </row>
    <row r="1052" spans="8:9">
      <c r="H1052" s="1245"/>
      <c r="I1052" s="1245"/>
    </row>
    <row r="1053" spans="8:9">
      <c r="H1053" s="1245"/>
      <c r="I1053" s="1245"/>
    </row>
    <row r="1054" spans="8:9">
      <c r="H1054" s="1245"/>
      <c r="I1054" s="1245"/>
    </row>
    <row r="1055" spans="8:9">
      <c r="H1055" s="1245"/>
      <c r="I1055" s="1245"/>
    </row>
    <row r="1056" spans="8:9">
      <c r="H1056" s="1245"/>
      <c r="I1056" s="1245"/>
    </row>
    <row r="1057" spans="8:9">
      <c r="H1057" s="1245"/>
      <c r="I1057" s="1245"/>
    </row>
    <row r="1058" spans="8:9">
      <c r="H1058" s="1245"/>
      <c r="I1058" s="1245"/>
    </row>
    <row r="1059" spans="8:9">
      <c r="H1059" s="1245"/>
      <c r="I1059" s="1245"/>
    </row>
    <row r="1060" spans="8:9">
      <c r="H1060" s="1245"/>
      <c r="I1060" s="1245"/>
    </row>
    <row r="1061" spans="8:9">
      <c r="H1061" s="1245"/>
      <c r="I1061" s="1245"/>
    </row>
    <row r="1062" spans="8:9">
      <c r="H1062" s="1245"/>
      <c r="I1062" s="1245"/>
    </row>
    <row r="1063" spans="8:9">
      <c r="H1063" s="1245"/>
      <c r="I1063" s="1245"/>
    </row>
    <row r="1064" spans="8:9">
      <c r="H1064" s="1245"/>
      <c r="I1064" s="1245"/>
    </row>
    <row r="1065" spans="8:9">
      <c r="H1065" s="1245"/>
      <c r="I1065" s="1245"/>
    </row>
    <row r="1066" spans="8:9">
      <c r="H1066" s="1245"/>
      <c r="I1066" s="1245"/>
    </row>
    <row r="1067" spans="8:9">
      <c r="H1067" s="1245"/>
      <c r="I1067" s="1245"/>
    </row>
    <row r="1068" spans="8:9">
      <c r="H1068" s="1245"/>
      <c r="I1068" s="1245"/>
    </row>
    <row r="1069" spans="8:9">
      <c r="H1069" s="1245"/>
      <c r="I1069" s="1245"/>
    </row>
    <row r="1070" spans="8:9">
      <c r="H1070" s="1245"/>
      <c r="I1070" s="1245"/>
    </row>
    <row r="1071" spans="8:9">
      <c r="H1071" s="1245"/>
      <c r="I1071" s="1245"/>
    </row>
    <row r="1072" spans="8:9">
      <c r="H1072" s="1245"/>
      <c r="I1072" s="1245"/>
    </row>
    <row r="1073" spans="8:9">
      <c r="H1073" s="1245"/>
      <c r="I1073" s="1245"/>
    </row>
    <row r="1074" spans="8:9">
      <c r="H1074" s="1245"/>
      <c r="I1074" s="1245"/>
    </row>
    <row r="1075" spans="8:9">
      <c r="H1075" s="1245"/>
      <c r="I1075" s="1245"/>
    </row>
    <row r="1076" spans="8:9">
      <c r="H1076" s="1245"/>
      <c r="I1076" s="1245"/>
    </row>
    <row r="1077" spans="8:9">
      <c r="H1077" s="1245"/>
      <c r="I1077" s="1245"/>
    </row>
    <row r="1078" spans="8:9">
      <c r="H1078" s="1245"/>
      <c r="I1078" s="1245"/>
    </row>
    <row r="1079" spans="8:9">
      <c r="H1079" s="1245"/>
      <c r="I1079" s="1245"/>
    </row>
    <row r="1080" spans="8:9">
      <c r="H1080" s="1245"/>
      <c r="I1080" s="1245"/>
    </row>
    <row r="1081" spans="8:9">
      <c r="H1081" s="1245"/>
      <c r="I1081" s="1245"/>
    </row>
    <row r="1082" spans="8:9">
      <c r="H1082" s="1245"/>
      <c r="I1082" s="1245"/>
    </row>
    <row r="1083" spans="8:9">
      <c r="H1083" s="1245"/>
      <c r="I1083" s="1245"/>
    </row>
    <row r="1084" spans="8:9">
      <c r="H1084" s="1245"/>
      <c r="I1084" s="1245"/>
    </row>
    <row r="1085" spans="8:9">
      <c r="H1085" s="1245"/>
      <c r="I1085" s="1245"/>
    </row>
    <row r="1086" spans="8:9">
      <c r="H1086" s="1245"/>
      <c r="I1086" s="1245"/>
    </row>
    <row r="1087" spans="8:9">
      <c r="H1087" s="1245"/>
      <c r="I1087" s="1245"/>
    </row>
    <row r="1088" spans="8:9">
      <c r="H1088" s="1245"/>
      <c r="I1088" s="1245"/>
    </row>
    <row r="1089" spans="8:9">
      <c r="H1089" s="1245"/>
      <c r="I1089" s="1245"/>
    </row>
    <row r="1090" spans="8:9">
      <c r="H1090" s="1245"/>
      <c r="I1090" s="1245"/>
    </row>
    <row r="1091" spans="8:9">
      <c r="H1091" s="1245"/>
      <c r="I1091" s="1245"/>
    </row>
    <row r="1092" spans="8:9">
      <c r="H1092" s="1245"/>
      <c r="I1092" s="1245"/>
    </row>
    <row r="1093" spans="8:9">
      <c r="H1093" s="1245"/>
      <c r="I1093" s="1245"/>
    </row>
    <row r="1094" spans="8:9">
      <c r="H1094" s="1245"/>
      <c r="I1094" s="1245"/>
    </row>
    <row r="1095" spans="8:9">
      <c r="H1095" s="1245"/>
      <c r="I1095" s="1245"/>
    </row>
    <row r="1096" spans="8:9">
      <c r="H1096" s="1245"/>
      <c r="I1096" s="1245"/>
    </row>
    <row r="1097" spans="8:9">
      <c r="H1097" s="1245"/>
      <c r="I1097" s="1245"/>
    </row>
    <row r="1098" spans="8:9">
      <c r="H1098" s="1245"/>
      <c r="I1098" s="1245"/>
    </row>
    <row r="1099" spans="8:9">
      <c r="H1099" s="1245"/>
      <c r="I1099" s="1245"/>
    </row>
    <row r="1100" spans="8:9">
      <c r="H1100" s="1245"/>
      <c r="I1100" s="1245"/>
    </row>
    <row r="1101" spans="8:9">
      <c r="H1101" s="1245"/>
      <c r="I1101" s="1245"/>
    </row>
    <row r="1102" spans="8:9">
      <c r="H1102" s="1245"/>
      <c r="I1102" s="1245"/>
    </row>
    <row r="1103" spans="8:9">
      <c r="H1103" s="1245"/>
      <c r="I1103" s="1245"/>
    </row>
    <row r="1104" spans="8:9">
      <c r="H1104" s="1245"/>
      <c r="I1104" s="1245"/>
    </row>
    <row r="1105" spans="8:9">
      <c r="H1105" s="1245"/>
      <c r="I1105" s="1245"/>
    </row>
    <row r="1106" spans="8:9">
      <c r="H1106" s="1245"/>
      <c r="I1106" s="1245"/>
    </row>
    <row r="1107" spans="8:9">
      <c r="H1107" s="1245"/>
      <c r="I1107" s="1245"/>
    </row>
    <row r="1108" spans="8:9">
      <c r="H1108" s="1245"/>
      <c r="I1108" s="1245"/>
    </row>
    <row r="1109" spans="8:9">
      <c r="H1109" s="1245"/>
      <c r="I1109" s="1245"/>
    </row>
    <row r="1110" spans="8:9">
      <c r="H1110" s="1245"/>
      <c r="I1110" s="1245"/>
    </row>
    <row r="1111" spans="8:9">
      <c r="H1111" s="1245"/>
      <c r="I1111" s="1245"/>
    </row>
    <row r="1112" spans="8:9">
      <c r="H1112" s="1245"/>
      <c r="I1112" s="1245"/>
    </row>
    <row r="1113" spans="8:9">
      <c r="H1113" s="1245"/>
      <c r="I1113" s="1245"/>
    </row>
    <row r="1114" spans="8:9">
      <c r="H1114" s="1245"/>
      <c r="I1114" s="1245"/>
    </row>
    <row r="1115" spans="8:9">
      <c r="H1115" s="1245"/>
      <c r="I1115" s="1245"/>
    </row>
    <row r="1116" spans="8:9">
      <c r="H1116" s="1245"/>
      <c r="I1116" s="1245"/>
    </row>
    <row r="1117" spans="8:9">
      <c r="H1117" s="1245"/>
      <c r="I1117" s="1245"/>
    </row>
    <row r="1118" spans="8:9">
      <c r="H1118" s="1245"/>
      <c r="I1118" s="1245"/>
    </row>
    <row r="1119" spans="8:9">
      <c r="H1119" s="1245"/>
      <c r="I1119" s="1245"/>
    </row>
    <row r="1120" spans="8:9">
      <c r="H1120" s="1245"/>
      <c r="I1120" s="1245"/>
    </row>
    <row r="1121" spans="8:9">
      <c r="H1121" s="1245"/>
      <c r="I1121" s="1245"/>
    </row>
    <row r="1122" spans="8:9">
      <c r="H1122" s="1245"/>
      <c r="I1122" s="1245"/>
    </row>
    <row r="1123" spans="8:9">
      <c r="H1123" s="1245"/>
      <c r="I1123" s="1245"/>
    </row>
    <row r="1124" spans="8:9">
      <c r="H1124" s="1245"/>
      <c r="I1124" s="1245"/>
    </row>
    <row r="1125" spans="8:9">
      <c r="H1125" s="1245"/>
      <c r="I1125" s="1245"/>
    </row>
    <row r="1126" spans="8:9">
      <c r="H1126" s="1245"/>
      <c r="I1126" s="1245"/>
    </row>
    <row r="1127" spans="8:9">
      <c r="H1127" s="1245"/>
      <c r="I1127" s="1245"/>
    </row>
    <row r="1128" spans="8:9">
      <c r="H1128" s="1245"/>
      <c r="I1128" s="1245"/>
    </row>
    <row r="1129" spans="8:9">
      <c r="H1129" s="1245"/>
      <c r="I1129" s="1245"/>
    </row>
    <row r="1130" spans="8:9">
      <c r="H1130" s="1245"/>
      <c r="I1130" s="1245"/>
    </row>
    <row r="1131" spans="8:9">
      <c r="H1131" s="1245"/>
      <c r="I1131" s="1245"/>
    </row>
    <row r="1132" spans="8:9">
      <c r="H1132" s="1245"/>
      <c r="I1132" s="1245"/>
    </row>
    <row r="1133" spans="8:9">
      <c r="H1133" s="1245"/>
      <c r="I1133" s="1245"/>
    </row>
    <row r="1134" spans="8:9">
      <c r="H1134" s="1245"/>
      <c r="I1134" s="1245"/>
    </row>
    <row r="1135" spans="8:9">
      <c r="H1135" s="1245"/>
      <c r="I1135" s="1245"/>
    </row>
    <row r="1136" spans="8:9">
      <c r="H1136" s="1245"/>
      <c r="I1136" s="1245"/>
    </row>
    <row r="1137" spans="8:9">
      <c r="H1137" s="1245"/>
      <c r="I1137" s="1245"/>
    </row>
    <row r="1138" spans="8:9">
      <c r="H1138" s="1245"/>
      <c r="I1138" s="1245"/>
    </row>
    <row r="1139" spans="8:9">
      <c r="H1139" s="1245"/>
      <c r="I1139" s="1245"/>
    </row>
    <row r="1140" spans="8:9">
      <c r="H1140" s="1245"/>
      <c r="I1140" s="1245"/>
    </row>
    <row r="1141" spans="8:9">
      <c r="H1141" s="1245"/>
      <c r="I1141" s="1245"/>
    </row>
    <row r="1142" spans="8:9">
      <c r="H1142" s="1245"/>
      <c r="I1142" s="1245"/>
    </row>
    <row r="1143" spans="8:9">
      <c r="H1143" s="1245"/>
      <c r="I1143" s="1245"/>
    </row>
    <row r="1144" spans="8:9">
      <c r="H1144" s="1245"/>
      <c r="I1144" s="1245"/>
    </row>
    <row r="1145" spans="8:9">
      <c r="H1145" s="1245"/>
      <c r="I1145" s="1245"/>
    </row>
    <row r="1146" spans="8:9">
      <c r="H1146" s="1245"/>
      <c r="I1146" s="1245"/>
    </row>
    <row r="1147" spans="8:9">
      <c r="H1147" s="1245"/>
      <c r="I1147" s="1245"/>
    </row>
    <row r="1148" spans="8:9">
      <c r="H1148" s="1245"/>
      <c r="I1148" s="1245"/>
    </row>
    <row r="1149" spans="8:9">
      <c r="H1149" s="1245"/>
      <c r="I1149" s="1245"/>
    </row>
    <row r="1150" spans="8:9">
      <c r="H1150" s="1245"/>
      <c r="I1150" s="1245"/>
    </row>
    <row r="1151" spans="8:9">
      <c r="H1151" s="1245"/>
      <c r="I1151" s="1245"/>
    </row>
    <row r="1152" spans="8:9">
      <c r="H1152" s="1245"/>
      <c r="I1152" s="1245"/>
    </row>
    <row r="1153" spans="8:9">
      <c r="H1153" s="1245"/>
      <c r="I1153" s="1245"/>
    </row>
    <row r="1154" spans="8:9">
      <c r="H1154" s="1245"/>
      <c r="I1154" s="1245"/>
    </row>
    <row r="1155" spans="8:9">
      <c r="H1155" s="1245"/>
      <c r="I1155" s="1245"/>
    </row>
    <row r="1156" spans="8:9">
      <c r="H1156" s="1245"/>
      <c r="I1156" s="1245"/>
    </row>
    <row r="1157" spans="8:9">
      <c r="H1157" s="1245"/>
      <c r="I1157" s="1245"/>
    </row>
    <row r="1158" spans="8:9">
      <c r="H1158" s="1245"/>
      <c r="I1158" s="1245"/>
    </row>
    <row r="1159" spans="8:9">
      <c r="H1159" s="1245"/>
      <c r="I1159" s="1245"/>
    </row>
    <row r="1160" spans="8:9">
      <c r="H1160" s="1245"/>
      <c r="I1160" s="1245"/>
    </row>
    <row r="1161" spans="8:9">
      <c r="H1161" s="1245"/>
      <c r="I1161" s="1245"/>
    </row>
    <row r="1162" spans="8:9">
      <c r="H1162" s="1245"/>
      <c r="I1162" s="1245"/>
    </row>
    <row r="1163" spans="8:9">
      <c r="H1163" s="1245"/>
      <c r="I1163" s="1245"/>
    </row>
    <row r="1164" spans="8:9">
      <c r="H1164" s="1245"/>
      <c r="I1164" s="1245"/>
    </row>
    <row r="1165" spans="8:9">
      <c r="H1165" s="1245"/>
      <c r="I1165" s="1245"/>
    </row>
    <row r="1166" spans="8:9">
      <c r="H1166" s="1245"/>
      <c r="I1166" s="1245"/>
    </row>
    <row r="1167" spans="8:9">
      <c r="H1167" s="1245"/>
      <c r="I1167" s="1245"/>
    </row>
    <row r="1168" spans="8:9">
      <c r="H1168" s="1245"/>
      <c r="I1168" s="1245"/>
    </row>
    <row r="1169" spans="8:9">
      <c r="H1169" s="1245"/>
      <c r="I1169" s="1245"/>
    </row>
    <row r="1170" spans="8:9">
      <c r="H1170" s="1245"/>
      <c r="I1170" s="1245"/>
    </row>
    <row r="1171" spans="8:9">
      <c r="H1171" s="1245"/>
      <c r="I1171" s="1245"/>
    </row>
    <row r="1172" spans="8:9">
      <c r="H1172" s="1245"/>
      <c r="I1172" s="1245"/>
    </row>
    <row r="1173" spans="8:9">
      <c r="H1173" s="1245"/>
      <c r="I1173" s="1245"/>
    </row>
    <row r="1174" spans="8:9">
      <c r="H1174" s="1245"/>
      <c r="I1174" s="1245"/>
    </row>
    <row r="1175" spans="8:9">
      <c r="H1175" s="1245"/>
      <c r="I1175" s="1245"/>
    </row>
    <row r="1176" spans="8:9">
      <c r="H1176" s="1245"/>
      <c r="I1176" s="1245"/>
    </row>
    <row r="1177" spans="8:9">
      <c r="H1177" s="1245"/>
      <c r="I1177" s="1245"/>
    </row>
    <row r="1178" spans="8:9">
      <c r="H1178" s="1245"/>
      <c r="I1178" s="1245"/>
    </row>
    <row r="1179" spans="8:9">
      <c r="H1179" s="1245"/>
      <c r="I1179" s="1245"/>
    </row>
    <row r="1180" spans="8:9">
      <c r="H1180" s="1245"/>
      <c r="I1180" s="1245"/>
    </row>
    <row r="1181" spans="8:9">
      <c r="H1181" s="1245"/>
      <c r="I1181" s="1245"/>
    </row>
    <row r="1182" spans="8:9">
      <c r="H1182" s="1245"/>
      <c r="I1182" s="1245"/>
    </row>
    <row r="1183" spans="8:9">
      <c r="H1183" s="1245"/>
      <c r="I1183" s="1245"/>
    </row>
    <row r="1184" spans="8:9">
      <c r="H1184" s="1245"/>
      <c r="I1184" s="1245"/>
    </row>
    <row r="1185" spans="8:9">
      <c r="H1185" s="1245"/>
      <c r="I1185" s="1245"/>
    </row>
    <row r="1186" spans="8:9">
      <c r="H1186" s="1245"/>
      <c r="I1186" s="1245"/>
    </row>
    <row r="1187" spans="8:9">
      <c r="H1187" s="1245"/>
      <c r="I1187" s="1245"/>
    </row>
    <row r="1188" spans="8:9">
      <c r="H1188" s="1245"/>
      <c r="I1188" s="1245"/>
    </row>
    <row r="1189" spans="8:9">
      <c r="H1189" s="1245"/>
      <c r="I1189" s="1245"/>
    </row>
    <row r="1190" spans="8:9">
      <c r="H1190" s="1245"/>
      <c r="I1190" s="1245"/>
    </row>
    <row r="1191" spans="8:9">
      <c r="H1191" s="1245"/>
      <c r="I1191" s="1245"/>
    </row>
    <row r="1192" spans="8:9">
      <c r="H1192" s="1245"/>
      <c r="I1192" s="1245"/>
    </row>
    <row r="1193" spans="8:9">
      <c r="H1193" s="1245"/>
      <c r="I1193" s="1245"/>
    </row>
    <row r="1194" spans="8:9">
      <c r="H1194" s="1245"/>
      <c r="I1194" s="1245"/>
    </row>
    <row r="1195" spans="8:9">
      <c r="H1195" s="1245"/>
      <c r="I1195" s="1245"/>
    </row>
    <row r="1196" spans="8:9">
      <c r="H1196" s="1245"/>
      <c r="I1196" s="1245"/>
    </row>
    <row r="1197" spans="8:9">
      <c r="H1197" s="1245"/>
      <c r="I1197" s="1245"/>
    </row>
    <row r="1198" spans="8:9">
      <c r="H1198" s="1245"/>
      <c r="I1198" s="1245"/>
    </row>
    <row r="1199" spans="8:9">
      <c r="H1199" s="1245"/>
      <c r="I1199" s="1245"/>
    </row>
    <row r="1200" spans="8:9">
      <c r="H1200" s="1245"/>
      <c r="I1200" s="1245"/>
    </row>
    <row r="1201" spans="8:9">
      <c r="H1201" s="1245"/>
      <c r="I1201" s="1245"/>
    </row>
    <row r="1202" spans="8:9">
      <c r="H1202" s="1245"/>
      <c r="I1202" s="1245"/>
    </row>
    <row r="1203" spans="8:9">
      <c r="H1203" s="1245"/>
      <c r="I1203" s="1245"/>
    </row>
    <row r="1204" spans="8:9">
      <c r="H1204" s="1245"/>
      <c r="I1204" s="1245"/>
    </row>
    <row r="1205" spans="8:9">
      <c r="H1205" s="1245"/>
      <c r="I1205" s="1245"/>
    </row>
    <row r="1206" spans="8:9">
      <c r="H1206" s="1245"/>
      <c r="I1206" s="1245"/>
    </row>
    <row r="1207" spans="8:9">
      <c r="H1207" s="1245"/>
      <c r="I1207" s="1245"/>
    </row>
    <row r="1208" spans="8:9">
      <c r="H1208" s="1245"/>
      <c r="I1208" s="1245"/>
    </row>
    <row r="1209" spans="8:9">
      <c r="H1209" s="1245"/>
      <c r="I1209" s="1245"/>
    </row>
    <row r="1210" spans="8:9">
      <c r="H1210" s="1245"/>
      <c r="I1210" s="1245"/>
    </row>
    <row r="1211" spans="8:9">
      <c r="H1211" s="1245"/>
      <c r="I1211" s="1245"/>
    </row>
    <row r="1212" spans="8:9">
      <c r="H1212" s="1245"/>
      <c r="I1212" s="1245"/>
    </row>
    <row r="1213" spans="8:9">
      <c r="H1213" s="1245"/>
      <c r="I1213" s="1245"/>
    </row>
    <row r="1214" spans="8:9">
      <c r="H1214" s="1245"/>
      <c r="I1214" s="1245"/>
    </row>
    <row r="1215" spans="8:9">
      <c r="H1215" s="1245"/>
      <c r="I1215" s="1245"/>
    </row>
    <row r="1216" spans="8:9">
      <c r="H1216" s="1245"/>
      <c r="I1216" s="1245"/>
    </row>
    <row r="1217" spans="8:9">
      <c r="H1217" s="1245"/>
      <c r="I1217" s="1245"/>
    </row>
    <row r="1218" spans="8:9">
      <c r="H1218" s="1245"/>
      <c r="I1218" s="1245"/>
    </row>
    <row r="1219" spans="8:9">
      <c r="H1219" s="1245"/>
      <c r="I1219" s="1245"/>
    </row>
    <row r="1220" spans="8:9">
      <c r="H1220" s="1245"/>
      <c r="I1220" s="1245"/>
    </row>
    <row r="1221" spans="8:9">
      <c r="H1221" s="1245"/>
      <c r="I1221" s="1245"/>
    </row>
    <row r="1222" spans="8:9">
      <c r="H1222" s="1245"/>
      <c r="I1222" s="1245"/>
    </row>
    <row r="1223" spans="8:9">
      <c r="H1223" s="1245"/>
      <c r="I1223" s="1245"/>
    </row>
    <row r="1224" spans="8:9">
      <c r="H1224" s="1245"/>
      <c r="I1224" s="1245"/>
    </row>
    <row r="1225" spans="8:9">
      <c r="H1225" s="1245"/>
      <c r="I1225" s="1245"/>
    </row>
    <row r="1226" spans="8:9">
      <c r="H1226" s="1245"/>
      <c r="I1226" s="1245"/>
    </row>
    <row r="1227" spans="8:9">
      <c r="H1227" s="1245"/>
      <c r="I1227" s="1245"/>
    </row>
    <row r="1228" spans="8:9">
      <c r="H1228" s="1245"/>
      <c r="I1228" s="1245"/>
    </row>
    <row r="1229" spans="8:9">
      <c r="H1229" s="1245"/>
      <c r="I1229" s="1245"/>
    </row>
    <row r="1230" spans="8:9">
      <c r="H1230" s="1245"/>
      <c r="I1230" s="1245"/>
    </row>
    <row r="1231" spans="8:9">
      <c r="H1231" s="1245"/>
      <c r="I1231" s="1245"/>
    </row>
    <row r="1232" spans="8:9">
      <c r="H1232" s="1245"/>
      <c r="I1232" s="1245"/>
    </row>
    <row r="1233" spans="8:9">
      <c r="H1233" s="1245"/>
      <c r="I1233" s="1245"/>
    </row>
    <row r="1234" spans="8:9">
      <c r="H1234" s="1245"/>
      <c r="I1234" s="1245"/>
    </row>
    <row r="1235" spans="8:9">
      <c r="H1235" s="1245"/>
      <c r="I1235" s="1245"/>
    </row>
    <row r="1236" spans="8:9">
      <c r="H1236" s="1245"/>
      <c r="I1236" s="1245"/>
    </row>
    <row r="1237" spans="8:9">
      <c r="H1237" s="1245"/>
      <c r="I1237" s="1245"/>
    </row>
    <row r="1238" spans="8:9">
      <c r="H1238" s="1245"/>
      <c r="I1238" s="1245"/>
    </row>
    <row r="1239" spans="8:9">
      <c r="H1239" s="1245"/>
      <c r="I1239" s="1245"/>
    </row>
    <row r="1240" spans="8:9">
      <c r="H1240" s="1245"/>
      <c r="I1240" s="1245"/>
    </row>
    <row r="1241" spans="8:9">
      <c r="H1241" s="1245"/>
      <c r="I1241" s="1245"/>
    </row>
    <row r="1242" spans="8:9">
      <c r="H1242" s="1245"/>
      <c r="I1242" s="1245"/>
    </row>
    <row r="1243" spans="8:9">
      <c r="H1243" s="1245"/>
      <c r="I1243" s="1245"/>
    </row>
    <row r="1244" spans="8:9">
      <c r="H1244" s="1245"/>
      <c r="I1244" s="1245"/>
    </row>
    <row r="1245" spans="8:9">
      <c r="H1245" s="1245"/>
      <c r="I1245" s="1245"/>
    </row>
    <row r="1246" spans="8:9">
      <c r="H1246" s="1245"/>
      <c r="I1246" s="1245"/>
    </row>
    <row r="1247" spans="8:9">
      <c r="H1247" s="1245"/>
      <c r="I1247" s="1245"/>
    </row>
    <row r="1248" spans="8:9">
      <c r="H1248" s="1245"/>
      <c r="I1248" s="1245"/>
    </row>
    <row r="1249" spans="8:9">
      <c r="H1249" s="1245"/>
      <c r="I1249" s="1245"/>
    </row>
    <row r="1250" spans="8:9">
      <c r="H1250" s="1245"/>
      <c r="I1250" s="1245"/>
    </row>
    <row r="1251" spans="8:9">
      <c r="H1251" s="1245"/>
      <c r="I1251" s="1245"/>
    </row>
    <row r="1252" spans="8:9">
      <c r="H1252" s="1245"/>
      <c r="I1252" s="1245"/>
    </row>
    <row r="1253" spans="8:9">
      <c r="H1253" s="1245"/>
      <c r="I1253" s="1245"/>
    </row>
    <row r="1254" spans="8:9">
      <c r="H1254" s="1245"/>
      <c r="I1254" s="1245"/>
    </row>
    <row r="1255" spans="8:9">
      <c r="H1255" s="1245"/>
      <c r="I1255" s="1245"/>
    </row>
    <row r="1256" spans="8:9">
      <c r="H1256" s="1245"/>
      <c r="I1256" s="1245"/>
    </row>
    <row r="1257" spans="8:9">
      <c r="H1257" s="1245"/>
      <c r="I1257" s="1245"/>
    </row>
    <row r="1258" spans="8:9">
      <c r="H1258" s="1245"/>
      <c r="I1258" s="1245"/>
    </row>
    <row r="1259" spans="8:9">
      <c r="H1259" s="1245"/>
      <c r="I1259" s="1245"/>
    </row>
    <row r="1260" spans="8:9">
      <c r="H1260" s="1245"/>
      <c r="I1260" s="1245"/>
    </row>
    <row r="1261" spans="8:9">
      <c r="H1261" s="1245"/>
      <c r="I1261" s="1245"/>
    </row>
    <row r="1262" spans="8:9">
      <c r="H1262" s="1245"/>
      <c r="I1262" s="1245"/>
    </row>
    <row r="1263" spans="8:9">
      <c r="H1263" s="1245"/>
      <c r="I1263" s="1245"/>
    </row>
    <row r="1264" spans="8:9">
      <c r="H1264" s="1245"/>
      <c r="I1264" s="1245"/>
    </row>
    <row r="1265" spans="8:9">
      <c r="H1265" s="1245"/>
      <c r="I1265" s="1245"/>
    </row>
    <row r="1266" spans="8:9">
      <c r="H1266" s="1245"/>
      <c r="I1266" s="1245"/>
    </row>
    <row r="1267" spans="8:9">
      <c r="H1267" s="1245"/>
      <c r="I1267" s="1245"/>
    </row>
    <row r="1268" spans="8:9">
      <c r="H1268" s="1245"/>
      <c r="I1268" s="1245"/>
    </row>
    <row r="1269" spans="8:9">
      <c r="H1269" s="1245"/>
      <c r="I1269" s="1245"/>
    </row>
    <row r="1270" spans="8:9">
      <c r="H1270" s="1245"/>
      <c r="I1270" s="1245"/>
    </row>
    <row r="1271" spans="8:9">
      <c r="H1271" s="1245"/>
      <c r="I1271" s="1245"/>
    </row>
    <row r="1272" spans="8:9">
      <c r="H1272" s="1245"/>
      <c r="I1272" s="1245"/>
    </row>
    <row r="1273" spans="8:9">
      <c r="H1273" s="1245"/>
      <c r="I1273" s="1245"/>
    </row>
    <row r="1274" spans="8:9">
      <c r="H1274" s="1245"/>
      <c r="I1274" s="1245"/>
    </row>
    <row r="1275" spans="8:9">
      <c r="H1275" s="1245"/>
      <c r="I1275" s="1245"/>
    </row>
    <row r="1276" spans="8:9">
      <c r="H1276" s="1245"/>
      <c r="I1276" s="1245"/>
    </row>
    <row r="1277" spans="8:9">
      <c r="H1277" s="1245"/>
      <c r="I1277" s="1245"/>
    </row>
    <row r="1278" spans="8:9">
      <c r="H1278" s="1245"/>
      <c r="I1278" s="1245"/>
    </row>
    <row r="1279" spans="8:9">
      <c r="H1279" s="1245"/>
      <c r="I1279" s="1245"/>
    </row>
    <row r="1280" spans="8:9">
      <c r="H1280" s="1245"/>
      <c r="I1280" s="1245"/>
    </row>
    <row r="1281" spans="8:9">
      <c r="H1281" s="1245"/>
      <c r="I1281" s="1245"/>
    </row>
    <row r="1282" spans="8:9">
      <c r="H1282" s="1245"/>
      <c r="I1282" s="1245"/>
    </row>
    <row r="1283" spans="8:9">
      <c r="H1283" s="1245"/>
      <c r="I1283" s="1245"/>
    </row>
    <row r="1284" spans="8:9">
      <c r="H1284" s="1245"/>
      <c r="I1284" s="1245"/>
    </row>
    <row r="1285" spans="8:9">
      <c r="H1285" s="1245"/>
      <c r="I1285" s="1245"/>
    </row>
    <row r="1286" spans="8:9">
      <c r="H1286" s="1245"/>
      <c r="I1286" s="1245"/>
    </row>
    <row r="1287" spans="8:9">
      <c r="H1287" s="1245"/>
      <c r="I1287" s="1245"/>
    </row>
    <row r="1288" spans="8:9">
      <c r="H1288" s="1245"/>
      <c r="I1288" s="1245"/>
    </row>
    <row r="1289" spans="8:9">
      <c r="H1289" s="1245"/>
      <c r="I1289" s="1245"/>
    </row>
    <row r="1290" spans="8:9">
      <c r="H1290" s="1245"/>
      <c r="I1290" s="1245"/>
    </row>
    <row r="1291" spans="8:9">
      <c r="H1291" s="1245"/>
      <c r="I1291" s="1245"/>
    </row>
    <row r="1292" spans="8:9">
      <c r="H1292" s="1245"/>
      <c r="I1292" s="1245"/>
    </row>
    <row r="1293" spans="8:9">
      <c r="H1293" s="1245"/>
      <c r="I1293" s="1245"/>
    </row>
    <row r="1294" spans="8:9">
      <c r="H1294" s="1245"/>
      <c r="I1294" s="1245"/>
    </row>
    <row r="1295" spans="8:9">
      <c r="H1295" s="1245"/>
      <c r="I1295" s="1245"/>
    </row>
    <row r="1296" spans="8:9">
      <c r="H1296" s="1245"/>
      <c r="I1296" s="1245"/>
    </row>
    <row r="1297" spans="8:9">
      <c r="H1297" s="1245"/>
      <c r="I1297" s="1245"/>
    </row>
    <row r="1298" spans="8:9">
      <c r="H1298" s="1245"/>
      <c r="I1298" s="1245"/>
    </row>
    <row r="1299" spans="8:9">
      <c r="H1299" s="1245"/>
      <c r="I1299" s="1245"/>
    </row>
    <row r="1300" spans="8:9">
      <c r="H1300" s="1245"/>
      <c r="I1300" s="1245"/>
    </row>
    <row r="1301" spans="8:9">
      <c r="H1301" s="1245"/>
      <c r="I1301" s="1245"/>
    </row>
    <row r="1302" spans="8:9">
      <c r="H1302" s="1245"/>
      <c r="I1302" s="1245"/>
    </row>
    <row r="1303" spans="8:9">
      <c r="H1303" s="1245"/>
      <c r="I1303" s="1245"/>
    </row>
    <row r="1304" spans="8:9">
      <c r="H1304" s="1245"/>
      <c r="I1304" s="1245"/>
    </row>
    <row r="1305" spans="8:9">
      <c r="H1305" s="1245"/>
      <c r="I1305" s="1245"/>
    </row>
    <row r="1306" spans="8:9">
      <c r="H1306" s="1245"/>
      <c r="I1306" s="1245"/>
    </row>
    <row r="1307" spans="8:9">
      <c r="H1307" s="1245"/>
      <c r="I1307" s="1245"/>
    </row>
    <row r="1308" spans="8:9">
      <c r="H1308" s="1245"/>
      <c r="I1308" s="1245"/>
    </row>
    <row r="1309" spans="8:9">
      <c r="H1309" s="1245"/>
      <c r="I1309" s="1245"/>
    </row>
    <row r="1310" spans="8:9">
      <c r="H1310" s="1245"/>
      <c r="I1310" s="1245"/>
    </row>
    <row r="1311" spans="8:9">
      <c r="H1311" s="1245"/>
      <c r="I1311" s="1245"/>
    </row>
    <row r="1312" spans="8:9">
      <c r="H1312" s="1245"/>
      <c r="I1312" s="1245"/>
    </row>
    <row r="1313" spans="8:9">
      <c r="H1313" s="1245"/>
      <c r="I1313" s="1245"/>
    </row>
    <row r="1314" spans="8:9">
      <c r="H1314" s="1245"/>
      <c r="I1314" s="1245"/>
    </row>
    <row r="1315" spans="8:9">
      <c r="H1315" s="1245"/>
      <c r="I1315" s="1245"/>
    </row>
    <row r="1316" spans="8:9">
      <c r="H1316" s="1245"/>
      <c r="I1316" s="1245"/>
    </row>
    <row r="1317" spans="8:9">
      <c r="H1317" s="1245"/>
      <c r="I1317" s="1245"/>
    </row>
    <row r="1318" spans="8:9">
      <c r="H1318" s="1245"/>
      <c r="I1318" s="1245"/>
    </row>
    <row r="1319" spans="8:9">
      <c r="H1319" s="1245"/>
      <c r="I1319" s="1245"/>
    </row>
    <row r="1320" spans="8:9">
      <c r="H1320" s="1245"/>
      <c r="I1320" s="1245"/>
    </row>
    <row r="1321" spans="8:9">
      <c r="H1321" s="1245"/>
      <c r="I1321" s="1245"/>
    </row>
    <row r="1322" spans="8:9">
      <c r="H1322" s="1245"/>
      <c r="I1322" s="1245"/>
    </row>
    <row r="1323" spans="8:9">
      <c r="H1323" s="1245"/>
      <c r="I1323" s="1245"/>
    </row>
    <row r="1324" spans="8:9">
      <c r="H1324" s="1245"/>
      <c r="I1324" s="1245"/>
    </row>
    <row r="1325" spans="8:9">
      <c r="H1325" s="1245"/>
      <c r="I1325" s="1245"/>
    </row>
    <row r="1326" spans="8:9">
      <c r="H1326" s="1245"/>
      <c r="I1326" s="1245"/>
    </row>
    <row r="1327" spans="8:9">
      <c r="H1327" s="1245"/>
      <c r="I1327" s="1245"/>
    </row>
    <row r="1328" spans="8:9">
      <c r="H1328" s="1245"/>
      <c r="I1328" s="1245"/>
    </row>
    <row r="1329" spans="8:9">
      <c r="H1329" s="1245"/>
      <c r="I1329" s="1245"/>
    </row>
    <row r="1330" spans="8:9">
      <c r="H1330" s="1245"/>
      <c r="I1330" s="1245"/>
    </row>
    <row r="1331" spans="8:9">
      <c r="H1331" s="1245"/>
      <c r="I1331" s="1245"/>
    </row>
    <row r="1332" spans="8:9">
      <c r="H1332" s="1245"/>
      <c r="I1332" s="1245"/>
    </row>
    <row r="1333" spans="8:9">
      <c r="H1333" s="1245"/>
      <c r="I1333" s="1245"/>
    </row>
    <row r="1334" spans="8:9">
      <c r="H1334" s="1245"/>
      <c r="I1334" s="1245"/>
    </row>
    <row r="1335" spans="8:9">
      <c r="H1335" s="1245"/>
      <c r="I1335" s="1245"/>
    </row>
    <row r="1336" spans="8:9">
      <c r="H1336" s="1245"/>
      <c r="I1336" s="1245"/>
    </row>
    <row r="1337" spans="8:9">
      <c r="H1337" s="1245"/>
      <c r="I1337" s="1245"/>
    </row>
    <row r="1338" spans="8:9">
      <c r="H1338" s="1245"/>
      <c r="I1338" s="1245"/>
    </row>
    <row r="1339" spans="8:9">
      <c r="H1339" s="1245"/>
      <c r="I1339" s="1245"/>
    </row>
    <row r="1340" spans="8:9">
      <c r="H1340" s="1245"/>
      <c r="I1340" s="1245"/>
    </row>
    <row r="1341" spans="8:9">
      <c r="H1341" s="1245"/>
      <c r="I1341" s="1245"/>
    </row>
    <row r="1342" spans="8:9">
      <c r="H1342" s="1245"/>
      <c r="I1342" s="1245"/>
    </row>
    <row r="1343" spans="8:9">
      <c r="H1343" s="1245"/>
      <c r="I1343" s="1245"/>
    </row>
    <row r="1344" spans="8:9">
      <c r="H1344" s="1245"/>
      <c r="I1344" s="1245"/>
    </row>
    <row r="1345" spans="8:9">
      <c r="H1345" s="1245"/>
      <c r="I1345" s="1245"/>
    </row>
    <row r="1346" spans="8:9">
      <c r="H1346" s="1245"/>
      <c r="I1346" s="1245"/>
    </row>
    <row r="1347" spans="8:9">
      <c r="H1347" s="1245"/>
      <c r="I1347" s="1245"/>
    </row>
    <row r="1348" spans="8:9">
      <c r="H1348" s="1245"/>
      <c r="I1348" s="1245"/>
    </row>
    <row r="1349" spans="8:9">
      <c r="H1349" s="1245"/>
      <c r="I1349" s="1245"/>
    </row>
    <row r="1350" spans="8:9">
      <c r="H1350" s="1245"/>
      <c r="I1350" s="1245"/>
    </row>
    <row r="1351" spans="8:9">
      <c r="H1351" s="1245"/>
      <c r="I1351" s="1245"/>
    </row>
    <row r="1352" spans="8:9">
      <c r="H1352" s="1245"/>
      <c r="I1352" s="1245"/>
    </row>
    <row r="1353" spans="8:9">
      <c r="H1353" s="1245"/>
      <c r="I1353" s="1245"/>
    </row>
    <row r="1354" spans="8:9">
      <c r="H1354" s="1245"/>
      <c r="I1354" s="1245"/>
    </row>
    <row r="1355" spans="8:9">
      <c r="H1355" s="1245"/>
      <c r="I1355" s="1245"/>
    </row>
    <row r="1356" spans="8:9">
      <c r="H1356" s="1245"/>
      <c r="I1356" s="1245"/>
    </row>
    <row r="1357" spans="8:9">
      <c r="H1357" s="1245"/>
      <c r="I1357" s="1245"/>
    </row>
    <row r="1358" spans="8:9">
      <c r="H1358" s="1245"/>
      <c r="I1358" s="1245"/>
    </row>
    <row r="1359" spans="8:9">
      <c r="H1359" s="1245"/>
      <c r="I1359" s="1245"/>
    </row>
    <row r="1360" spans="8:9">
      <c r="H1360" s="1245"/>
      <c r="I1360" s="1245"/>
    </row>
    <row r="1361" spans="8:9">
      <c r="H1361" s="1245"/>
      <c r="I1361" s="1245"/>
    </row>
    <row r="1362" spans="8:9">
      <c r="H1362" s="1245"/>
      <c r="I1362" s="1245"/>
    </row>
    <row r="1363" spans="8:9">
      <c r="H1363" s="1245"/>
      <c r="I1363" s="1245"/>
    </row>
    <row r="1364" spans="8:9">
      <c r="H1364" s="1245"/>
      <c r="I1364" s="1245"/>
    </row>
    <row r="1365" spans="8:9">
      <c r="H1365" s="1245"/>
      <c r="I1365" s="1245"/>
    </row>
    <row r="1366" spans="8:9">
      <c r="H1366" s="1245"/>
      <c r="I1366" s="1245"/>
    </row>
    <row r="1367" spans="8:9">
      <c r="H1367" s="1245"/>
      <c r="I1367" s="1245"/>
    </row>
    <row r="1368" spans="8:9">
      <c r="H1368" s="1245"/>
      <c r="I1368" s="1245"/>
    </row>
    <row r="1369" spans="8:9">
      <c r="H1369" s="1245"/>
      <c r="I1369" s="1245"/>
    </row>
    <row r="1370" spans="8:9">
      <c r="H1370" s="1245"/>
      <c r="I1370" s="1245"/>
    </row>
    <row r="1371" spans="8:9">
      <c r="H1371" s="1245"/>
      <c r="I1371" s="1245"/>
    </row>
    <row r="1372" spans="8:9">
      <c r="H1372" s="1245"/>
      <c r="I1372" s="1245"/>
    </row>
    <row r="1373" spans="8:9">
      <c r="H1373" s="1245"/>
      <c r="I1373" s="1245"/>
    </row>
    <row r="1374" spans="8:9">
      <c r="H1374" s="1245"/>
      <c r="I1374" s="1245"/>
    </row>
    <row r="1375" spans="8:9">
      <c r="H1375" s="1245"/>
      <c r="I1375" s="1245"/>
    </row>
    <row r="1376" spans="8:9">
      <c r="H1376" s="1245"/>
      <c r="I1376" s="1245"/>
    </row>
    <row r="1377" spans="8:9">
      <c r="H1377" s="1245"/>
      <c r="I1377" s="1245"/>
    </row>
    <row r="1378" spans="8:9">
      <c r="H1378" s="1245"/>
      <c r="I1378" s="1245"/>
    </row>
    <row r="1379" spans="8:9">
      <c r="H1379" s="1245"/>
      <c r="I1379" s="1245"/>
    </row>
    <row r="1380" spans="8:9">
      <c r="H1380" s="1245"/>
      <c r="I1380" s="1245"/>
    </row>
    <row r="1381" spans="8:9">
      <c r="H1381" s="1245"/>
      <c r="I1381" s="1245"/>
    </row>
    <row r="1382" spans="8:9">
      <c r="H1382" s="1245"/>
      <c r="I1382" s="1245"/>
    </row>
    <row r="1383" spans="8:9">
      <c r="H1383" s="1245"/>
      <c r="I1383" s="1245"/>
    </row>
    <row r="1384" spans="8:9">
      <c r="H1384" s="1245"/>
      <c r="I1384" s="1245"/>
    </row>
    <row r="1385" spans="8:9">
      <c r="H1385" s="1245"/>
      <c r="I1385" s="1245"/>
    </row>
    <row r="1386" spans="8:9">
      <c r="H1386" s="1245"/>
      <c r="I1386" s="1245"/>
    </row>
    <row r="1387" spans="8:9">
      <c r="H1387" s="1245"/>
      <c r="I1387" s="1245"/>
    </row>
    <row r="1388" spans="8:9">
      <c r="H1388" s="1245"/>
      <c r="I1388" s="1245"/>
    </row>
    <row r="1389" spans="8:9">
      <c r="H1389" s="1245"/>
      <c r="I1389" s="1245"/>
    </row>
    <row r="1390" spans="8:9">
      <c r="H1390" s="1245"/>
      <c r="I1390" s="1245"/>
    </row>
    <row r="1391" spans="8:9">
      <c r="H1391" s="1245"/>
      <c r="I1391" s="1245"/>
    </row>
    <row r="1392" spans="8:9">
      <c r="H1392" s="1245"/>
      <c r="I1392" s="1245"/>
    </row>
    <row r="1393" spans="8:9">
      <c r="H1393" s="1245"/>
      <c r="I1393" s="1245"/>
    </row>
    <row r="1394" spans="8:9">
      <c r="H1394" s="1245"/>
      <c r="I1394" s="1245"/>
    </row>
    <row r="1395" spans="8:9">
      <c r="H1395" s="1245"/>
      <c r="I1395" s="1245"/>
    </row>
    <row r="1396" spans="8:9">
      <c r="H1396" s="1245"/>
      <c r="I1396" s="1245"/>
    </row>
    <row r="1397" spans="8:9">
      <c r="H1397" s="1245"/>
      <c r="I1397" s="1245"/>
    </row>
    <row r="1398" spans="8:9">
      <c r="H1398" s="1245"/>
      <c r="I1398" s="1245"/>
    </row>
    <row r="1399" spans="8:9">
      <c r="H1399" s="1245"/>
      <c r="I1399" s="1245"/>
    </row>
    <row r="1400" spans="8:9">
      <c r="H1400" s="1245"/>
      <c r="I1400" s="1245"/>
    </row>
    <row r="1401" spans="8:9">
      <c r="H1401" s="1245"/>
      <c r="I1401" s="1245"/>
    </row>
    <row r="1402" spans="8:9">
      <c r="H1402" s="1245"/>
      <c r="I1402" s="1245"/>
    </row>
    <row r="1403" spans="8:9">
      <c r="H1403" s="1245"/>
      <c r="I1403" s="1245"/>
    </row>
    <row r="1404" spans="8:9">
      <c r="H1404" s="1245"/>
      <c r="I1404" s="1245"/>
    </row>
    <row r="1405" spans="8:9">
      <c r="H1405" s="1245"/>
      <c r="I1405" s="1245"/>
    </row>
    <row r="1406" spans="8:9">
      <c r="H1406" s="1245"/>
      <c r="I1406" s="1245"/>
    </row>
    <row r="1407" spans="8:9">
      <c r="H1407" s="1245"/>
      <c r="I1407" s="1245"/>
    </row>
    <row r="1408" spans="8:9">
      <c r="H1408" s="1245"/>
      <c r="I1408" s="1245"/>
    </row>
    <row r="1409" spans="8:9">
      <c r="H1409" s="1245"/>
      <c r="I1409" s="1245"/>
    </row>
    <row r="1410" spans="8:9">
      <c r="H1410" s="1245"/>
      <c r="I1410" s="1245"/>
    </row>
    <row r="1411" spans="8:9">
      <c r="H1411" s="1245"/>
      <c r="I1411" s="1245"/>
    </row>
    <row r="1412" spans="8:9">
      <c r="H1412" s="1245"/>
      <c r="I1412" s="1245"/>
    </row>
    <row r="1413" spans="8:9">
      <c r="H1413" s="1245"/>
      <c r="I1413" s="1245"/>
    </row>
    <row r="1414" spans="8:9">
      <c r="H1414" s="1245"/>
      <c r="I1414" s="1245"/>
    </row>
    <row r="1415" spans="8:9">
      <c r="H1415" s="1245"/>
      <c r="I1415" s="1245"/>
    </row>
    <row r="1416" spans="8:9">
      <c r="H1416" s="1245"/>
      <c r="I1416" s="1245"/>
    </row>
    <row r="1417" spans="8:9">
      <c r="H1417" s="1245"/>
      <c r="I1417" s="1245"/>
    </row>
    <row r="1418" spans="8:9">
      <c r="H1418" s="1245"/>
      <c r="I1418" s="1245"/>
    </row>
    <row r="1419" spans="8:9">
      <c r="H1419" s="1245"/>
      <c r="I1419" s="1245"/>
    </row>
    <row r="1420" spans="8:9">
      <c r="H1420" s="1245"/>
      <c r="I1420" s="1245"/>
    </row>
    <row r="1421" spans="8:9">
      <c r="H1421" s="1245"/>
      <c r="I1421" s="1245"/>
    </row>
    <row r="1422" spans="8:9">
      <c r="H1422" s="1245"/>
      <c r="I1422" s="1245"/>
    </row>
    <row r="1423" spans="8:9">
      <c r="H1423" s="1245"/>
      <c r="I1423" s="1245"/>
    </row>
    <row r="1424" spans="8:9">
      <c r="H1424" s="1245"/>
      <c r="I1424" s="1245"/>
    </row>
    <row r="1425" spans="8:9">
      <c r="H1425" s="1245"/>
      <c r="I1425" s="1245"/>
    </row>
    <row r="1426" spans="8:9">
      <c r="H1426" s="1245"/>
      <c r="I1426" s="1245"/>
    </row>
    <row r="1427" spans="8:9">
      <c r="H1427" s="1245"/>
      <c r="I1427" s="1245"/>
    </row>
    <row r="1428" spans="8:9">
      <c r="H1428" s="1245"/>
      <c r="I1428" s="1245"/>
    </row>
    <row r="1429" spans="8:9">
      <c r="H1429" s="1245"/>
      <c r="I1429" s="1245"/>
    </row>
    <row r="1430" spans="8:9">
      <c r="H1430" s="1245"/>
      <c r="I1430" s="1245"/>
    </row>
    <row r="1431" spans="8:9">
      <c r="H1431" s="1245"/>
      <c r="I1431" s="1245"/>
    </row>
    <row r="1432" spans="8:9">
      <c r="H1432" s="1245"/>
      <c r="I1432" s="1245"/>
    </row>
    <row r="1433" spans="8:9">
      <c r="H1433" s="1245"/>
      <c r="I1433" s="1245"/>
    </row>
    <row r="1434" spans="8:9">
      <c r="H1434" s="1245"/>
      <c r="I1434" s="1245"/>
    </row>
    <row r="1435" spans="8:9">
      <c r="H1435" s="1245"/>
      <c r="I1435" s="1245"/>
    </row>
    <row r="1436" spans="8:9">
      <c r="H1436" s="1245"/>
      <c r="I1436" s="1245"/>
    </row>
    <row r="1437" spans="8:9">
      <c r="H1437" s="1245"/>
      <c r="I1437" s="1245"/>
    </row>
    <row r="1438" spans="8:9">
      <c r="H1438" s="1245"/>
      <c r="I1438" s="1245"/>
    </row>
    <row r="1439" spans="8:9">
      <c r="H1439" s="1245"/>
      <c r="I1439" s="1245"/>
    </row>
    <row r="1440" spans="8:9">
      <c r="H1440" s="1245"/>
      <c r="I1440" s="1245"/>
    </row>
    <row r="1441" spans="8:9">
      <c r="H1441" s="1245"/>
      <c r="I1441" s="1245"/>
    </row>
    <row r="1442" spans="8:9">
      <c r="H1442" s="1245"/>
      <c r="I1442" s="1245"/>
    </row>
    <row r="1443" spans="8:9">
      <c r="H1443" s="1245"/>
      <c r="I1443" s="1245"/>
    </row>
    <row r="1444" spans="8:9">
      <c r="H1444" s="1245"/>
      <c r="I1444" s="1245"/>
    </row>
    <row r="1445" spans="8:9">
      <c r="H1445" s="1245"/>
      <c r="I1445" s="1245"/>
    </row>
    <row r="1446" spans="8:9">
      <c r="H1446" s="1245"/>
      <c r="I1446" s="1245"/>
    </row>
    <row r="1447" spans="8:9">
      <c r="H1447" s="1245"/>
      <c r="I1447" s="1245"/>
    </row>
    <row r="1448" spans="8:9">
      <c r="H1448" s="1245"/>
      <c r="I1448" s="1245"/>
    </row>
    <row r="1449" spans="8:9">
      <c r="H1449" s="1245"/>
      <c r="I1449" s="1245"/>
    </row>
    <row r="1450" spans="8:9">
      <c r="H1450" s="1245"/>
      <c r="I1450" s="1245"/>
    </row>
    <row r="1451" spans="8:9">
      <c r="H1451" s="1245"/>
      <c r="I1451" s="1245"/>
    </row>
    <row r="1452" spans="8:9">
      <c r="H1452" s="1245"/>
      <c r="I1452" s="1245"/>
    </row>
    <row r="1453" spans="8:9">
      <c r="H1453" s="1245"/>
      <c r="I1453" s="1245"/>
    </row>
    <row r="1454" spans="8:9">
      <c r="H1454" s="1245"/>
      <c r="I1454" s="1245"/>
    </row>
    <row r="1455" spans="8:9">
      <c r="H1455" s="1245"/>
      <c r="I1455" s="1245"/>
    </row>
    <row r="1456" spans="8:9">
      <c r="H1456" s="1245"/>
      <c r="I1456" s="1245"/>
    </row>
    <row r="1457" spans="8:9">
      <c r="H1457" s="1245"/>
      <c r="I1457" s="1245"/>
    </row>
    <row r="1458" spans="8:9">
      <c r="H1458" s="1245"/>
      <c r="I1458" s="1245"/>
    </row>
    <row r="1459" spans="8:9">
      <c r="H1459" s="1245"/>
      <c r="I1459" s="1245"/>
    </row>
    <row r="1460" spans="8:9">
      <c r="H1460" s="1245"/>
      <c r="I1460" s="1245"/>
    </row>
    <row r="1461" spans="8:9">
      <c r="H1461" s="1245"/>
      <c r="I1461" s="1245"/>
    </row>
    <row r="1462" spans="8:9">
      <c r="H1462" s="1245"/>
      <c r="I1462" s="1245"/>
    </row>
    <row r="1463" spans="8:9">
      <c r="H1463" s="1245"/>
      <c r="I1463" s="1245"/>
    </row>
    <row r="1464" spans="8:9">
      <c r="H1464" s="1245"/>
      <c r="I1464" s="1245"/>
    </row>
    <row r="1465" spans="8:9">
      <c r="H1465" s="1245"/>
      <c r="I1465" s="1245"/>
    </row>
    <row r="1466" spans="8:9">
      <c r="H1466" s="1245"/>
      <c r="I1466" s="1245"/>
    </row>
    <row r="1467" spans="8:9">
      <c r="H1467" s="1245"/>
      <c r="I1467" s="1245"/>
    </row>
    <row r="1468" spans="8:9">
      <c r="H1468" s="1245"/>
      <c r="I1468" s="1245"/>
    </row>
    <row r="1469" spans="8:9">
      <c r="H1469" s="1245"/>
      <c r="I1469" s="1245"/>
    </row>
    <row r="1470" spans="8:9">
      <c r="H1470" s="1245"/>
      <c r="I1470" s="1245"/>
    </row>
    <row r="1471" spans="8:9">
      <c r="H1471" s="1245"/>
      <c r="I1471" s="1245"/>
    </row>
    <row r="1472" spans="8:9">
      <c r="H1472" s="1245"/>
      <c r="I1472" s="1245"/>
    </row>
    <row r="1473" spans="8:9">
      <c r="H1473" s="1245"/>
      <c r="I1473" s="1245"/>
    </row>
    <row r="1474" spans="8:9">
      <c r="H1474" s="1245"/>
      <c r="I1474" s="1245"/>
    </row>
    <row r="1475" spans="8:9">
      <c r="H1475" s="1245"/>
      <c r="I1475" s="1245"/>
    </row>
    <row r="1476" spans="8:9">
      <c r="H1476" s="1245"/>
      <c r="I1476" s="1245"/>
    </row>
    <row r="1477" spans="8:9">
      <c r="H1477" s="1245"/>
      <c r="I1477" s="1245"/>
    </row>
    <row r="1478" spans="8:9">
      <c r="H1478" s="1245"/>
      <c r="I1478" s="1245"/>
    </row>
    <row r="1479" spans="8:9">
      <c r="H1479" s="1245"/>
      <c r="I1479" s="1245"/>
    </row>
    <row r="1480" spans="8:9">
      <c r="H1480" s="1245"/>
      <c r="I1480" s="1245"/>
    </row>
    <row r="1481" spans="8:9">
      <c r="H1481" s="1245"/>
      <c r="I1481" s="1245"/>
    </row>
    <row r="1482" spans="8:9">
      <c r="H1482" s="1245"/>
      <c r="I1482" s="1245"/>
    </row>
    <row r="1483" spans="8:9">
      <c r="H1483" s="1245"/>
      <c r="I1483" s="1245"/>
    </row>
    <row r="1484" spans="8:9">
      <c r="H1484" s="1245"/>
      <c r="I1484" s="1245"/>
    </row>
    <row r="1485" spans="8:9">
      <c r="H1485" s="1245"/>
      <c r="I1485" s="1245"/>
    </row>
    <row r="1486" spans="8:9">
      <c r="H1486" s="1245"/>
      <c r="I1486" s="1245"/>
    </row>
    <row r="1487" spans="8:9">
      <c r="H1487" s="1245"/>
      <c r="I1487" s="1245"/>
    </row>
    <row r="1488" spans="8:9">
      <c r="H1488" s="1245"/>
      <c r="I1488" s="1245"/>
    </row>
    <row r="1489" spans="8:9">
      <c r="H1489" s="1245"/>
      <c r="I1489" s="1245"/>
    </row>
    <row r="1490" spans="8:9">
      <c r="H1490" s="1245"/>
      <c r="I1490" s="1245"/>
    </row>
    <row r="1491" spans="8:9">
      <c r="H1491" s="1245"/>
      <c r="I1491" s="1245"/>
    </row>
    <row r="1492" spans="8:9">
      <c r="H1492" s="1245"/>
      <c r="I1492" s="1245"/>
    </row>
    <row r="1493" spans="8:9">
      <c r="H1493" s="1245"/>
      <c r="I1493" s="1245"/>
    </row>
    <row r="1494" spans="8:9">
      <c r="H1494" s="1245"/>
      <c r="I1494" s="1245"/>
    </row>
    <row r="1495" spans="8:9">
      <c r="H1495" s="1245"/>
      <c r="I1495" s="1245"/>
    </row>
    <row r="1496" spans="8:9">
      <c r="H1496" s="1245"/>
      <c r="I1496" s="1245"/>
    </row>
    <row r="1497" spans="8:9">
      <c r="H1497" s="1245"/>
      <c r="I1497" s="1245"/>
    </row>
    <row r="1498" spans="8:9">
      <c r="H1498" s="1245"/>
      <c r="I1498" s="1245"/>
    </row>
    <row r="1499" spans="8:9">
      <c r="H1499" s="1245"/>
      <c r="I1499" s="1245"/>
    </row>
    <row r="1500" spans="8:9">
      <c r="H1500" s="1245"/>
      <c r="I1500" s="1245"/>
    </row>
    <row r="1501" spans="8:9">
      <c r="H1501" s="1245"/>
      <c r="I1501" s="1245"/>
    </row>
    <row r="1502" spans="8:9">
      <c r="H1502" s="1245"/>
      <c r="I1502" s="1245"/>
    </row>
    <row r="1503" spans="8:9">
      <c r="H1503" s="1245"/>
      <c r="I1503" s="1245"/>
    </row>
    <row r="1504" spans="8:9">
      <c r="H1504" s="1245"/>
      <c r="I1504" s="1245"/>
    </row>
    <row r="1505" spans="8:9">
      <c r="H1505" s="1245"/>
      <c r="I1505" s="1245"/>
    </row>
    <row r="1506" spans="8:9">
      <c r="H1506" s="1245"/>
      <c r="I1506" s="1245"/>
    </row>
    <row r="1507" spans="8:9">
      <c r="H1507" s="1245"/>
      <c r="I1507" s="1245"/>
    </row>
    <row r="1508" spans="8:9">
      <c r="H1508" s="1245"/>
      <c r="I1508" s="1245"/>
    </row>
    <row r="1509" spans="8:9">
      <c r="H1509" s="1245"/>
      <c r="I1509" s="1245"/>
    </row>
    <row r="1510" spans="8:9">
      <c r="H1510" s="1245"/>
      <c r="I1510" s="1245"/>
    </row>
    <row r="1511" spans="8:9">
      <c r="H1511" s="1245"/>
      <c r="I1511" s="1245"/>
    </row>
    <row r="1512" spans="8:9">
      <c r="H1512" s="1245"/>
      <c r="I1512" s="1245"/>
    </row>
    <row r="1513" spans="8:9">
      <c r="H1513" s="1245"/>
      <c r="I1513" s="1245"/>
    </row>
    <row r="1514" spans="8:9">
      <c r="H1514" s="1245"/>
      <c r="I1514" s="1245"/>
    </row>
    <row r="1515" spans="8:9">
      <c r="H1515" s="1245"/>
      <c r="I1515" s="1245"/>
    </row>
    <row r="1516" spans="8:9">
      <c r="H1516" s="1245"/>
      <c r="I1516" s="1245"/>
    </row>
    <row r="1517" spans="8:9">
      <c r="H1517" s="1245"/>
      <c r="I1517" s="1245"/>
    </row>
    <row r="1518" spans="8:9">
      <c r="H1518" s="1245"/>
      <c r="I1518" s="1245"/>
    </row>
    <row r="1519" spans="8:9">
      <c r="H1519" s="1245"/>
      <c r="I1519" s="1245"/>
    </row>
    <row r="1520" spans="8:9">
      <c r="H1520" s="1245"/>
      <c r="I1520" s="1245"/>
    </row>
    <row r="1521" spans="8:9">
      <c r="H1521" s="1245"/>
      <c r="I1521" s="1245"/>
    </row>
    <row r="1522" spans="8:9">
      <c r="H1522" s="1245"/>
      <c r="I1522" s="1245"/>
    </row>
    <row r="1523" spans="8:9">
      <c r="H1523" s="1245"/>
      <c r="I1523" s="1245"/>
    </row>
    <row r="1524" spans="8:9">
      <c r="H1524" s="1245"/>
      <c r="I1524" s="1245"/>
    </row>
    <row r="1525" spans="8:9">
      <c r="H1525" s="1245"/>
      <c r="I1525" s="1245"/>
    </row>
    <row r="1526" spans="8:9">
      <c r="H1526" s="1245"/>
      <c r="I1526" s="1245"/>
    </row>
    <row r="1527" spans="8:9">
      <c r="H1527" s="1245"/>
      <c r="I1527" s="1245"/>
    </row>
    <row r="1528" spans="8:9">
      <c r="H1528" s="1245"/>
      <c r="I1528" s="1245"/>
    </row>
    <row r="1529" spans="8:9">
      <c r="H1529" s="1245"/>
      <c r="I1529" s="1245"/>
    </row>
    <row r="1530" spans="8:9">
      <c r="H1530" s="1245"/>
      <c r="I1530" s="1245"/>
    </row>
    <row r="1531" spans="8:9">
      <c r="H1531" s="1245"/>
      <c r="I1531" s="1245"/>
    </row>
    <row r="1532" spans="8:9">
      <c r="H1532" s="1245"/>
      <c r="I1532" s="1245"/>
    </row>
    <row r="1533" spans="8:9">
      <c r="H1533" s="1245"/>
      <c r="I1533" s="1245"/>
    </row>
    <row r="1534" spans="8:9">
      <c r="H1534" s="1245"/>
      <c r="I1534" s="1245"/>
    </row>
    <row r="1535" spans="8:9">
      <c r="H1535" s="1245"/>
      <c r="I1535" s="1245"/>
    </row>
    <row r="1536" spans="8:9">
      <c r="H1536" s="1245"/>
      <c r="I1536" s="1245"/>
    </row>
    <row r="1537" spans="8:9">
      <c r="H1537" s="1245"/>
      <c r="I1537" s="1245"/>
    </row>
    <row r="1538" spans="8:9">
      <c r="H1538" s="1245"/>
      <c r="I1538" s="1245"/>
    </row>
    <row r="1539" spans="8:9">
      <c r="H1539" s="1245"/>
      <c r="I1539" s="1245"/>
    </row>
    <row r="1540" spans="8:9">
      <c r="H1540" s="1245"/>
      <c r="I1540" s="1245"/>
    </row>
    <row r="1541" spans="8:9">
      <c r="H1541" s="1245"/>
      <c r="I1541" s="1245"/>
    </row>
    <row r="1542" spans="8:9">
      <c r="H1542" s="1245"/>
      <c r="I1542" s="1245"/>
    </row>
    <row r="1543" spans="8:9">
      <c r="H1543" s="1245"/>
      <c r="I1543" s="1245"/>
    </row>
    <row r="1544" spans="8:9">
      <c r="H1544" s="1245"/>
      <c r="I1544" s="1245"/>
    </row>
    <row r="1545" spans="8:9">
      <c r="H1545" s="1245"/>
      <c r="I1545" s="1245"/>
    </row>
    <row r="1546" spans="8:9">
      <c r="H1546" s="1245"/>
      <c r="I1546" s="1245"/>
    </row>
    <row r="1547" spans="8:9">
      <c r="H1547" s="1245"/>
      <c r="I1547" s="1245"/>
    </row>
    <row r="1548" spans="8:9">
      <c r="H1548" s="1245"/>
      <c r="I1548" s="1245"/>
    </row>
    <row r="1549" spans="8:9">
      <c r="H1549" s="1245"/>
      <c r="I1549" s="1245"/>
    </row>
    <row r="1550" spans="8:9">
      <c r="H1550" s="1245"/>
      <c r="I1550" s="1245"/>
    </row>
    <row r="1551" spans="8:9">
      <c r="H1551" s="1245"/>
      <c r="I1551" s="1245"/>
    </row>
    <row r="1552" spans="8:9">
      <c r="H1552" s="1245"/>
      <c r="I1552" s="1245"/>
    </row>
    <row r="1553" spans="8:9">
      <c r="H1553" s="1245"/>
      <c r="I1553" s="1245"/>
    </row>
    <row r="1554" spans="8:9">
      <c r="H1554" s="1245"/>
      <c r="I1554" s="1245"/>
    </row>
    <row r="1555" spans="8:9">
      <c r="H1555" s="1245"/>
      <c r="I1555" s="1245"/>
    </row>
    <row r="1556" spans="8:9">
      <c r="H1556" s="1245"/>
      <c r="I1556" s="1245"/>
    </row>
    <row r="1557" spans="8:9">
      <c r="H1557" s="1245"/>
      <c r="I1557" s="1245"/>
    </row>
    <row r="1558" spans="8:9">
      <c r="H1558" s="1245"/>
      <c r="I1558" s="1245"/>
    </row>
    <row r="1559" spans="8:9">
      <c r="H1559" s="1245"/>
      <c r="I1559" s="1245"/>
    </row>
    <row r="1560" spans="8:9">
      <c r="H1560" s="1245"/>
      <c r="I1560" s="1245"/>
    </row>
    <row r="1561" spans="8:9">
      <c r="H1561" s="1245"/>
      <c r="I1561" s="1245"/>
    </row>
    <row r="1562" spans="8:9">
      <c r="H1562" s="1245"/>
      <c r="I1562" s="1245"/>
    </row>
    <row r="1563" spans="8:9">
      <c r="H1563" s="1245"/>
      <c r="I1563" s="1245"/>
    </row>
    <row r="1564" spans="8:9">
      <c r="H1564" s="1245"/>
      <c r="I1564" s="1245"/>
    </row>
    <row r="1565" spans="8:9">
      <c r="H1565" s="1245"/>
      <c r="I1565" s="1245"/>
    </row>
    <row r="1566" spans="8:9">
      <c r="H1566" s="1245"/>
      <c r="I1566" s="1245"/>
    </row>
    <row r="1567" spans="8:9">
      <c r="H1567" s="1245"/>
      <c r="I1567" s="1245"/>
    </row>
    <row r="1568" spans="8:9">
      <c r="H1568" s="1245"/>
      <c r="I1568" s="1245"/>
    </row>
    <row r="1569" spans="8:9">
      <c r="H1569" s="1245"/>
      <c r="I1569" s="1245"/>
    </row>
    <row r="1570" spans="8:9">
      <c r="H1570" s="1245"/>
      <c r="I1570" s="1245"/>
    </row>
    <row r="1571" spans="8:9">
      <c r="H1571" s="1245"/>
      <c r="I1571" s="1245"/>
    </row>
    <row r="1572" spans="8:9">
      <c r="H1572" s="1245"/>
      <c r="I1572" s="1245"/>
    </row>
    <row r="1573" spans="8:9">
      <c r="H1573" s="1245"/>
      <c r="I1573" s="1245"/>
    </row>
    <row r="1574" spans="8:9">
      <c r="H1574" s="1245"/>
      <c r="I1574" s="1245"/>
    </row>
    <row r="1575" spans="8:9">
      <c r="H1575" s="1245"/>
      <c r="I1575" s="1245"/>
    </row>
    <row r="1576" spans="8:9">
      <c r="H1576" s="1245"/>
      <c r="I1576" s="1245"/>
    </row>
    <row r="1577" spans="8:9">
      <c r="H1577" s="1245"/>
      <c r="I1577" s="1245"/>
    </row>
    <row r="1578" spans="8:9">
      <c r="H1578" s="1245"/>
      <c r="I1578" s="1245"/>
    </row>
    <row r="1579" spans="8:9">
      <c r="H1579" s="1245"/>
      <c r="I1579" s="1245"/>
    </row>
    <row r="1580" spans="8:9">
      <c r="H1580" s="1245"/>
      <c r="I1580" s="1245"/>
    </row>
    <row r="1581" spans="8:9">
      <c r="H1581" s="1245"/>
      <c r="I1581" s="1245"/>
    </row>
    <row r="1582" spans="8:9">
      <c r="H1582" s="1245"/>
      <c r="I1582" s="1245"/>
    </row>
    <row r="1583" spans="8:9">
      <c r="H1583" s="1245"/>
      <c r="I1583" s="1245"/>
    </row>
    <row r="1584" spans="8:9">
      <c r="H1584" s="1245"/>
      <c r="I1584" s="1245"/>
    </row>
    <row r="1585" spans="8:9">
      <c r="H1585" s="1245"/>
      <c r="I1585" s="1245"/>
    </row>
    <row r="1586" spans="8:9">
      <c r="H1586" s="1245"/>
      <c r="I1586" s="1245"/>
    </row>
    <row r="1587" spans="8:9">
      <c r="H1587" s="1245"/>
      <c r="I1587" s="1245"/>
    </row>
    <row r="1588" spans="8:9">
      <c r="H1588" s="1245"/>
      <c r="I1588" s="1245"/>
    </row>
    <row r="1589" spans="8:9">
      <c r="H1589" s="1245"/>
      <c r="I1589" s="1245"/>
    </row>
    <row r="1590" spans="8:9">
      <c r="H1590" s="1245"/>
      <c r="I1590" s="1245"/>
    </row>
    <row r="1591" spans="8:9">
      <c r="H1591" s="1245"/>
      <c r="I1591" s="1245"/>
    </row>
    <row r="1592" spans="8:9">
      <c r="H1592" s="1245"/>
      <c r="I1592" s="1245"/>
    </row>
    <row r="1593" spans="8:9">
      <c r="H1593" s="1245"/>
      <c r="I1593" s="1245"/>
    </row>
    <row r="1594" spans="8:9">
      <c r="H1594" s="1245"/>
      <c r="I1594" s="1245"/>
    </row>
    <row r="1595" spans="8:9">
      <c r="H1595" s="1245"/>
      <c r="I1595" s="1245"/>
    </row>
    <row r="1596" spans="8:9">
      <c r="H1596" s="1245"/>
      <c r="I1596" s="1245"/>
    </row>
    <row r="1597" spans="8:9">
      <c r="H1597" s="1245"/>
      <c r="I1597" s="1245"/>
    </row>
    <row r="1598" spans="8:9">
      <c r="H1598" s="1245"/>
      <c r="I1598" s="1245"/>
    </row>
    <row r="1599" spans="8:9">
      <c r="H1599" s="1245"/>
      <c r="I1599" s="1245"/>
    </row>
    <row r="1600" spans="8:9">
      <c r="H1600" s="1245"/>
      <c r="I1600" s="1245"/>
    </row>
    <row r="1601" spans="8:9">
      <c r="H1601" s="1245"/>
      <c r="I1601" s="1245"/>
    </row>
    <row r="1602" spans="8:9">
      <c r="H1602" s="1245"/>
      <c r="I1602" s="1245"/>
    </row>
    <row r="1603" spans="8:9">
      <c r="H1603" s="1245"/>
      <c r="I1603" s="1245"/>
    </row>
    <row r="1604" spans="8:9">
      <c r="H1604" s="1245"/>
      <c r="I1604" s="1245"/>
    </row>
    <row r="1605" spans="8:9">
      <c r="H1605" s="1245"/>
      <c r="I1605" s="1245"/>
    </row>
    <row r="1606" spans="8:9">
      <c r="H1606" s="1245"/>
      <c r="I1606" s="1245"/>
    </row>
    <row r="1607" spans="8:9">
      <c r="H1607" s="1245"/>
      <c r="I1607" s="1245"/>
    </row>
    <row r="1608" spans="8:9">
      <c r="H1608" s="1245"/>
      <c r="I1608" s="1245"/>
    </row>
    <row r="1609" spans="8:9">
      <c r="H1609" s="1245"/>
      <c r="I1609" s="1245"/>
    </row>
    <row r="1610" spans="8:9">
      <c r="H1610" s="1245"/>
      <c r="I1610" s="1245"/>
    </row>
    <row r="1611" spans="8:9">
      <c r="H1611" s="1245"/>
      <c r="I1611" s="1245"/>
    </row>
    <row r="1612" spans="8:9">
      <c r="H1612" s="1245"/>
      <c r="I1612" s="1245"/>
    </row>
    <row r="1613" spans="8:9">
      <c r="H1613" s="1245"/>
      <c r="I1613" s="1245"/>
    </row>
    <row r="1614" spans="8:9">
      <c r="H1614" s="1245"/>
      <c r="I1614" s="1245"/>
    </row>
    <row r="1615" spans="8:9">
      <c r="H1615" s="1245"/>
      <c r="I1615" s="1245"/>
    </row>
    <row r="1616" spans="8:9">
      <c r="H1616" s="1245"/>
      <c r="I1616" s="1245"/>
    </row>
    <row r="1617" spans="8:9">
      <c r="H1617" s="1245"/>
      <c r="I1617" s="1245"/>
    </row>
    <row r="1618" spans="8:9">
      <c r="H1618" s="1245"/>
      <c r="I1618" s="1245"/>
    </row>
    <row r="1619" spans="8:9">
      <c r="H1619" s="1245"/>
      <c r="I1619" s="1245"/>
    </row>
    <row r="1620" spans="8:9">
      <c r="H1620" s="1245"/>
      <c r="I1620" s="1245"/>
    </row>
    <row r="1621" spans="8:9">
      <c r="H1621" s="1245"/>
      <c r="I1621" s="1245"/>
    </row>
    <row r="1622" spans="8:9">
      <c r="H1622" s="1245"/>
      <c r="I1622" s="1245"/>
    </row>
    <row r="1623" spans="8:9">
      <c r="H1623" s="1245"/>
      <c r="I1623" s="1245"/>
    </row>
    <row r="1624" spans="8:9">
      <c r="H1624" s="1245"/>
      <c r="I1624" s="1245"/>
    </row>
    <row r="1625" spans="8:9">
      <c r="H1625" s="1245"/>
      <c r="I1625" s="1245"/>
    </row>
    <row r="1626" spans="8:9">
      <c r="H1626" s="1245"/>
      <c r="I1626" s="1245"/>
    </row>
    <row r="1627" spans="8:9">
      <c r="H1627" s="1245"/>
      <c r="I1627" s="1245"/>
    </row>
    <row r="1628" spans="8:9">
      <c r="H1628" s="1245"/>
      <c r="I1628" s="1245"/>
    </row>
    <row r="1629" spans="8:9">
      <c r="H1629" s="1245"/>
      <c r="I1629" s="1245"/>
    </row>
    <row r="1630" spans="8:9">
      <c r="H1630" s="1245"/>
      <c r="I1630" s="1245"/>
    </row>
    <row r="1631" spans="8:9">
      <c r="H1631" s="1245"/>
      <c r="I1631" s="1245"/>
    </row>
    <row r="1632" spans="8:9">
      <c r="H1632" s="1245"/>
      <c r="I1632" s="1245"/>
    </row>
    <row r="1633" spans="8:9">
      <c r="H1633" s="1245"/>
      <c r="I1633" s="1245"/>
    </row>
    <row r="1634" spans="8:9">
      <c r="H1634" s="1245"/>
      <c r="I1634" s="1245"/>
    </row>
    <row r="1635" spans="8:9">
      <c r="H1635" s="1245"/>
      <c r="I1635" s="1245"/>
    </row>
    <row r="1636" spans="8:9">
      <c r="H1636" s="1245"/>
      <c r="I1636" s="1245"/>
    </row>
    <row r="1637" spans="8:9">
      <c r="H1637" s="1245"/>
      <c r="I1637" s="1245"/>
    </row>
    <row r="1638" spans="8:9">
      <c r="H1638" s="1245"/>
      <c r="I1638" s="1245"/>
    </row>
    <row r="1639" spans="8:9">
      <c r="H1639" s="1245"/>
      <c r="I1639" s="1245"/>
    </row>
    <row r="1640" spans="8:9">
      <c r="H1640" s="1245"/>
      <c r="I1640" s="1245"/>
    </row>
    <row r="1641" spans="8:9">
      <c r="H1641" s="1245"/>
      <c r="I1641" s="1245"/>
    </row>
    <row r="1642" spans="8:9">
      <c r="H1642" s="1245"/>
      <c r="I1642" s="1245"/>
    </row>
    <row r="1643" spans="8:9">
      <c r="H1643" s="1245"/>
      <c r="I1643" s="1245"/>
    </row>
    <row r="1644" spans="8:9">
      <c r="H1644" s="1245"/>
      <c r="I1644" s="1245"/>
    </row>
    <row r="1645" spans="8:9">
      <c r="H1645" s="1245"/>
      <c r="I1645" s="1245"/>
    </row>
    <row r="1646" spans="8:9">
      <c r="H1646" s="1245"/>
      <c r="I1646" s="1245"/>
    </row>
    <row r="1647" spans="8:9">
      <c r="H1647" s="1245"/>
      <c r="I1647" s="1245"/>
    </row>
    <row r="1648" spans="8:9">
      <c r="H1648" s="1245"/>
      <c r="I1648" s="1245"/>
    </row>
    <row r="1649" spans="8:9">
      <c r="H1649" s="1245"/>
      <c r="I1649" s="1245"/>
    </row>
    <row r="1650" spans="8:9">
      <c r="H1650" s="1245"/>
      <c r="I1650" s="1245"/>
    </row>
    <row r="1651" spans="8:9">
      <c r="H1651" s="1245"/>
      <c r="I1651" s="1245"/>
    </row>
    <row r="1652" spans="8:9">
      <c r="H1652" s="1245"/>
      <c r="I1652" s="1245"/>
    </row>
    <row r="1653" spans="8:9">
      <c r="H1653" s="1245"/>
      <c r="I1653" s="1245"/>
    </row>
    <row r="1654" spans="8:9">
      <c r="H1654" s="1245"/>
      <c r="I1654" s="1245"/>
    </row>
    <row r="1655" spans="8:9">
      <c r="H1655" s="1245"/>
      <c r="I1655" s="1245"/>
    </row>
    <row r="1656" spans="8:9">
      <c r="H1656" s="1245"/>
      <c r="I1656" s="1245"/>
    </row>
    <row r="1657" spans="8:9">
      <c r="H1657" s="1245"/>
      <c r="I1657" s="1245"/>
    </row>
    <row r="1658" spans="8:9">
      <c r="H1658" s="1245"/>
      <c r="I1658" s="1245"/>
    </row>
    <row r="1659" spans="8:9">
      <c r="H1659" s="1245"/>
      <c r="I1659" s="1245"/>
    </row>
    <row r="1660" spans="8:9">
      <c r="H1660" s="1245"/>
      <c r="I1660" s="1245"/>
    </row>
    <row r="1661" spans="8:9">
      <c r="H1661" s="1245"/>
      <c r="I1661" s="1245"/>
    </row>
    <row r="1662" spans="8:9">
      <c r="H1662" s="1245"/>
      <c r="I1662" s="1245"/>
    </row>
    <row r="1663" spans="8:9">
      <c r="H1663" s="1245"/>
      <c r="I1663" s="1245"/>
    </row>
    <row r="1664" spans="8:9">
      <c r="H1664" s="1245"/>
      <c r="I1664" s="1245"/>
    </row>
    <row r="1665" spans="8:9">
      <c r="H1665" s="1245"/>
      <c r="I1665" s="1245"/>
    </row>
    <row r="1666" spans="8:9">
      <c r="H1666" s="1245"/>
      <c r="I1666" s="1245"/>
    </row>
    <row r="1667" spans="8:9">
      <c r="H1667" s="1245"/>
      <c r="I1667" s="1245"/>
    </row>
    <row r="1668" spans="8:9">
      <c r="H1668" s="1245"/>
      <c r="I1668" s="1245"/>
    </row>
    <row r="1669" spans="8:9">
      <c r="H1669" s="1245"/>
      <c r="I1669" s="1245"/>
    </row>
    <row r="1670" spans="8:9">
      <c r="H1670" s="1245"/>
      <c r="I1670" s="1245"/>
    </row>
    <row r="1671" spans="8:9">
      <c r="H1671" s="1245"/>
      <c r="I1671" s="1245"/>
    </row>
    <row r="1672" spans="8:9">
      <c r="H1672" s="1245"/>
      <c r="I1672" s="1245"/>
    </row>
    <row r="1673" spans="8:9">
      <c r="H1673" s="1245"/>
      <c r="I1673" s="1245"/>
    </row>
    <row r="1674" spans="8:9">
      <c r="H1674" s="1245"/>
      <c r="I1674" s="1245"/>
    </row>
    <row r="1675" spans="8:9">
      <c r="H1675" s="1245"/>
      <c r="I1675" s="1245"/>
    </row>
    <row r="1676" spans="8:9">
      <c r="H1676" s="1245"/>
      <c r="I1676" s="1245"/>
    </row>
    <row r="1677" spans="8:9">
      <c r="H1677" s="1245"/>
      <c r="I1677" s="1245"/>
    </row>
    <row r="1678" spans="8:9">
      <c r="H1678" s="1245"/>
      <c r="I1678" s="1245"/>
    </row>
    <row r="1679" spans="8:9">
      <c r="H1679" s="1245"/>
      <c r="I1679" s="1245"/>
    </row>
    <row r="1680" spans="8:9">
      <c r="H1680" s="1245"/>
      <c r="I1680" s="1245"/>
    </row>
    <row r="1681" spans="8:9">
      <c r="H1681" s="1245"/>
      <c r="I1681" s="1245"/>
    </row>
    <row r="1682" spans="8:9">
      <c r="H1682" s="1245"/>
      <c r="I1682" s="1245"/>
    </row>
    <row r="1683" spans="8:9">
      <c r="H1683" s="1245"/>
      <c r="I1683" s="1245"/>
    </row>
    <row r="1684" spans="8:9">
      <c r="H1684" s="1245"/>
      <c r="I1684" s="1245"/>
    </row>
    <row r="1685" spans="8:9">
      <c r="H1685" s="1245"/>
      <c r="I1685" s="1245"/>
    </row>
    <row r="1686" spans="8:9">
      <c r="H1686" s="1245"/>
      <c r="I1686" s="1245"/>
    </row>
    <row r="1687" spans="8:9">
      <c r="H1687" s="1245"/>
      <c r="I1687" s="1245"/>
    </row>
    <row r="1688" spans="8:9">
      <c r="H1688" s="1245"/>
      <c r="I1688" s="1245"/>
    </row>
    <row r="1689" spans="8:9">
      <c r="H1689" s="1245"/>
      <c r="I1689" s="1245"/>
    </row>
    <row r="1690" spans="8:9">
      <c r="H1690" s="1245"/>
      <c r="I1690" s="1245"/>
    </row>
    <row r="1691" spans="8:9">
      <c r="H1691" s="1245"/>
      <c r="I1691" s="1245"/>
    </row>
    <row r="1692" spans="8:9">
      <c r="H1692" s="1245"/>
      <c r="I1692" s="1245"/>
    </row>
    <row r="1693" spans="8:9">
      <c r="H1693" s="1245"/>
      <c r="I1693" s="1245"/>
    </row>
    <row r="1694" spans="8:9">
      <c r="H1694" s="1245"/>
      <c r="I1694" s="1245"/>
    </row>
    <row r="1695" spans="8:9">
      <c r="H1695" s="1245"/>
      <c r="I1695" s="1245"/>
    </row>
    <row r="1696" spans="8:9">
      <c r="H1696" s="1245"/>
      <c r="I1696" s="1245"/>
    </row>
    <row r="1697" spans="8:9">
      <c r="H1697" s="1245"/>
      <c r="I1697" s="1245"/>
    </row>
    <row r="1698" spans="8:9">
      <c r="H1698" s="1245"/>
      <c r="I1698" s="1245"/>
    </row>
    <row r="1699" spans="8:9">
      <c r="H1699" s="1245"/>
      <c r="I1699" s="1245"/>
    </row>
    <row r="1700" spans="8:9">
      <c r="H1700" s="1245"/>
      <c r="I1700" s="1245"/>
    </row>
    <row r="1701" spans="8:9">
      <c r="H1701" s="1245"/>
      <c r="I1701" s="1245"/>
    </row>
    <row r="1702" spans="8:9">
      <c r="H1702" s="1245"/>
      <c r="I1702" s="1245"/>
    </row>
    <row r="1703" spans="8:9">
      <c r="H1703" s="1245"/>
      <c r="I1703" s="1245"/>
    </row>
    <row r="1704" spans="8:9">
      <c r="H1704" s="1245"/>
      <c r="I1704" s="1245"/>
    </row>
    <row r="1705" spans="8:9">
      <c r="H1705" s="1245"/>
      <c r="I1705" s="1245"/>
    </row>
    <row r="1706" spans="8:9">
      <c r="H1706" s="1245"/>
      <c r="I1706" s="1245"/>
    </row>
    <row r="1707" spans="8:9">
      <c r="H1707" s="1245"/>
      <c r="I1707" s="1245"/>
    </row>
    <row r="1708" spans="8:9">
      <c r="H1708" s="1245"/>
      <c r="I1708" s="1245"/>
    </row>
    <row r="1709" spans="8:9">
      <c r="H1709" s="1245"/>
      <c r="I1709" s="1245"/>
    </row>
    <row r="1710" spans="8:9">
      <c r="H1710" s="1245"/>
      <c r="I1710" s="1245"/>
    </row>
    <row r="1711" spans="8:9">
      <c r="H1711" s="1245"/>
      <c r="I1711" s="1245"/>
    </row>
    <row r="1712" spans="8:9">
      <c r="H1712" s="1245"/>
      <c r="I1712" s="1245"/>
    </row>
    <row r="1713" spans="8:9">
      <c r="H1713" s="1245"/>
      <c r="I1713" s="1245"/>
    </row>
    <row r="1714" spans="8:9">
      <c r="H1714" s="1245"/>
      <c r="I1714" s="1245"/>
    </row>
    <row r="1715" spans="8:9">
      <c r="H1715" s="1245"/>
      <c r="I1715" s="1245"/>
    </row>
    <row r="1716" spans="8:9">
      <c r="H1716" s="1245"/>
      <c r="I1716" s="1245"/>
    </row>
    <row r="1717" spans="8:9">
      <c r="H1717" s="1245"/>
      <c r="I1717" s="1245"/>
    </row>
    <row r="1718" spans="8:9">
      <c r="H1718" s="1245"/>
      <c r="I1718" s="1245"/>
    </row>
    <row r="1719" spans="8:9">
      <c r="H1719" s="1245"/>
      <c r="I1719" s="1245"/>
    </row>
    <row r="1720" spans="8:9">
      <c r="H1720" s="1245"/>
      <c r="I1720" s="1245"/>
    </row>
    <row r="1721" spans="8:9">
      <c r="H1721" s="1245"/>
      <c r="I1721" s="1245"/>
    </row>
    <row r="1722" spans="8:9">
      <c r="H1722" s="1245"/>
      <c r="I1722" s="1245"/>
    </row>
    <row r="1723" spans="8:9">
      <c r="H1723" s="1245"/>
      <c r="I1723" s="1245"/>
    </row>
    <row r="1724" spans="8:9">
      <c r="H1724" s="1245"/>
      <c r="I1724" s="1245"/>
    </row>
    <row r="1725" spans="8:9">
      <c r="H1725" s="1245"/>
      <c r="I1725" s="1245"/>
    </row>
    <row r="1726" spans="8:9">
      <c r="H1726" s="1245"/>
      <c r="I1726" s="1245"/>
    </row>
    <row r="1727" spans="8:9">
      <c r="H1727" s="1245"/>
      <c r="I1727" s="1245"/>
    </row>
    <row r="1728" spans="8:9">
      <c r="H1728" s="1245"/>
      <c r="I1728" s="1245"/>
    </row>
    <row r="1729" spans="8:9">
      <c r="H1729" s="1245"/>
      <c r="I1729" s="1245"/>
    </row>
    <row r="1730" spans="8:9">
      <c r="H1730" s="1245"/>
      <c r="I1730" s="1245"/>
    </row>
    <row r="1731" spans="8:9">
      <c r="H1731" s="1245"/>
      <c r="I1731" s="1245"/>
    </row>
    <row r="1732" spans="8:9">
      <c r="H1732" s="1245"/>
      <c r="I1732" s="1245"/>
    </row>
    <row r="1733" spans="8:9">
      <c r="H1733" s="1245"/>
      <c r="I1733" s="1245"/>
    </row>
    <row r="1734" spans="8:9">
      <c r="H1734" s="1245"/>
      <c r="I1734" s="1245"/>
    </row>
    <row r="1735" spans="8:9">
      <c r="H1735" s="1245"/>
      <c r="I1735" s="1245"/>
    </row>
    <row r="1736" spans="8:9">
      <c r="H1736" s="1245"/>
      <c r="I1736" s="1245"/>
    </row>
    <row r="1737" spans="8:9">
      <c r="H1737" s="1245"/>
      <c r="I1737" s="1245"/>
    </row>
    <row r="1738" spans="8:9">
      <c r="H1738" s="1245"/>
      <c r="I1738" s="1245"/>
    </row>
    <row r="1739" spans="8:9">
      <c r="H1739" s="1245"/>
      <c r="I1739" s="1245"/>
    </row>
    <row r="1740" spans="8:9">
      <c r="H1740" s="1245"/>
      <c r="I1740" s="1245"/>
    </row>
    <row r="1741" spans="8:9">
      <c r="H1741" s="1245"/>
      <c r="I1741" s="1245"/>
    </row>
    <row r="1742" spans="8:9">
      <c r="H1742" s="1245"/>
      <c r="I1742" s="1245"/>
    </row>
    <row r="1743" spans="8:9">
      <c r="H1743" s="1245"/>
      <c r="I1743" s="1245"/>
    </row>
    <row r="1744" spans="8:9">
      <c r="H1744" s="1245"/>
      <c r="I1744" s="1245"/>
    </row>
    <row r="1745" spans="8:9">
      <c r="H1745" s="1245"/>
      <c r="I1745" s="1245"/>
    </row>
    <row r="1746" spans="8:9">
      <c r="H1746" s="1245"/>
      <c r="I1746" s="1245"/>
    </row>
    <row r="1747" spans="8:9">
      <c r="H1747" s="1245"/>
      <c r="I1747" s="1245"/>
    </row>
    <row r="1748" spans="8:9">
      <c r="H1748" s="1245"/>
      <c r="I1748" s="1245"/>
    </row>
    <row r="1749" spans="8:9">
      <c r="H1749" s="1245"/>
      <c r="I1749" s="1245"/>
    </row>
    <row r="1750" spans="8:9">
      <c r="H1750" s="1245"/>
      <c r="I1750" s="1245"/>
    </row>
    <row r="1751" spans="8:9">
      <c r="H1751" s="1245"/>
      <c r="I1751" s="1245"/>
    </row>
    <row r="1752" spans="8:9">
      <c r="H1752" s="1245"/>
      <c r="I1752" s="1245"/>
    </row>
    <row r="1753" spans="8:9">
      <c r="H1753" s="1245"/>
      <c r="I1753" s="1245"/>
    </row>
    <row r="1754" spans="8:9">
      <c r="H1754" s="1245"/>
      <c r="I1754" s="1245"/>
    </row>
    <row r="1755" spans="8:9">
      <c r="H1755" s="1245"/>
      <c r="I1755" s="1245"/>
    </row>
    <row r="1756" spans="8:9">
      <c r="H1756" s="1245"/>
      <c r="I1756" s="1245"/>
    </row>
    <row r="1757" spans="8:9">
      <c r="H1757" s="1245"/>
      <c r="I1757" s="1245"/>
    </row>
    <row r="1758" spans="8:9">
      <c r="H1758" s="1245"/>
      <c r="I1758" s="1245"/>
    </row>
    <row r="1759" spans="8:9">
      <c r="H1759" s="1245"/>
      <c r="I1759" s="1245"/>
    </row>
    <row r="1760" spans="8:9">
      <c r="H1760" s="1245"/>
      <c r="I1760" s="1245"/>
    </row>
    <row r="1761" spans="8:9">
      <c r="H1761" s="1245"/>
      <c r="I1761" s="1245"/>
    </row>
    <row r="1762" spans="8:9">
      <c r="H1762" s="1245"/>
      <c r="I1762" s="1245"/>
    </row>
    <row r="1763" spans="8:9">
      <c r="H1763" s="1245"/>
      <c r="I1763" s="1245"/>
    </row>
    <row r="1764" spans="8:9">
      <c r="H1764" s="1245"/>
      <c r="I1764" s="1245"/>
    </row>
    <row r="1765" spans="8:9">
      <c r="H1765" s="1245"/>
      <c r="I1765" s="1245"/>
    </row>
    <row r="1766" spans="8:9">
      <c r="H1766" s="1245"/>
      <c r="I1766" s="1245"/>
    </row>
    <row r="1767" spans="8:9">
      <c r="H1767" s="1245"/>
      <c r="I1767" s="1245"/>
    </row>
    <row r="1768" spans="8:9">
      <c r="H1768" s="1245"/>
      <c r="I1768" s="1245"/>
    </row>
    <row r="1769" spans="8:9">
      <c r="H1769" s="1245"/>
      <c r="I1769" s="1245"/>
    </row>
    <row r="1770" spans="8:9">
      <c r="H1770" s="1245"/>
      <c r="I1770" s="1245"/>
    </row>
    <row r="1771" spans="8:9">
      <c r="H1771" s="1245"/>
      <c r="I1771" s="1245"/>
    </row>
    <row r="1772" spans="8:9">
      <c r="H1772" s="1245"/>
      <c r="I1772" s="1245"/>
    </row>
    <row r="1773" spans="8:9">
      <c r="H1773" s="1245"/>
      <c r="I1773" s="1245"/>
    </row>
    <row r="1774" spans="8:9">
      <c r="H1774" s="1245"/>
      <c r="I1774" s="1245"/>
    </row>
    <row r="1775" spans="8:9">
      <c r="H1775" s="1245"/>
      <c r="I1775" s="1245"/>
    </row>
    <row r="1776" spans="8:9">
      <c r="H1776" s="1245"/>
      <c r="I1776" s="1245"/>
    </row>
    <row r="1777" spans="8:9">
      <c r="H1777" s="1245"/>
      <c r="I1777" s="1245"/>
    </row>
    <row r="1778" spans="8:9">
      <c r="H1778" s="1245"/>
      <c r="I1778" s="1245"/>
    </row>
    <row r="1779" spans="8:9">
      <c r="H1779" s="1245"/>
      <c r="I1779" s="1245"/>
    </row>
    <row r="1780" spans="8:9">
      <c r="H1780" s="1245"/>
      <c r="I1780" s="1245"/>
    </row>
    <row r="1781" spans="8:9">
      <c r="H1781" s="1245"/>
      <c r="I1781" s="1245"/>
    </row>
    <row r="1782" spans="8:9">
      <c r="H1782" s="1245"/>
      <c r="I1782" s="1245"/>
    </row>
    <row r="1783" spans="8:9">
      <c r="H1783" s="1245"/>
      <c r="I1783" s="1245"/>
    </row>
    <row r="1784" spans="8:9">
      <c r="H1784" s="1245"/>
      <c r="I1784" s="1245"/>
    </row>
    <row r="1785" spans="8:9">
      <c r="H1785" s="1245"/>
      <c r="I1785" s="1245"/>
    </row>
    <row r="1786" spans="8:9">
      <c r="H1786" s="1245"/>
      <c r="I1786" s="1245"/>
    </row>
    <row r="1787" spans="8:9">
      <c r="H1787" s="1245"/>
      <c r="I1787" s="1245"/>
    </row>
    <row r="1788" spans="8:9">
      <c r="H1788" s="1245"/>
      <c r="I1788" s="1245"/>
    </row>
    <row r="1789" spans="8:9">
      <c r="H1789" s="1245"/>
      <c r="I1789" s="1245"/>
    </row>
    <row r="1790" spans="8:9">
      <c r="H1790" s="1245"/>
      <c r="I1790" s="1245"/>
    </row>
    <row r="1791" spans="8:9">
      <c r="H1791" s="1245"/>
      <c r="I1791" s="1245"/>
    </row>
    <row r="1792" spans="8:9">
      <c r="H1792" s="1245"/>
      <c r="I1792" s="1245"/>
    </row>
    <row r="1793" spans="8:9">
      <c r="H1793" s="1245"/>
      <c r="I1793" s="1245"/>
    </row>
    <row r="1794" spans="8:9">
      <c r="H1794" s="1245"/>
      <c r="I1794" s="1245"/>
    </row>
    <row r="1795" spans="8:9">
      <c r="H1795" s="1245"/>
      <c r="I1795" s="1245"/>
    </row>
    <row r="1796" spans="8:9">
      <c r="H1796" s="1245"/>
      <c r="I1796" s="1245"/>
    </row>
    <row r="1797" spans="8:9">
      <c r="H1797" s="1245"/>
      <c r="I1797" s="1245"/>
    </row>
    <row r="1798" spans="8:9">
      <c r="H1798" s="1245"/>
      <c r="I1798" s="1245"/>
    </row>
    <row r="1799" spans="8:9">
      <c r="H1799" s="1245"/>
      <c r="I1799" s="1245"/>
    </row>
    <row r="1800" spans="8:9">
      <c r="H1800" s="1245"/>
      <c r="I1800" s="1245"/>
    </row>
    <row r="1801" spans="8:9">
      <c r="H1801" s="1245"/>
      <c r="I1801" s="1245"/>
    </row>
    <row r="1802" spans="8:9">
      <c r="H1802" s="1245"/>
      <c r="I1802" s="1245"/>
    </row>
    <row r="1803" spans="8:9">
      <c r="H1803" s="1245"/>
      <c r="I1803" s="1245"/>
    </row>
    <row r="1804" spans="8:9">
      <c r="H1804" s="1245"/>
      <c r="I1804" s="1245"/>
    </row>
    <row r="1805" spans="8:9">
      <c r="H1805" s="1245"/>
      <c r="I1805" s="1245"/>
    </row>
    <row r="1806" spans="8:9">
      <c r="H1806" s="1245"/>
      <c r="I1806" s="1245"/>
    </row>
    <row r="1807" spans="8:9">
      <c r="H1807" s="1245"/>
      <c r="I1807" s="1245"/>
    </row>
    <row r="1808" spans="8:9">
      <c r="H1808" s="1245"/>
      <c r="I1808" s="1245"/>
    </row>
    <row r="1809" spans="8:9">
      <c r="H1809" s="1245"/>
      <c r="I1809" s="1245"/>
    </row>
    <row r="1810" spans="8:9">
      <c r="H1810" s="1245"/>
      <c r="I1810" s="1245"/>
    </row>
    <row r="1811" spans="8:9">
      <c r="H1811" s="1245"/>
      <c r="I1811" s="1245"/>
    </row>
    <row r="1812" spans="8:9">
      <c r="H1812" s="1245"/>
      <c r="I1812" s="1245"/>
    </row>
    <row r="1813" spans="8:9">
      <c r="H1813" s="1245"/>
      <c r="I1813" s="1245"/>
    </row>
    <row r="1814" spans="8:9">
      <c r="H1814" s="1245"/>
      <c r="I1814" s="1245"/>
    </row>
    <row r="1815" spans="8:9">
      <c r="H1815" s="1245"/>
      <c r="I1815" s="1245"/>
    </row>
    <row r="1816" spans="8:9">
      <c r="H1816" s="1245"/>
      <c r="I1816" s="1245"/>
    </row>
    <row r="1817" spans="8:9">
      <c r="H1817" s="1245"/>
      <c r="I1817" s="1245"/>
    </row>
    <row r="1818" spans="8:9">
      <c r="H1818" s="1245"/>
      <c r="I1818" s="1245"/>
    </row>
    <row r="1819" spans="8:9">
      <c r="H1819" s="1245"/>
      <c r="I1819" s="1245"/>
    </row>
    <row r="1820" spans="8:9">
      <c r="H1820" s="1245"/>
      <c r="I1820" s="1245"/>
    </row>
    <row r="1821" spans="8:9">
      <c r="H1821" s="1245"/>
      <c r="I1821" s="1245"/>
    </row>
    <row r="1822" spans="8:9">
      <c r="H1822" s="1245"/>
      <c r="I1822" s="1245"/>
    </row>
    <row r="1823" spans="8:9">
      <c r="H1823" s="1245"/>
      <c r="I1823" s="1245"/>
    </row>
    <row r="1824" spans="8:9">
      <c r="H1824" s="1245"/>
      <c r="I1824" s="1245"/>
    </row>
    <row r="1825" spans="8:9">
      <c r="H1825" s="1245"/>
      <c r="I1825" s="1245"/>
    </row>
    <row r="1826" spans="8:9">
      <c r="H1826" s="1245"/>
      <c r="I1826" s="1245"/>
    </row>
    <row r="1827" spans="8:9">
      <c r="H1827" s="1245"/>
      <c r="I1827" s="1245"/>
    </row>
    <row r="1828" spans="8:9">
      <c r="H1828" s="1245"/>
      <c r="I1828" s="1245"/>
    </row>
    <row r="1829" spans="8:9">
      <c r="H1829" s="1245"/>
      <c r="I1829" s="1245"/>
    </row>
    <row r="1830" spans="8:9">
      <c r="H1830" s="1245"/>
      <c r="I1830" s="1245"/>
    </row>
    <row r="1831" spans="8:9">
      <c r="H1831" s="1245"/>
      <c r="I1831" s="1245"/>
    </row>
    <row r="1832" spans="8:9">
      <c r="H1832" s="1245"/>
      <c r="I1832" s="1245"/>
    </row>
    <row r="1833" spans="8:9">
      <c r="H1833" s="1245"/>
      <c r="I1833" s="1245"/>
    </row>
    <row r="1834" spans="8:9">
      <c r="H1834" s="1245"/>
      <c r="I1834" s="1245"/>
    </row>
    <row r="1835" spans="8:9">
      <c r="H1835" s="1245"/>
      <c r="I1835" s="1245"/>
    </row>
    <row r="1836" spans="8:9">
      <c r="H1836" s="1245"/>
      <c r="I1836" s="1245"/>
    </row>
    <row r="1837" spans="8:9">
      <c r="H1837" s="1245"/>
      <c r="I1837" s="1245"/>
    </row>
    <row r="1838" spans="8:9">
      <c r="H1838" s="1245"/>
      <c r="I1838" s="1245"/>
    </row>
    <row r="1839" spans="8:9">
      <c r="H1839" s="1245"/>
      <c r="I1839" s="1245"/>
    </row>
    <row r="1840" spans="8:9">
      <c r="H1840" s="1245"/>
      <c r="I1840" s="1245"/>
    </row>
    <row r="1841" spans="8:9">
      <c r="H1841" s="1245"/>
      <c r="I1841" s="1245"/>
    </row>
    <row r="1842" spans="8:9">
      <c r="H1842" s="1245"/>
      <c r="I1842" s="1245"/>
    </row>
    <row r="1843" spans="8:9">
      <c r="H1843" s="1245"/>
      <c r="I1843" s="1245"/>
    </row>
    <row r="1844" spans="8:9">
      <c r="H1844" s="1245"/>
      <c r="I1844" s="1245"/>
    </row>
    <row r="1845" spans="8:9">
      <c r="H1845" s="1245"/>
      <c r="I1845" s="1245"/>
    </row>
    <row r="1846" spans="8:9">
      <c r="H1846" s="1245"/>
      <c r="I1846" s="1245"/>
    </row>
    <row r="1847" spans="8:9">
      <c r="H1847" s="1245"/>
      <c r="I1847" s="1245"/>
    </row>
    <row r="1848" spans="8:9">
      <c r="H1848" s="1245"/>
      <c r="I1848" s="1245"/>
    </row>
    <row r="1849" spans="8:9">
      <c r="H1849" s="1245"/>
      <c r="I1849" s="1245"/>
    </row>
    <row r="1850" spans="8:9">
      <c r="H1850" s="1245"/>
      <c r="I1850" s="1245"/>
    </row>
    <row r="1851" spans="8:9">
      <c r="H1851" s="1245"/>
      <c r="I1851" s="1245"/>
    </row>
    <row r="1852" spans="8:9">
      <c r="H1852" s="1245"/>
      <c r="I1852" s="1245"/>
    </row>
    <row r="1853" spans="8:9">
      <c r="H1853" s="1245"/>
      <c r="I1853" s="1245"/>
    </row>
    <row r="1854" spans="8:9">
      <c r="H1854" s="1245"/>
      <c r="I1854" s="1245"/>
    </row>
    <row r="1855" spans="8:9">
      <c r="H1855" s="1245"/>
      <c r="I1855" s="1245"/>
    </row>
    <row r="1856" spans="8:9">
      <c r="H1856" s="1245"/>
      <c r="I1856" s="1245"/>
    </row>
    <row r="1857" spans="8:9">
      <c r="H1857" s="1245"/>
      <c r="I1857" s="1245"/>
    </row>
    <row r="1858" spans="8:9">
      <c r="H1858" s="1245"/>
      <c r="I1858" s="1245"/>
    </row>
    <row r="1859" spans="8:9">
      <c r="H1859" s="1245"/>
      <c r="I1859" s="1245"/>
    </row>
    <row r="1860" spans="8:9">
      <c r="H1860" s="1245"/>
      <c r="I1860" s="1245"/>
    </row>
    <row r="1861" spans="8:9">
      <c r="H1861" s="1245"/>
      <c r="I1861" s="1245"/>
    </row>
    <row r="1862" spans="8:9">
      <c r="H1862" s="1245"/>
      <c r="I1862" s="1245"/>
    </row>
    <row r="1863" spans="8:9">
      <c r="H1863" s="1245"/>
      <c r="I1863" s="1245"/>
    </row>
    <row r="1864" spans="8:9">
      <c r="H1864" s="1245"/>
      <c r="I1864" s="1245"/>
    </row>
    <row r="1865" spans="8:9">
      <c r="H1865" s="1245"/>
      <c r="I1865" s="1245"/>
    </row>
    <row r="1866" spans="8:9">
      <c r="H1866" s="1245"/>
      <c r="I1866" s="1245"/>
    </row>
    <row r="1867" spans="8:9">
      <c r="H1867" s="1245"/>
      <c r="I1867" s="1245"/>
    </row>
    <row r="1868" spans="8:9">
      <c r="H1868" s="1245"/>
      <c r="I1868" s="1245"/>
    </row>
    <row r="1869" spans="8:9">
      <c r="H1869" s="1245"/>
      <c r="I1869" s="1245"/>
    </row>
    <row r="1870" spans="8:9">
      <c r="H1870" s="1245"/>
      <c r="I1870" s="1245"/>
    </row>
    <row r="1871" spans="8:9">
      <c r="H1871" s="1245"/>
      <c r="I1871" s="1245"/>
    </row>
    <row r="1872" spans="8:9">
      <c r="H1872" s="1245"/>
      <c r="I1872" s="1245"/>
    </row>
    <row r="1873" spans="8:9">
      <c r="H1873" s="1245"/>
      <c r="I1873" s="1245"/>
    </row>
    <row r="1874" spans="8:9">
      <c r="H1874" s="1245"/>
      <c r="I1874" s="1245"/>
    </row>
    <row r="1875" spans="8:9">
      <c r="H1875" s="1245"/>
      <c r="I1875" s="1245"/>
    </row>
    <row r="1876" spans="8:9">
      <c r="H1876" s="1245"/>
      <c r="I1876" s="1245"/>
    </row>
    <row r="1877" spans="8:9">
      <c r="H1877" s="1245"/>
      <c r="I1877" s="1245"/>
    </row>
    <row r="1878" spans="8:9">
      <c r="H1878" s="1245"/>
      <c r="I1878" s="1245"/>
    </row>
    <row r="1879" spans="8:9">
      <c r="H1879" s="1245"/>
      <c r="I1879" s="1245"/>
    </row>
    <row r="1880" spans="8:9">
      <c r="H1880" s="1245"/>
      <c r="I1880" s="1245"/>
    </row>
    <row r="1881" spans="8:9">
      <c r="H1881" s="1245"/>
      <c r="I1881" s="1245"/>
    </row>
    <row r="1882" spans="8:9">
      <c r="H1882" s="1245"/>
      <c r="I1882" s="1245"/>
    </row>
    <row r="1883" spans="8:9">
      <c r="H1883" s="1245"/>
      <c r="I1883" s="1245"/>
    </row>
    <row r="1884" spans="8:9">
      <c r="H1884" s="1245"/>
      <c r="I1884" s="1245"/>
    </row>
    <row r="1885" spans="8:9">
      <c r="H1885" s="1245"/>
      <c r="I1885" s="1245"/>
    </row>
    <row r="1886" spans="8:9">
      <c r="H1886" s="1245"/>
      <c r="I1886" s="1245"/>
    </row>
    <row r="1887" spans="8:9">
      <c r="H1887" s="1245"/>
      <c r="I1887" s="1245"/>
    </row>
    <row r="1888" spans="8:9">
      <c r="H1888" s="1245"/>
      <c r="I1888" s="1245"/>
    </row>
    <row r="1889" spans="8:9">
      <c r="H1889" s="1245"/>
      <c r="I1889" s="1245"/>
    </row>
    <row r="1890" spans="8:9">
      <c r="H1890" s="1245"/>
      <c r="I1890" s="1245"/>
    </row>
    <row r="1891" spans="8:9">
      <c r="H1891" s="1245"/>
      <c r="I1891" s="1245"/>
    </row>
    <row r="1892" spans="8:9">
      <c r="H1892" s="1245"/>
      <c r="I1892" s="1245"/>
    </row>
    <row r="1893" spans="8:9">
      <c r="H1893" s="1245"/>
      <c r="I1893" s="1245"/>
    </row>
    <row r="1894" spans="8:9">
      <c r="H1894" s="1245"/>
      <c r="I1894" s="1245"/>
    </row>
    <row r="1895" spans="8:9">
      <c r="H1895" s="1245"/>
      <c r="I1895" s="1245"/>
    </row>
    <row r="1896" spans="8:9">
      <c r="H1896" s="1245"/>
      <c r="I1896" s="1245"/>
    </row>
    <row r="1897" spans="8:9">
      <c r="H1897" s="1245"/>
      <c r="I1897" s="1245"/>
    </row>
    <row r="1898" spans="8:9">
      <c r="H1898" s="1245"/>
      <c r="I1898" s="1245"/>
    </row>
    <row r="1899" spans="8:9">
      <c r="H1899" s="1245"/>
      <c r="I1899" s="1245"/>
    </row>
    <row r="1900" spans="8:9">
      <c r="H1900" s="1245"/>
      <c r="I1900" s="1245"/>
    </row>
    <row r="1901" spans="8:9">
      <c r="H1901" s="1245"/>
      <c r="I1901" s="1245"/>
    </row>
    <row r="1902" spans="8:9">
      <c r="H1902" s="1245"/>
      <c r="I1902" s="1245"/>
    </row>
    <row r="1903" spans="8:9">
      <c r="H1903" s="1245"/>
      <c r="I1903" s="1245"/>
    </row>
    <row r="1904" spans="8:9">
      <c r="H1904" s="1245"/>
      <c r="I1904" s="1245"/>
    </row>
    <row r="1905" spans="8:9">
      <c r="H1905" s="1245"/>
      <c r="I1905" s="1245"/>
    </row>
    <row r="1906" spans="8:9">
      <c r="H1906" s="1245"/>
      <c r="I1906" s="1245"/>
    </row>
    <row r="1907" spans="8:9">
      <c r="H1907" s="1245"/>
      <c r="I1907" s="1245"/>
    </row>
    <row r="1908" spans="8:9">
      <c r="H1908" s="1245"/>
      <c r="I1908" s="1245"/>
    </row>
    <row r="1909" spans="8:9">
      <c r="H1909" s="1245"/>
      <c r="I1909" s="1245"/>
    </row>
    <row r="1910" spans="8:9">
      <c r="H1910" s="1245"/>
      <c r="I1910" s="1245"/>
    </row>
    <row r="1911" spans="8:9">
      <c r="H1911" s="1245"/>
      <c r="I1911" s="1245"/>
    </row>
    <row r="1912" spans="8:9">
      <c r="H1912" s="1245"/>
      <c r="I1912" s="1245"/>
    </row>
    <row r="1913" spans="8:9">
      <c r="H1913" s="1245"/>
      <c r="I1913" s="1245"/>
    </row>
    <row r="1914" spans="8:9">
      <c r="H1914" s="1245"/>
      <c r="I1914" s="1245"/>
    </row>
    <row r="1915" spans="8:9">
      <c r="H1915" s="1245"/>
      <c r="I1915" s="1245"/>
    </row>
    <row r="1916" spans="8:9">
      <c r="H1916" s="1245"/>
      <c r="I1916" s="1245"/>
    </row>
    <row r="1917" spans="8:9">
      <c r="H1917" s="1245"/>
      <c r="I1917" s="1245"/>
    </row>
    <row r="1918" spans="8:9">
      <c r="H1918" s="1245"/>
      <c r="I1918" s="1245"/>
    </row>
    <row r="1919" spans="8:9">
      <c r="H1919" s="1245"/>
      <c r="I1919" s="1245"/>
    </row>
    <row r="1920" spans="8:9">
      <c r="H1920" s="1245"/>
      <c r="I1920" s="1245"/>
    </row>
    <row r="1921" spans="8:9">
      <c r="H1921" s="1245"/>
      <c r="I1921" s="1245"/>
    </row>
    <row r="1922" spans="8:9">
      <c r="H1922" s="1245"/>
      <c r="I1922" s="1245"/>
    </row>
    <row r="1923" spans="8:9">
      <c r="H1923" s="1245"/>
      <c r="I1923" s="1245"/>
    </row>
    <row r="1924" spans="8:9">
      <c r="H1924" s="1245"/>
      <c r="I1924" s="1245"/>
    </row>
    <row r="1925" spans="8:9">
      <c r="H1925" s="1245"/>
      <c r="I1925" s="1245"/>
    </row>
    <row r="1926" spans="8:9">
      <c r="H1926" s="1245"/>
      <c r="I1926" s="1245"/>
    </row>
    <row r="1927" spans="8:9">
      <c r="H1927" s="1245"/>
      <c r="I1927" s="1245"/>
    </row>
    <row r="1928" spans="8:9">
      <c r="H1928" s="1245"/>
      <c r="I1928" s="1245"/>
    </row>
    <row r="1929" spans="8:9">
      <c r="H1929" s="1245"/>
      <c r="I1929" s="1245"/>
    </row>
    <row r="1930" spans="8:9">
      <c r="H1930" s="1245"/>
      <c r="I1930" s="1245"/>
    </row>
    <row r="1931" spans="8:9">
      <c r="H1931" s="1245"/>
      <c r="I1931" s="1245"/>
    </row>
    <row r="1932" spans="8:9">
      <c r="H1932" s="1245"/>
      <c r="I1932" s="1245"/>
    </row>
    <row r="1933" spans="8:9">
      <c r="H1933" s="1245"/>
      <c r="I1933" s="1245"/>
    </row>
    <row r="1934" spans="8:9">
      <c r="H1934" s="1245"/>
      <c r="I1934" s="1245"/>
    </row>
    <row r="1935" spans="8:9">
      <c r="H1935" s="1245"/>
      <c r="I1935" s="1245"/>
    </row>
    <row r="1936" spans="8:9">
      <c r="H1936" s="1245"/>
      <c r="I1936" s="1245"/>
    </row>
    <row r="1937" spans="8:9">
      <c r="H1937" s="1245"/>
      <c r="I1937" s="1245"/>
    </row>
    <row r="1938" spans="8:9">
      <c r="H1938" s="1245"/>
      <c r="I1938" s="1245"/>
    </row>
    <row r="1939" spans="8:9">
      <c r="H1939" s="1245"/>
      <c r="I1939" s="1245"/>
    </row>
    <row r="1940" spans="8:9">
      <c r="H1940" s="1245"/>
      <c r="I1940" s="1245"/>
    </row>
    <row r="1941" spans="8:9">
      <c r="H1941" s="1245"/>
      <c r="I1941" s="1245"/>
    </row>
    <row r="1942" spans="8:9">
      <c r="H1942" s="1245"/>
      <c r="I1942" s="1245"/>
    </row>
    <row r="1943" spans="8:9">
      <c r="H1943" s="1245"/>
      <c r="I1943" s="1245"/>
    </row>
    <row r="1944" spans="8:9">
      <c r="H1944" s="1245"/>
      <c r="I1944" s="1245"/>
    </row>
    <row r="1945" spans="8:9">
      <c r="H1945" s="1245"/>
      <c r="I1945" s="1245"/>
    </row>
    <row r="1946" spans="8:9">
      <c r="H1946" s="1245"/>
      <c r="I1946" s="1245"/>
    </row>
    <row r="1947" spans="8:9">
      <c r="H1947" s="1245"/>
      <c r="I1947" s="1245"/>
    </row>
    <row r="1948" spans="8:9">
      <c r="H1948" s="1245"/>
      <c r="I1948" s="1245"/>
    </row>
    <row r="1949" spans="8:9">
      <c r="H1949" s="1245"/>
      <c r="I1949" s="1245"/>
    </row>
    <row r="1950" spans="8:9">
      <c r="H1950" s="1245"/>
      <c r="I1950" s="1245"/>
    </row>
    <row r="1951" spans="8:9">
      <c r="H1951" s="1245"/>
      <c r="I1951" s="1245"/>
    </row>
    <row r="1952" spans="8:9">
      <c r="H1952" s="1245"/>
      <c r="I1952" s="1245"/>
    </row>
    <row r="1953" spans="8:9">
      <c r="H1953" s="1245"/>
      <c r="I1953" s="1245"/>
    </row>
    <row r="1954" spans="8:9">
      <c r="H1954" s="1245"/>
      <c r="I1954" s="1245"/>
    </row>
    <row r="1955" spans="8:9">
      <c r="H1955" s="1245"/>
      <c r="I1955" s="1245"/>
    </row>
    <row r="1956" spans="8:9">
      <c r="H1956" s="1245"/>
      <c r="I1956" s="1245"/>
    </row>
    <row r="1957" spans="8:9">
      <c r="H1957" s="1245"/>
      <c r="I1957" s="1245"/>
    </row>
    <row r="1958" spans="8:9">
      <c r="H1958" s="1245"/>
      <c r="I1958" s="1245"/>
    </row>
    <row r="1959" spans="8:9">
      <c r="H1959" s="1245"/>
      <c r="I1959" s="1245"/>
    </row>
    <row r="1960" spans="8:9">
      <c r="H1960" s="1245"/>
      <c r="I1960" s="1245"/>
    </row>
    <row r="1961" spans="8:9">
      <c r="H1961" s="1245"/>
      <c r="I1961" s="1245"/>
    </row>
    <row r="1962" spans="8:9">
      <c r="H1962" s="1245"/>
      <c r="I1962" s="1245"/>
    </row>
    <row r="1963" spans="8:9">
      <c r="H1963" s="1245"/>
      <c r="I1963" s="1245"/>
    </row>
    <row r="1964" spans="8:9">
      <c r="H1964" s="1245"/>
      <c r="I1964" s="1245"/>
    </row>
    <row r="1965" spans="8:9">
      <c r="H1965" s="1245"/>
      <c r="I1965" s="1245"/>
    </row>
    <row r="1966" spans="8:9">
      <c r="H1966" s="1245"/>
      <c r="I1966" s="1245"/>
    </row>
    <row r="1967" spans="8:9">
      <c r="H1967" s="1245"/>
      <c r="I1967" s="1245"/>
    </row>
    <row r="1968" spans="8:9">
      <c r="H1968" s="1245"/>
      <c r="I1968" s="1245"/>
    </row>
    <row r="1969" spans="8:9">
      <c r="H1969" s="1245"/>
      <c r="I1969" s="1245"/>
    </row>
    <row r="1970" spans="8:9">
      <c r="H1970" s="1245"/>
      <c r="I1970" s="1245"/>
    </row>
    <row r="1971" spans="8:9">
      <c r="H1971" s="1245"/>
      <c r="I1971" s="1245"/>
    </row>
    <row r="1972" spans="8:9">
      <c r="H1972" s="1245"/>
      <c r="I1972" s="1245"/>
    </row>
    <row r="1973" spans="8:9">
      <c r="H1973" s="1245"/>
      <c r="I1973" s="1245"/>
    </row>
    <row r="1974" spans="8:9">
      <c r="H1974" s="1245"/>
      <c r="I1974" s="1245"/>
    </row>
    <row r="1975" spans="8:9">
      <c r="H1975" s="1245"/>
      <c r="I1975" s="1245"/>
    </row>
    <row r="1976" spans="8:9">
      <c r="H1976" s="1245"/>
      <c r="I1976" s="1245"/>
    </row>
    <row r="1977" spans="8:9">
      <c r="H1977" s="1245"/>
      <c r="I1977" s="1245"/>
    </row>
    <row r="1978" spans="8:9">
      <c r="H1978" s="1245"/>
      <c r="I1978" s="1245"/>
    </row>
    <row r="1979" spans="8:9">
      <c r="H1979" s="1245"/>
      <c r="I1979" s="1245"/>
    </row>
    <row r="1980" spans="8:9">
      <c r="H1980" s="1245"/>
      <c r="I1980" s="1245"/>
    </row>
    <row r="1981" spans="8:9">
      <c r="H1981" s="1245"/>
      <c r="I1981" s="1245"/>
    </row>
    <row r="1982" spans="8:9">
      <c r="H1982" s="1245"/>
      <c r="I1982" s="1245"/>
    </row>
    <row r="1983" spans="8:9">
      <c r="H1983" s="1245"/>
      <c r="I1983" s="1245"/>
    </row>
    <row r="1984" spans="8:9">
      <c r="H1984" s="1245"/>
      <c r="I1984" s="1245"/>
    </row>
    <row r="1985" spans="8:9">
      <c r="H1985" s="1245"/>
      <c r="I1985" s="1245"/>
    </row>
    <row r="1986" spans="8:9">
      <c r="H1986" s="1245"/>
      <c r="I1986" s="1245"/>
    </row>
    <row r="1987" spans="8:9">
      <c r="H1987" s="1245"/>
      <c r="I1987" s="1245"/>
    </row>
    <row r="1988" spans="8:9">
      <c r="H1988" s="1245"/>
      <c r="I1988" s="1245"/>
    </row>
    <row r="1989" spans="8:9">
      <c r="H1989" s="1245"/>
      <c r="I1989" s="1245"/>
    </row>
    <row r="1990" spans="8:9">
      <c r="H1990" s="1245"/>
      <c r="I1990" s="1245"/>
    </row>
    <row r="1991" spans="8:9">
      <c r="H1991" s="1245"/>
      <c r="I1991" s="1245"/>
    </row>
    <row r="1992" spans="8:9">
      <c r="H1992" s="1245"/>
      <c r="I1992" s="1245"/>
    </row>
    <row r="1993" spans="8:9">
      <c r="H1993" s="1245"/>
      <c r="I1993" s="1245"/>
    </row>
    <row r="1994" spans="8:9">
      <c r="H1994" s="1245"/>
      <c r="I1994" s="1245"/>
    </row>
    <row r="1995" spans="8:9">
      <c r="H1995" s="1245"/>
      <c r="I1995" s="1245"/>
    </row>
    <row r="1996" spans="8:9">
      <c r="H1996" s="1245"/>
      <c r="I1996" s="1245"/>
    </row>
    <row r="1997" spans="8:9">
      <c r="H1997" s="1245"/>
      <c r="I1997" s="1245"/>
    </row>
    <row r="1998" spans="8:9">
      <c r="H1998" s="1245"/>
      <c r="I1998" s="1245"/>
    </row>
    <row r="1999" spans="8:9">
      <c r="H1999" s="1245"/>
      <c r="I1999" s="1245"/>
    </row>
    <row r="2000" spans="8:9">
      <c r="H2000" s="1245"/>
      <c r="I2000" s="1245"/>
    </row>
    <row r="2001" spans="8:9">
      <c r="H2001" s="1245"/>
      <c r="I2001" s="1245"/>
    </row>
    <row r="2002" spans="8:9">
      <c r="H2002" s="1245"/>
      <c r="I2002" s="1245"/>
    </row>
    <row r="2003" spans="8:9">
      <c r="H2003" s="1245"/>
      <c r="I2003" s="1245"/>
    </row>
    <row r="2004" spans="8:9">
      <c r="H2004" s="1245"/>
      <c r="I2004" s="1245"/>
    </row>
    <row r="2005" spans="8:9">
      <c r="H2005" s="1245"/>
      <c r="I2005" s="1245"/>
    </row>
    <row r="2006" spans="8:9">
      <c r="H2006" s="1245"/>
      <c r="I2006" s="1245"/>
    </row>
    <row r="2007" spans="8:9">
      <c r="H2007" s="1245"/>
      <c r="I2007" s="1245"/>
    </row>
    <row r="2008" spans="8:9">
      <c r="H2008" s="1245"/>
      <c r="I2008" s="1245"/>
    </row>
    <row r="2009" spans="8:9">
      <c r="H2009" s="1245"/>
      <c r="I2009" s="1245"/>
    </row>
    <row r="2010" spans="8:9">
      <c r="H2010" s="1245"/>
      <c r="I2010" s="1245"/>
    </row>
    <row r="2011" spans="8:9">
      <c r="H2011" s="1245"/>
      <c r="I2011" s="1245"/>
    </row>
    <row r="2012" spans="8:9">
      <c r="H2012" s="1245"/>
      <c r="I2012" s="1245"/>
    </row>
    <row r="2013" spans="8:9">
      <c r="H2013" s="1245"/>
      <c r="I2013" s="1245"/>
    </row>
    <row r="2014" spans="8:9">
      <c r="H2014" s="1245"/>
      <c r="I2014" s="1245"/>
    </row>
    <row r="2015" spans="8:9">
      <c r="H2015" s="1245"/>
      <c r="I2015" s="1245"/>
    </row>
    <row r="2016" spans="8:9">
      <c r="H2016" s="1245"/>
      <c r="I2016" s="1245"/>
    </row>
    <row r="2017" spans="8:9">
      <c r="H2017" s="1245"/>
      <c r="I2017" s="1245"/>
    </row>
    <row r="2018" spans="8:9">
      <c r="H2018" s="1245"/>
      <c r="I2018" s="1245"/>
    </row>
    <row r="2019" spans="8:9">
      <c r="H2019" s="1245"/>
      <c r="I2019" s="1245"/>
    </row>
    <row r="2020" spans="8:9">
      <c r="H2020" s="1245"/>
      <c r="I2020" s="1245"/>
    </row>
    <row r="2021" spans="8:9">
      <c r="H2021" s="1245"/>
      <c r="I2021" s="1245"/>
    </row>
    <row r="2022" spans="8:9">
      <c r="H2022" s="1245"/>
      <c r="I2022" s="1245"/>
    </row>
    <row r="2023" spans="8:9">
      <c r="H2023" s="1245"/>
      <c r="I2023" s="1245"/>
    </row>
    <row r="2024" spans="8:9">
      <c r="H2024" s="1245"/>
      <c r="I2024" s="1245"/>
    </row>
    <row r="2025" spans="8:9">
      <c r="H2025" s="1245"/>
      <c r="I2025" s="1245"/>
    </row>
    <row r="2026" spans="8:9">
      <c r="H2026" s="1245"/>
      <c r="I2026" s="1245"/>
    </row>
    <row r="2027" spans="8:9">
      <c r="H2027" s="1245"/>
      <c r="I2027" s="1245"/>
    </row>
    <row r="2028" spans="8:9">
      <c r="H2028" s="1245"/>
      <c r="I2028" s="1245"/>
    </row>
    <row r="2029" spans="8:9">
      <c r="H2029" s="1245"/>
      <c r="I2029" s="1245"/>
    </row>
    <row r="2030" spans="8:9">
      <c r="H2030" s="1245"/>
      <c r="I2030" s="1245"/>
    </row>
    <row r="2031" spans="8:9">
      <c r="H2031" s="1245"/>
      <c r="I2031" s="1245"/>
    </row>
    <row r="2032" spans="8:9">
      <c r="H2032" s="1245"/>
      <c r="I2032" s="1245"/>
    </row>
    <row r="2033" spans="8:9">
      <c r="H2033" s="1245"/>
      <c r="I2033" s="1245"/>
    </row>
    <row r="2034" spans="8:9">
      <c r="H2034" s="1245"/>
      <c r="I2034" s="1245"/>
    </row>
    <row r="2035" spans="8:9">
      <c r="H2035" s="1245"/>
      <c r="I2035" s="1245"/>
    </row>
    <row r="2036" spans="8:9">
      <c r="H2036" s="1245"/>
      <c r="I2036" s="1245"/>
    </row>
    <row r="2037" spans="8:9">
      <c r="H2037" s="1245"/>
      <c r="I2037" s="1245"/>
    </row>
    <row r="2038" spans="8:9">
      <c r="H2038" s="1245"/>
      <c r="I2038" s="1245"/>
    </row>
    <row r="2039" spans="8:9">
      <c r="H2039" s="1245"/>
      <c r="I2039" s="1245"/>
    </row>
    <row r="2040" spans="8:9">
      <c r="H2040" s="1245"/>
      <c r="I2040" s="1245"/>
    </row>
    <row r="2041" spans="8:9">
      <c r="H2041" s="1245"/>
      <c r="I2041" s="1245"/>
    </row>
    <row r="2042" spans="8:9">
      <c r="H2042" s="1245"/>
      <c r="I2042" s="1245"/>
    </row>
    <row r="2043" spans="8:9">
      <c r="H2043" s="1245"/>
      <c r="I2043" s="1245"/>
    </row>
    <row r="2044" spans="8:9">
      <c r="H2044" s="1245"/>
      <c r="I2044" s="1245"/>
    </row>
    <row r="2045" spans="8:9">
      <c r="H2045" s="1245"/>
      <c r="I2045" s="1245"/>
    </row>
    <row r="2046" spans="8:9">
      <c r="H2046" s="1245"/>
      <c r="I2046" s="1245"/>
    </row>
    <row r="2047" spans="8:9">
      <c r="H2047" s="1245"/>
      <c r="I2047" s="1245"/>
    </row>
    <row r="2048" spans="8:9">
      <c r="H2048" s="1245"/>
      <c r="I2048" s="1245"/>
    </row>
    <row r="2049" spans="8:9">
      <c r="H2049" s="1245"/>
      <c r="I2049" s="1245"/>
    </row>
    <row r="2050" spans="8:9">
      <c r="H2050" s="1245"/>
      <c r="I2050" s="1245"/>
    </row>
    <row r="2051" spans="8:9">
      <c r="H2051" s="1245"/>
      <c r="I2051" s="1245"/>
    </row>
    <row r="2052" spans="8:9">
      <c r="H2052" s="1245"/>
      <c r="I2052" s="1245"/>
    </row>
    <row r="2053" spans="8:9">
      <c r="H2053" s="1245"/>
      <c r="I2053" s="1245"/>
    </row>
    <row r="2054" spans="8:9">
      <c r="H2054" s="1245"/>
      <c r="I2054" s="1245"/>
    </row>
    <row r="2055" spans="8:9">
      <c r="H2055" s="1245"/>
      <c r="I2055" s="1245"/>
    </row>
    <row r="2056" spans="8:9">
      <c r="H2056" s="1245"/>
      <c r="I2056" s="1245"/>
    </row>
    <row r="2057" spans="8:9">
      <c r="H2057" s="1245"/>
      <c r="I2057" s="1245"/>
    </row>
    <row r="2058" spans="8:9">
      <c r="H2058" s="1245"/>
      <c r="I2058" s="1245"/>
    </row>
    <row r="2059" spans="8:9">
      <c r="H2059" s="1245"/>
      <c r="I2059" s="1245"/>
    </row>
    <row r="2060" spans="8:9">
      <c r="H2060" s="1245"/>
      <c r="I2060" s="1245"/>
    </row>
    <row r="2061" spans="8:9">
      <c r="H2061" s="1245"/>
      <c r="I2061" s="1245"/>
    </row>
    <row r="2062" spans="8:9">
      <c r="H2062" s="1245"/>
      <c r="I2062" s="1245"/>
    </row>
    <row r="2063" spans="8:9">
      <c r="H2063" s="1245"/>
      <c r="I2063" s="1245"/>
    </row>
    <row r="2064" spans="8:9">
      <c r="H2064" s="1245"/>
      <c r="I2064" s="1245"/>
    </row>
    <row r="2065" spans="8:9">
      <c r="H2065" s="1245"/>
      <c r="I2065" s="1245"/>
    </row>
    <row r="2066" spans="8:9">
      <c r="H2066" s="1245"/>
      <c r="I2066" s="1245"/>
    </row>
    <row r="2067" spans="8:9">
      <c r="H2067" s="1245"/>
      <c r="I2067" s="1245"/>
    </row>
    <row r="2068" spans="8:9">
      <c r="H2068" s="1245"/>
      <c r="I2068" s="1245"/>
    </row>
    <row r="2069" spans="8:9">
      <c r="H2069" s="1245"/>
      <c r="I2069" s="1245"/>
    </row>
    <row r="2070" spans="8:9">
      <c r="H2070" s="1245"/>
      <c r="I2070" s="1245"/>
    </row>
    <row r="2071" spans="8:9">
      <c r="H2071" s="1245"/>
      <c r="I2071" s="1245"/>
    </row>
    <row r="2072" spans="8:9">
      <c r="H2072" s="1245"/>
      <c r="I2072" s="1245"/>
    </row>
    <row r="2073" spans="8:9">
      <c r="H2073" s="1245"/>
      <c r="I2073" s="1245"/>
    </row>
    <row r="2074" spans="8:9">
      <c r="H2074" s="1245"/>
      <c r="I2074" s="1245"/>
    </row>
    <row r="2075" spans="8:9">
      <c r="H2075" s="1245"/>
      <c r="I2075" s="1245"/>
    </row>
    <row r="2076" spans="8:9">
      <c r="H2076" s="1245"/>
      <c r="I2076" s="1245"/>
    </row>
    <row r="2077" spans="8:9">
      <c r="H2077" s="1245"/>
      <c r="I2077" s="1245"/>
    </row>
    <row r="2078" spans="8:9">
      <c r="H2078" s="1245"/>
      <c r="I2078" s="1245"/>
    </row>
    <row r="2079" spans="8:9">
      <c r="H2079" s="1245"/>
      <c r="I2079" s="1245"/>
    </row>
    <row r="2080" spans="8:9">
      <c r="H2080" s="1245"/>
      <c r="I2080" s="1245"/>
    </row>
    <row r="2081" spans="8:9">
      <c r="H2081" s="1245"/>
      <c r="I2081" s="1245"/>
    </row>
    <row r="2082" spans="8:9">
      <c r="H2082" s="1245"/>
      <c r="I2082" s="1245"/>
    </row>
    <row r="2083" spans="8:9">
      <c r="H2083" s="1245"/>
      <c r="I2083" s="1245"/>
    </row>
    <row r="2084" spans="8:9">
      <c r="H2084" s="1245"/>
      <c r="I2084" s="1245"/>
    </row>
    <row r="2085" spans="8:9">
      <c r="H2085" s="1245"/>
      <c r="I2085" s="1245"/>
    </row>
    <row r="2086" spans="8:9">
      <c r="H2086" s="1245"/>
      <c r="I2086" s="1245"/>
    </row>
    <row r="2087" spans="8:9">
      <c r="H2087" s="1245"/>
      <c r="I2087" s="1245"/>
    </row>
    <row r="2088" spans="8:9">
      <c r="H2088" s="1245"/>
      <c r="I2088" s="1245"/>
    </row>
    <row r="2089" spans="8:9">
      <c r="H2089" s="1245"/>
      <c r="I2089" s="1245"/>
    </row>
    <row r="2090" spans="8:9">
      <c r="H2090" s="1245"/>
      <c r="I2090" s="1245"/>
    </row>
    <row r="2091" spans="8:9">
      <c r="H2091" s="1245"/>
      <c r="I2091" s="1245"/>
    </row>
    <row r="2092" spans="8:9">
      <c r="H2092" s="1245"/>
      <c r="I2092" s="1245"/>
    </row>
    <row r="2093" spans="8:9">
      <c r="H2093" s="1245"/>
      <c r="I2093" s="1245"/>
    </row>
    <row r="2094" spans="8:9">
      <c r="H2094" s="1245"/>
      <c r="I2094" s="1245"/>
    </row>
    <row r="2095" spans="8:9">
      <c r="H2095" s="1245"/>
      <c r="I2095" s="1245"/>
    </row>
    <row r="2096" spans="8:9">
      <c r="H2096" s="1245"/>
      <c r="I2096" s="1245"/>
    </row>
    <row r="2097" spans="8:9">
      <c r="H2097" s="1245"/>
      <c r="I2097" s="1245"/>
    </row>
    <row r="2098" spans="8:9">
      <c r="H2098" s="1245"/>
      <c r="I2098" s="1245"/>
    </row>
    <row r="2099" spans="8:9">
      <c r="H2099" s="1245"/>
      <c r="I2099" s="1245"/>
    </row>
    <row r="2100" spans="8:9">
      <c r="H2100" s="1245"/>
      <c r="I2100" s="1245"/>
    </row>
    <row r="2101" spans="8:9">
      <c r="H2101" s="1245"/>
      <c r="I2101" s="1245"/>
    </row>
    <row r="2102" spans="8:9">
      <c r="H2102" s="1245"/>
      <c r="I2102" s="1245"/>
    </row>
    <row r="2103" spans="8:9">
      <c r="H2103" s="1245"/>
      <c r="I2103" s="1245"/>
    </row>
    <row r="2104" spans="8:9">
      <c r="H2104" s="1245"/>
      <c r="I2104" s="1245"/>
    </row>
    <row r="2105" spans="8:9">
      <c r="H2105" s="1245"/>
      <c r="I2105" s="1245"/>
    </row>
    <row r="2106" spans="8:9">
      <c r="H2106" s="1245"/>
      <c r="I2106" s="1245"/>
    </row>
    <row r="2107" spans="8:9">
      <c r="H2107" s="1245"/>
      <c r="I2107" s="1245"/>
    </row>
    <row r="2108" spans="8:9">
      <c r="H2108" s="1245"/>
      <c r="I2108" s="1245"/>
    </row>
    <row r="2109" spans="8:9">
      <c r="H2109" s="1245"/>
      <c r="I2109" s="1245"/>
    </row>
    <row r="2110" spans="8:9">
      <c r="H2110" s="1245"/>
      <c r="I2110" s="1245"/>
    </row>
    <row r="2111" spans="8:9">
      <c r="H2111" s="1245"/>
      <c r="I2111" s="1245"/>
    </row>
    <row r="2112" spans="8:9">
      <c r="H2112" s="1245"/>
      <c r="I2112" s="1245"/>
    </row>
    <row r="2113" spans="8:9">
      <c r="H2113" s="1245"/>
      <c r="I2113" s="1245"/>
    </row>
    <row r="2114" spans="8:9">
      <c r="H2114" s="1245"/>
      <c r="I2114" s="1245"/>
    </row>
    <row r="2115" spans="8:9">
      <c r="H2115" s="1245"/>
      <c r="I2115" s="1245"/>
    </row>
    <row r="2116" spans="8:9">
      <c r="H2116" s="1245"/>
      <c r="I2116" s="1245"/>
    </row>
    <row r="2117" spans="8:9">
      <c r="H2117" s="1245"/>
      <c r="I2117" s="1245"/>
    </row>
    <row r="2118" spans="8:9">
      <c r="H2118" s="1245"/>
      <c r="I2118" s="1245"/>
    </row>
    <row r="2119" spans="8:9">
      <c r="H2119" s="1245"/>
      <c r="I2119" s="1245"/>
    </row>
    <row r="2120" spans="8:9">
      <c r="H2120" s="1245"/>
      <c r="I2120" s="1245"/>
    </row>
    <row r="2121" spans="8:9">
      <c r="H2121" s="1245"/>
      <c r="I2121" s="1245"/>
    </row>
    <row r="2122" spans="8:9">
      <c r="H2122" s="1245"/>
      <c r="I2122" s="1245"/>
    </row>
    <row r="2123" spans="8:9">
      <c r="H2123" s="1245"/>
      <c r="I2123" s="1245"/>
    </row>
    <row r="2124" spans="8:9">
      <c r="H2124" s="1245"/>
      <c r="I2124" s="1245"/>
    </row>
    <row r="2125" spans="8:9">
      <c r="H2125" s="1245"/>
      <c r="I2125" s="1245"/>
    </row>
    <row r="2126" spans="8:9">
      <c r="H2126" s="1245"/>
      <c r="I2126" s="1245"/>
    </row>
    <row r="2127" spans="8:9">
      <c r="H2127" s="1245"/>
      <c r="I2127" s="1245"/>
    </row>
    <row r="2128" spans="8:9">
      <c r="H2128" s="1245"/>
      <c r="I2128" s="1245"/>
    </row>
    <row r="2129" spans="8:9">
      <c r="H2129" s="1245"/>
      <c r="I2129" s="1245"/>
    </row>
    <row r="2130" spans="8:9">
      <c r="H2130" s="1245"/>
      <c r="I2130" s="1245"/>
    </row>
    <row r="2131" spans="8:9">
      <c r="H2131" s="1245"/>
      <c r="I2131" s="1245"/>
    </row>
    <row r="2132" spans="8:9">
      <c r="H2132" s="1245"/>
      <c r="I2132" s="1245"/>
    </row>
    <row r="2133" spans="8:9">
      <c r="H2133" s="1245"/>
      <c r="I2133" s="1245"/>
    </row>
    <row r="2134" spans="8:9">
      <c r="H2134" s="1245"/>
      <c r="I2134" s="1245"/>
    </row>
    <row r="2135" spans="8:9">
      <c r="H2135" s="1245"/>
      <c r="I2135" s="1245"/>
    </row>
    <row r="2136" spans="8:9">
      <c r="H2136" s="1245"/>
      <c r="I2136" s="1245"/>
    </row>
    <row r="2137" spans="8:9">
      <c r="H2137" s="1245"/>
      <c r="I2137" s="1245"/>
    </row>
    <row r="2138" spans="8:9">
      <c r="H2138" s="1245"/>
      <c r="I2138" s="1245"/>
    </row>
    <row r="2139" spans="8:9">
      <c r="H2139" s="1245"/>
      <c r="I2139" s="1245"/>
    </row>
    <row r="2140" spans="8:9">
      <c r="H2140" s="1245"/>
      <c r="I2140" s="1245"/>
    </row>
    <row r="2141" spans="8:9">
      <c r="H2141" s="1245"/>
      <c r="I2141" s="1245"/>
    </row>
    <row r="2142" spans="8:9">
      <c r="H2142" s="1245"/>
      <c r="I2142" s="1245"/>
    </row>
    <row r="2143" spans="8:9">
      <c r="H2143" s="1245"/>
      <c r="I2143" s="1245"/>
    </row>
    <row r="2144" spans="8:9">
      <c r="H2144" s="1245"/>
      <c r="I2144" s="1245"/>
    </row>
    <row r="2145" spans="8:9">
      <c r="H2145" s="1245"/>
      <c r="I2145" s="1245"/>
    </row>
    <row r="2146" spans="8:9">
      <c r="H2146" s="1245"/>
      <c r="I2146" s="1245"/>
    </row>
    <row r="2147" spans="8:9">
      <c r="H2147" s="1245"/>
      <c r="I2147" s="1245"/>
    </row>
    <row r="2148" spans="8:9">
      <c r="H2148" s="1245"/>
      <c r="I2148" s="1245"/>
    </row>
    <row r="2149" spans="8:9">
      <c r="H2149" s="1245"/>
      <c r="I2149" s="1245"/>
    </row>
    <row r="2150" spans="8:9">
      <c r="H2150" s="1245"/>
      <c r="I2150" s="1245"/>
    </row>
    <row r="2151" spans="8:9">
      <c r="H2151" s="1245"/>
      <c r="I2151" s="1245"/>
    </row>
    <row r="2152" spans="8:9">
      <c r="H2152" s="1245"/>
      <c r="I2152" s="1245"/>
    </row>
    <row r="2153" spans="8:9">
      <c r="H2153" s="1245"/>
      <c r="I2153" s="1245"/>
    </row>
    <row r="2154" spans="8:9">
      <c r="H2154" s="1245"/>
      <c r="I2154" s="1245"/>
    </row>
    <row r="2155" spans="8:9">
      <c r="H2155" s="1245"/>
      <c r="I2155" s="1245"/>
    </row>
    <row r="2156" spans="8:9">
      <c r="H2156" s="1245"/>
      <c r="I2156" s="1245"/>
    </row>
    <row r="2157" spans="8:9">
      <c r="H2157" s="1245"/>
      <c r="I2157" s="1245"/>
    </row>
    <row r="2158" spans="8:9">
      <c r="H2158" s="1245"/>
      <c r="I2158" s="1245"/>
    </row>
    <row r="2159" spans="8:9">
      <c r="H2159" s="1245"/>
      <c r="I2159" s="1245"/>
    </row>
    <row r="2160" spans="8:9">
      <c r="H2160" s="1245"/>
      <c r="I2160" s="1245"/>
    </row>
    <row r="2161" spans="8:9">
      <c r="H2161" s="1245"/>
      <c r="I2161" s="1245"/>
    </row>
    <row r="2162" spans="8:9">
      <c r="H2162" s="1245"/>
      <c r="I2162" s="1245"/>
    </row>
    <row r="2163" spans="8:9">
      <c r="H2163" s="1245"/>
      <c r="I2163" s="1245"/>
    </row>
    <row r="2164" spans="8:9">
      <c r="H2164" s="1245"/>
      <c r="I2164" s="1245"/>
    </row>
    <row r="2165" spans="8:9">
      <c r="H2165" s="1245"/>
      <c r="I2165" s="1245"/>
    </row>
    <row r="2166" spans="8:9">
      <c r="H2166" s="1245"/>
      <c r="I2166" s="1245"/>
    </row>
    <row r="2167" spans="8:9">
      <c r="H2167" s="1245"/>
      <c r="I2167" s="1245"/>
    </row>
    <row r="2168" spans="8:9">
      <c r="H2168" s="1245"/>
      <c r="I2168" s="1245"/>
    </row>
    <row r="2169" spans="8:9">
      <c r="H2169" s="1245"/>
      <c r="I2169" s="1245"/>
    </row>
    <row r="2170" spans="8:9">
      <c r="H2170" s="1245"/>
      <c r="I2170" s="1245"/>
    </row>
    <row r="2171" spans="8:9">
      <c r="H2171" s="1245"/>
      <c r="I2171" s="1245"/>
    </row>
    <row r="2172" spans="8:9">
      <c r="H2172" s="1245"/>
      <c r="I2172" s="1245"/>
    </row>
    <row r="2173" spans="8:9">
      <c r="H2173" s="1245"/>
      <c r="I2173" s="1245"/>
    </row>
    <row r="2174" spans="8:9">
      <c r="H2174" s="1245"/>
      <c r="I2174" s="1245"/>
    </row>
    <row r="2175" spans="8:9">
      <c r="H2175" s="1245"/>
      <c r="I2175" s="1245"/>
    </row>
    <row r="2176" spans="8:9">
      <c r="H2176" s="1245"/>
      <c r="I2176" s="1245"/>
    </row>
    <row r="2177" spans="8:9">
      <c r="H2177" s="1245"/>
      <c r="I2177" s="1245"/>
    </row>
    <row r="2178" spans="8:9">
      <c r="H2178" s="1245"/>
      <c r="I2178" s="1245"/>
    </row>
    <row r="2179" spans="8:9">
      <c r="H2179" s="1245"/>
      <c r="I2179" s="1245"/>
    </row>
    <row r="2180" spans="8:9">
      <c r="H2180" s="1245"/>
      <c r="I2180" s="1245"/>
    </row>
    <row r="2181" spans="8:9">
      <c r="H2181" s="1245"/>
      <c r="I2181" s="1245"/>
    </row>
    <row r="2182" spans="8:9">
      <c r="H2182" s="1245"/>
      <c r="I2182" s="1245"/>
    </row>
    <row r="2183" spans="8:9">
      <c r="H2183" s="1245"/>
      <c r="I2183" s="1245"/>
    </row>
    <row r="2184" spans="8:9">
      <c r="H2184" s="1245"/>
      <c r="I2184" s="1245"/>
    </row>
    <row r="2185" spans="8:9">
      <c r="H2185" s="1245"/>
      <c r="I2185" s="1245"/>
    </row>
    <row r="2186" spans="8:9">
      <c r="H2186" s="1245"/>
      <c r="I2186" s="1245"/>
    </row>
    <row r="2187" spans="8:9">
      <c r="H2187" s="1245"/>
      <c r="I2187" s="1245"/>
    </row>
    <row r="2188" spans="8:9">
      <c r="H2188" s="1245"/>
      <c r="I2188" s="1245"/>
    </row>
    <row r="2189" spans="8:9">
      <c r="H2189" s="1245"/>
      <c r="I2189" s="1245"/>
    </row>
    <row r="2190" spans="8:9">
      <c r="H2190" s="1245"/>
      <c r="I2190" s="1245"/>
    </row>
    <row r="2191" spans="8:9">
      <c r="H2191" s="1245"/>
      <c r="I2191" s="1245"/>
    </row>
    <row r="2192" spans="8:9">
      <c r="H2192" s="1245"/>
      <c r="I2192" s="1245"/>
    </row>
    <row r="2193" spans="8:9">
      <c r="H2193" s="1245"/>
      <c r="I2193" s="1245"/>
    </row>
    <row r="2194" spans="8:9">
      <c r="H2194" s="1245"/>
      <c r="I2194" s="1245"/>
    </row>
    <row r="2195" spans="8:9">
      <c r="H2195" s="1245"/>
      <c r="I2195" s="1245"/>
    </row>
    <row r="2196" spans="8:9">
      <c r="H2196" s="1245"/>
      <c r="I2196" s="1245"/>
    </row>
    <row r="2197" spans="8:9">
      <c r="H2197" s="1245"/>
      <c r="I2197" s="1245"/>
    </row>
    <row r="2198" spans="8:9">
      <c r="H2198" s="1245"/>
      <c r="I2198" s="1245"/>
    </row>
    <row r="2199" spans="8:9">
      <c r="H2199" s="1245"/>
      <c r="I2199" s="1245"/>
    </row>
    <row r="2200" spans="8:9">
      <c r="H2200" s="1245"/>
      <c r="I2200" s="1245"/>
    </row>
    <row r="2201" spans="8:9">
      <c r="H2201" s="1245"/>
      <c r="I2201" s="1245"/>
    </row>
    <row r="2202" spans="8:9">
      <c r="H2202" s="1245"/>
      <c r="I2202" s="1245"/>
    </row>
    <row r="2203" spans="8:9">
      <c r="H2203" s="1245"/>
      <c r="I2203" s="1245"/>
    </row>
    <row r="2204" spans="8:9">
      <c r="H2204" s="1245"/>
      <c r="I2204" s="1245"/>
    </row>
    <row r="2205" spans="8:9">
      <c r="H2205" s="1245"/>
      <c r="I2205" s="1245"/>
    </row>
    <row r="2206" spans="8:9">
      <c r="H2206" s="1245"/>
      <c r="I2206" s="1245"/>
    </row>
    <row r="2207" spans="8:9">
      <c r="H2207" s="1245"/>
      <c r="I2207" s="1245"/>
    </row>
    <row r="2208" spans="8:9">
      <c r="H2208" s="1245"/>
      <c r="I2208" s="1245"/>
    </row>
    <row r="2209" spans="8:9">
      <c r="H2209" s="1245"/>
      <c r="I2209" s="1245"/>
    </row>
    <row r="2210" spans="8:9">
      <c r="H2210" s="1245"/>
      <c r="I2210" s="1245"/>
    </row>
    <row r="2211" spans="8:9">
      <c r="H2211" s="1245"/>
      <c r="I2211" s="1245"/>
    </row>
    <row r="2212" spans="8:9">
      <c r="H2212" s="1245"/>
      <c r="I2212" s="1245"/>
    </row>
    <row r="2213" spans="8:9">
      <c r="H2213" s="1245"/>
      <c r="I2213" s="1245"/>
    </row>
    <row r="2214" spans="8:9">
      <c r="H2214" s="1245"/>
      <c r="I2214" s="1245"/>
    </row>
    <row r="2215" spans="8:9">
      <c r="H2215" s="1245"/>
      <c r="I2215" s="1245"/>
    </row>
    <row r="2216" spans="8:9">
      <c r="H2216" s="1245"/>
      <c r="I2216" s="1245"/>
    </row>
    <row r="2217" spans="8:9">
      <c r="H2217" s="1245"/>
      <c r="I2217" s="1245"/>
    </row>
    <row r="2218" spans="8:9">
      <c r="H2218" s="1245"/>
      <c r="I2218" s="1245"/>
    </row>
    <row r="2219" spans="8:9">
      <c r="H2219" s="1245"/>
      <c r="I2219" s="1245"/>
    </row>
    <row r="2220" spans="8:9">
      <c r="H2220" s="1245"/>
      <c r="I2220" s="1245"/>
    </row>
    <row r="2221" spans="8:9">
      <c r="H2221" s="1245"/>
      <c r="I2221" s="1245"/>
    </row>
    <row r="2222" spans="8:9">
      <c r="H2222" s="1245"/>
      <c r="I2222" s="1245"/>
    </row>
    <row r="2223" spans="8:9">
      <c r="H2223" s="1245"/>
      <c r="I2223" s="1245"/>
    </row>
    <row r="2224" spans="8:9">
      <c r="H2224" s="1245"/>
      <c r="I2224" s="1245"/>
    </row>
    <row r="2225" spans="8:9">
      <c r="H2225" s="1245"/>
      <c r="I2225" s="1245"/>
    </row>
    <row r="2226" spans="8:9">
      <c r="H2226" s="1245"/>
      <c r="I2226" s="1245"/>
    </row>
    <row r="2227" spans="8:9">
      <c r="H2227" s="1245"/>
      <c r="I2227" s="1245"/>
    </row>
    <row r="2228" spans="8:9">
      <c r="H2228" s="1245"/>
      <c r="I2228" s="1245"/>
    </row>
    <row r="2229" spans="8:9">
      <c r="H2229" s="1245"/>
      <c r="I2229" s="1245"/>
    </row>
    <row r="2230" spans="8:9">
      <c r="H2230" s="1245"/>
      <c r="I2230" s="1245"/>
    </row>
    <row r="2231" spans="8:9">
      <c r="H2231" s="1245"/>
      <c r="I2231" s="1245"/>
    </row>
    <row r="2232" spans="8:9">
      <c r="H2232" s="1245"/>
      <c r="I2232" s="1245"/>
    </row>
    <row r="2233" spans="8:9">
      <c r="H2233" s="1245"/>
      <c r="I2233" s="1245"/>
    </row>
    <row r="2234" spans="8:9">
      <c r="H2234" s="1245"/>
      <c r="I2234" s="1245"/>
    </row>
    <row r="2235" spans="8:9">
      <c r="H2235" s="1245"/>
      <c r="I2235" s="1245"/>
    </row>
    <row r="2236" spans="8:9">
      <c r="H2236" s="1245"/>
      <c r="I2236" s="1245"/>
    </row>
    <row r="2237" spans="8:9">
      <c r="H2237" s="1245"/>
      <c r="I2237" s="1245"/>
    </row>
    <row r="2238" spans="8:9">
      <c r="H2238" s="1245"/>
      <c r="I2238" s="1245"/>
    </row>
    <row r="2239" spans="8:9">
      <c r="H2239" s="1245"/>
      <c r="I2239" s="1245"/>
    </row>
    <row r="2240" spans="8:9">
      <c r="H2240" s="1245"/>
      <c r="I2240" s="1245"/>
    </row>
    <row r="2241" spans="8:9">
      <c r="H2241" s="1245"/>
      <c r="I2241" s="1245"/>
    </row>
    <row r="2242" spans="8:9">
      <c r="H2242" s="1245"/>
      <c r="I2242" s="1245"/>
    </row>
    <row r="2243" spans="8:9">
      <c r="H2243" s="1245"/>
      <c r="I2243" s="1245"/>
    </row>
    <row r="2244" spans="8:9">
      <c r="H2244" s="1245"/>
      <c r="I2244" s="1245"/>
    </row>
    <row r="2245" spans="8:9">
      <c r="H2245" s="1245"/>
      <c r="I2245" s="1245"/>
    </row>
    <row r="2246" spans="8:9">
      <c r="H2246" s="1245"/>
      <c r="I2246" s="1245"/>
    </row>
    <row r="2247" spans="8:9">
      <c r="H2247" s="1245"/>
      <c r="I2247" s="1245"/>
    </row>
    <row r="2248" spans="8:9">
      <c r="H2248" s="1245"/>
      <c r="I2248" s="1245"/>
    </row>
    <row r="2249" spans="8:9">
      <c r="H2249" s="1245"/>
      <c r="I2249" s="1245"/>
    </row>
    <row r="2250" spans="8:9">
      <c r="H2250" s="1245"/>
      <c r="I2250" s="1245"/>
    </row>
    <row r="2251" spans="8:9">
      <c r="H2251" s="1245"/>
      <c r="I2251" s="1245"/>
    </row>
    <row r="2252" spans="8:9">
      <c r="H2252" s="1245"/>
      <c r="I2252" s="1245"/>
    </row>
    <row r="2253" spans="8:9">
      <c r="H2253" s="1245"/>
      <c r="I2253" s="1245"/>
    </row>
    <row r="2254" spans="8:9">
      <c r="H2254" s="1245"/>
      <c r="I2254" s="1245"/>
    </row>
    <row r="2255" spans="8:9">
      <c r="H2255" s="1245"/>
      <c r="I2255" s="1245"/>
    </row>
    <row r="2256" spans="8:9">
      <c r="H2256" s="1245"/>
      <c r="I2256" s="1245"/>
    </row>
    <row r="2257" spans="8:9">
      <c r="H2257" s="1245"/>
      <c r="I2257" s="1245"/>
    </row>
    <row r="2258" spans="8:9">
      <c r="H2258" s="1245"/>
      <c r="I2258" s="1245"/>
    </row>
    <row r="2259" spans="8:9">
      <c r="H2259" s="1245"/>
      <c r="I2259" s="1245"/>
    </row>
    <row r="2260" spans="8:9">
      <c r="H2260" s="1245"/>
      <c r="I2260" s="1245"/>
    </row>
    <row r="2261" spans="8:9">
      <c r="H2261" s="1245"/>
      <c r="I2261" s="1245"/>
    </row>
    <row r="2262" spans="8:9">
      <c r="H2262" s="1245"/>
      <c r="I2262" s="1245"/>
    </row>
    <row r="2263" spans="8:9">
      <c r="H2263" s="1245"/>
      <c r="I2263" s="1245"/>
    </row>
    <row r="2264" spans="8:9">
      <c r="H2264" s="1245"/>
      <c r="I2264" s="1245"/>
    </row>
    <row r="2265" spans="8:9">
      <c r="H2265" s="1245"/>
      <c r="I2265" s="1245"/>
    </row>
    <row r="2266" spans="8:9">
      <c r="H2266" s="1245"/>
      <c r="I2266" s="1245"/>
    </row>
    <row r="2267" spans="8:9">
      <c r="H2267" s="1245"/>
      <c r="I2267" s="1245"/>
    </row>
    <row r="2268" spans="8:9">
      <c r="H2268" s="1245"/>
      <c r="I2268" s="1245"/>
    </row>
    <row r="2269" spans="8:9">
      <c r="H2269" s="1245"/>
      <c r="I2269" s="1245"/>
    </row>
    <row r="2270" spans="8:9">
      <c r="H2270" s="1245"/>
      <c r="I2270" s="1245"/>
    </row>
    <row r="2271" spans="8:9">
      <c r="H2271" s="1245"/>
      <c r="I2271" s="1245"/>
    </row>
    <row r="2272" spans="8:9">
      <c r="H2272" s="1245"/>
      <c r="I2272" s="1245"/>
    </row>
    <row r="2273" spans="8:9">
      <c r="H2273" s="1245"/>
      <c r="I2273" s="1245"/>
    </row>
    <row r="2274" spans="8:9">
      <c r="H2274" s="1245"/>
      <c r="I2274" s="1245"/>
    </row>
    <row r="2275" spans="8:9">
      <c r="H2275" s="1245"/>
      <c r="I2275" s="1245"/>
    </row>
    <row r="2276" spans="8:9">
      <c r="H2276" s="1245"/>
      <c r="I2276" s="1245"/>
    </row>
    <row r="2277" spans="8:9">
      <c r="H2277" s="1245"/>
      <c r="I2277" s="1245"/>
    </row>
    <row r="2278" spans="8:9">
      <c r="H2278" s="1245"/>
      <c r="I2278" s="1245"/>
    </row>
    <row r="2279" spans="8:9">
      <c r="H2279" s="1245"/>
      <c r="I2279" s="1245"/>
    </row>
    <row r="2280" spans="8:9">
      <c r="H2280" s="1245"/>
      <c r="I2280" s="1245"/>
    </row>
    <row r="2281" spans="8:9">
      <c r="H2281" s="1245"/>
      <c r="I2281" s="1245"/>
    </row>
    <row r="2282" spans="8:9">
      <c r="H2282" s="1245"/>
      <c r="I2282" s="1245"/>
    </row>
    <row r="2283" spans="8:9">
      <c r="H2283" s="1245"/>
      <c r="I2283" s="1245"/>
    </row>
    <row r="2284" spans="8:9">
      <c r="H2284" s="1245"/>
      <c r="I2284" s="1245"/>
    </row>
    <row r="2285" spans="8:9">
      <c r="H2285" s="1245"/>
      <c r="I2285" s="1245"/>
    </row>
    <row r="2286" spans="8:9">
      <c r="H2286" s="1245"/>
      <c r="I2286" s="1245"/>
    </row>
    <row r="2287" spans="8:9">
      <c r="H2287" s="1245"/>
      <c r="I2287" s="1245"/>
    </row>
    <row r="2288" spans="8:9">
      <c r="H2288" s="1245"/>
      <c r="I2288" s="1245"/>
    </row>
    <row r="2289" spans="8:9">
      <c r="H2289" s="1245"/>
      <c r="I2289" s="1245"/>
    </row>
    <row r="2290" spans="8:9">
      <c r="H2290" s="1245"/>
      <c r="I2290" s="1245"/>
    </row>
    <row r="2291" spans="8:9">
      <c r="H2291" s="1245"/>
      <c r="I2291" s="1245"/>
    </row>
    <row r="2292" spans="8:9">
      <c r="H2292" s="1245"/>
      <c r="I2292" s="1245"/>
    </row>
    <row r="2293" spans="8:9">
      <c r="H2293" s="1245"/>
      <c r="I2293" s="1245"/>
    </row>
    <row r="2294" spans="8:9">
      <c r="H2294" s="1245"/>
      <c r="I2294" s="1245"/>
    </row>
    <row r="2295" spans="8:9">
      <c r="H2295" s="1245"/>
      <c r="I2295" s="1245"/>
    </row>
    <row r="2296" spans="8:9">
      <c r="H2296" s="1245"/>
      <c r="I2296" s="1245"/>
    </row>
    <row r="2297" spans="8:9">
      <c r="H2297" s="1245"/>
      <c r="I2297" s="1245"/>
    </row>
    <row r="2298" spans="8:9">
      <c r="H2298" s="1245"/>
      <c r="I2298" s="1245"/>
    </row>
    <row r="2299" spans="8:9">
      <c r="H2299" s="1245"/>
      <c r="I2299" s="1245"/>
    </row>
    <row r="2300" spans="8:9">
      <c r="H2300" s="1245"/>
      <c r="I2300" s="1245"/>
    </row>
    <row r="2301" spans="8:9">
      <c r="H2301" s="1245"/>
      <c r="I2301" s="1245"/>
    </row>
    <row r="2302" spans="8:9">
      <c r="H2302" s="1245"/>
      <c r="I2302" s="1245"/>
    </row>
    <row r="2303" spans="8:9">
      <c r="H2303" s="1245"/>
      <c r="I2303" s="1245"/>
    </row>
    <row r="2304" spans="8:9">
      <c r="H2304" s="1245"/>
      <c r="I2304" s="1245"/>
    </row>
    <row r="2305" spans="8:9">
      <c r="H2305" s="1245"/>
      <c r="I2305" s="1245"/>
    </row>
    <row r="2306" spans="8:9">
      <c r="H2306" s="1245"/>
      <c r="I2306" s="1245"/>
    </row>
    <row r="2307" spans="8:9">
      <c r="H2307" s="1245"/>
      <c r="I2307" s="1245"/>
    </row>
    <row r="2308" spans="8:9">
      <c r="H2308" s="1245"/>
      <c r="I2308" s="1245"/>
    </row>
    <row r="2309" spans="8:9">
      <c r="H2309" s="1245"/>
      <c r="I2309" s="1245"/>
    </row>
    <row r="2310" spans="8:9">
      <c r="H2310" s="1245"/>
      <c r="I2310" s="1245"/>
    </row>
    <row r="2311" spans="8:9">
      <c r="H2311" s="1245"/>
      <c r="I2311" s="1245"/>
    </row>
    <row r="2312" spans="8:9">
      <c r="H2312" s="1245"/>
      <c r="I2312" s="1245"/>
    </row>
    <row r="2313" spans="8:9">
      <c r="H2313" s="1245"/>
      <c r="I2313" s="1245"/>
    </row>
    <row r="2314" spans="8:9">
      <c r="H2314" s="1245"/>
      <c r="I2314" s="1245"/>
    </row>
    <row r="2315" spans="8:9">
      <c r="H2315" s="1245"/>
      <c r="I2315" s="1245"/>
    </row>
    <row r="2316" spans="8:9">
      <c r="H2316" s="1245"/>
      <c r="I2316" s="1245"/>
    </row>
    <row r="2317" spans="8:9">
      <c r="H2317" s="1245"/>
      <c r="I2317" s="1245"/>
    </row>
    <row r="2318" spans="8:9">
      <c r="H2318" s="1245"/>
      <c r="I2318" s="1245"/>
    </row>
    <row r="2319" spans="8:9">
      <c r="H2319" s="1245"/>
      <c r="I2319" s="1245"/>
    </row>
    <row r="2320" spans="8:9">
      <c r="H2320" s="1245"/>
      <c r="I2320" s="1245"/>
    </row>
    <row r="2321" spans="8:9">
      <c r="H2321" s="1245"/>
      <c r="I2321" s="1245"/>
    </row>
    <row r="2322" spans="8:9">
      <c r="H2322" s="1245"/>
      <c r="I2322" s="1245"/>
    </row>
    <row r="2323" spans="8:9">
      <c r="H2323" s="1245"/>
      <c r="I2323" s="1245"/>
    </row>
    <row r="2324" spans="8:9">
      <c r="H2324" s="1245"/>
      <c r="I2324" s="1245"/>
    </row>
    <row r="2325" spans="8:9">
      <c r="H2325" s="1245"/>
      <c r="I2325" s="1245"/>
    </row>
    <row r="2326" spans="8:9">
      <c r="H2326" s="1245"/>
      <c r="I2326" s="1245"/>
    </row>
    <row r="2327" spans="8:9">
      <c r="H2327" s="1245"/>
      <c r="I2327" s="1245"/>
    </row>
    <row r="2328" spans="8:9">
      <c r="H2328" s="1245"/>
      <c r="I2328" s="1245"/>
    </row>
    <row r="2329" spans="8:9">
      <c r="H2329" s="1245"/>
      <c r="I2329" s="1245"/>
    </row>
    <row r="2330" spans="8:9">
      <c r="H2330" s="1245"/>
      <c r="I2330" s="1245"/>
    </row>
    <row r="2331" spans="8:9">
      <c r="H2331" s="1245"/>
      <c r="I2331" s="1245"/>
    </row>
    <row r="2332" spans="8:9">
      <c r="H2332" s="1245"/>
      <c r="I2332" s="1245"/>
    </row>
    <row r="2333" spans="8:9">
      <c r="H2333" s="1245"/>
      <c r="I2333" s="1245"/>
    </row>
    <row r="2334" spans="8:9">
      <c r="H2334" s="1245"/>
      <c r="I2334" s="1245"/>
    </row>
    <row r="2335" spans="8:9">
      <c r="H2335" s="1245"/>
      <c r="I2335" s="1245"/>
    </row>
    <row r="2336" spans="8:9">
      <c r="H2336" s="1245"/>
      <c r="I2336" s="1245"/>
    </row>
    <row r="2337" spans="8:9">
      <c r="H2337" s="1245"/>
      <c r="I2337" s="1245"/>
    </row>
    <row r="2338" spans="8:9">
      <c r="H2338" s="1245"/>
      <c r="I2338" s="1245"/>
    </row>
    <row r="2339" spans="8:9">
      <c r="H2339" s="1245"/>
      <c r="I2339" s="1245"/>
    </row>
    <row r="2340" spans="8:9">
      <c r="H2340" s="1245"/>
      <c r="I2340" s="1245"/>
    </row>
    <row r="2341" spans="8:9">
      <c r="H2341" s="1245"/>
      <c r="I2341" s="1245"/>
    </row>
    <row r="2342" spans="8:9">
      <c r="H2342" s="1245"/>
      <c r="I2342" s="1245"/>
    </row>
    <row r="2343" spans="8:9">
      <c r="H2343" s="1245"/>
      <c r="I2343" s="1245"/>
    </row>
    <row r="2344" spans="8:9">
      <c r="H2344" s="1245"/>
      <c r="I2344" s="1245"/>
    </row>
    <row r="2345" spans="8:9">
      <c r="H2345" s="1245"/>
      <c r="I2345" s="1245"/>
    </row>
    <row r="2346" spans="8:9">
      <c r="H2346" s="1245"/>
      <c r="I2346" s="1245"/>
    </row>
    <row r="2347" spans="8:9">
      <c r="H2347" s="1245"/>
      <c r="I2347" s="1245"/>
    </row>
    <row r="2348" spans="8:9">
      <c r="H2348" s="1245"/>
      <c r="I2348" s="1245"/>
    </row>
    <row r="2349" spans="8:9">
      <c r="H2349" s="1245"/>
      <c r="I2349" s="1245"/>
    </row>
    <row r="2350" spans="8:9">
      <c r="H2350" s="1245"/>
      <c r="I2350" s="1245"/>
    </row>
    <row r="2351" spans="8:9">
      <c r="H2351" s="1245"/>
      <c r="I2351" s="1245"/>
    </row>
    <row r="2352" spans="8:9">
      <c r="H2352" s="1245"/>
      <c r="I2352" s="1245"/>
    </row>
    <row r="2353" spans="8:9">
      <c r="H2353" s="1245"/>
      <c r="I2353" s="1245"/>
    </row>
    <row r="2354" spans="8:9">
      <c r="H2354" s="1245"/>
      <c r="I2354" s="1245"/>
    </row>
    <row r="2355" spans="8:9">
      <c r="H2355" s="1245"/>
      <c r="I2355" s="1245"/>
    </row>
    <row r="2356" spans="8:9">
      <c r="H2356" s="1245"/>
      <c r="I2356" s="1245"/>
    </row>
    <row r="2357" spans="8:9">
      <c r="H2357" s="1245"/>
      <c r="I2357" s="1245"/>
    </row>
    <row r="2358" spans="8:9">
      <c r="H2358" s="1245"/>
      <c r="I2358" s="1245"/>
    </row>
    <row r="2359" spans="8:9">
      <c r="H2359" s="1245"/>
      <c r="I2359" s="1245"/>
    </row>
    <row r="2360" spans="8:9">
      <c r="H2360" s="1245"/>
      <c r="I2360" s="1245"/>
    </row>
    <row r="2361" spans="8:9">
      <c r="H2361" s="1245"/>
      <c r="I2361" s="1245"/>
    </row>
    <row r="2362" spans="8:9">
      <c r="H2362" s="1245"/>
      <c r="I2362" s="1245"/>
    </row>
    <row r="2363" spans="8:9">
      <c r="H2363" s="1245"/>
      <c r="I2363" s="1245"/>
    </row>
    <row r="2364" spans="8:9">
      <c r="H2364" s="1245"/>
      <c r="I2364" s="1245"/>
    </row>
    <row r="2365" spans="8:9">
      <c r="H2365" s="1245"/>
      <c r="I2365" s="1245"/>
    </row>
    <row r="2366" spans="8:9">
      <c r="H2366" s="1245"/>
      <c r="I2366" s="1245"/>
    </row>
    <row r="2367" spans="8:9">
      <c r="H2367" s="1245"/>
      <c r="I2367" s="1245"/>
    </row>
    <row r="2368" spans="8:9">
      <c r="H2368" s="1245"/>
      <c r="I2368" s="1245"/>
    </row>
    <row r="2369" spans="8:9">
      <c r="H2369" s="1245"/>
      <c r="I2369" s="1245"/>
    </row>
    <row r="2370" spans="8:9">
      <c r="H2370" s="1245"/>
      <c r="I2370" s="1245"/>
    </row>
    <row r="2371" spans="8:9">
      <c r="H2371" s="1245"/>
      <c r="I2371" s="1245"/>
    </row>
    <row r="2372" spans="8:9">
      <c r="H2372" s="1245"/>
      <c r="I2372" s="1245"/>
    </row>
    <row r="2373" spans="8:9">
      <c r="H2373" s="1245"/>
      <c r="I2373" s="1245"/>
    </row>
    <row r="2374" spans="8:9">
      <c r="H2374" s="1245"/>
      <c r="I2374" s="1245"/>
    </row>
    <row r="2375" spans="8:9">
      <c r="H2375" s="1245"/>
      <c r="I2375" s="1245"/>
    </row>
    <row r="2376" spans="8:9">
      <c r="H2376" s="1245"/>
      <c r="I2376" s="1245"/>
    </row>
    <row r="2377" spans="8:9">
      <c r="H2377" s="1245"/>
      <c r="I2377" s="1245"/>
    </row>
    <row r="2378" spans="8:9">
      <c r="H2378" s="1245"/>
      <c r="I2378" s="1245"/>
    </row>
    <row r="2379" spans="8:9">
      <c r="H2379" s="1245"/>
      <c r="I2379" s="1245"/>
    </row>
    <row r="2380" spans="8:9">
      <c r="H2380" s="1245"/>
      <c r="I2380" s="1245"/>
    </row>
    <row r="2381" spans="8:9">
      <c r="H2381" s="1245"/>
      <c r="I2381" s="1245"/>
    </row>
    <row r="2382" spans="8:9">
      <c r="H2382" s="1245"/>
      <c r="I2382" s="1245"/>
    </row>
    <row r="2383" spans="8:9">
      <c r="H2383" s="1245"/>
      <c r="I2383" s="1245"/>
    </row>
    <row r="2384" spans="8:9">
      <c r="H2384" s="1245"/>
      <c r="I2384" s="1245"/>
    </row>
    <row r="2385" spans="8:9">
      <c r="H2385" s="1245"/>
      <c r="I2385" s="1245"/>
    </row>
    <row r="2386" spans="8:9">
      <c r="H2386" s="1245"/>
      <c r="I2386" s="1245"/>
    </row>
    <row r="2387" spans="8:9">
      <c r="H2387" s="1245"/>
      <c r="I2387" s="1245"/>
    </row>
    <row r="2388" spans="8:9">
      <c r="H2388" s="1245"/>
      <c r="I2388" s="1245"/>
    </row>
    <row r="2389" spans="8:9">
      <c r="H2389" s="1245"/>
      <c r="I2389" s="1245"/>
    </row>
    <row r="2390" spans="8:9">
      <c r="H2390" s="1245"/>
      <c r="I2390" s="1245"/>
    </row>
    <row r="2391" spans="8:9">
      <c r="H2391" s="1245"/>
      <c r="I2391" s="1245"/>
    </row>
    <row r="2392" spans="8:9">
      <c r="H2392" s="1245"/>
      <c r="I2392" s="1245"/>
    </row>
    <row r="2393" spans="8:9">
      <c r="H2393" s="1245"/>
      <c r="I2393" s="1245"/>
    </row>
    <row r="2394" spans="8:9">
      <c r="H2394" s="1245"/>
      <c r="I2394" s="1245"/>
    </row>
    <row r="2395" spans="8:9">
      <c r="H2395" s="1245"/>
      <c r="I2395" s="1245"/>
    </row>
    <row r="2396" spans="8:9">
      <c r="H2396" s="1245"/>
      <c r="I2396" s="1245"/>
    </row>
    <row r="2397" spans="8:9">
      <c r="H2397" s="1245"/>
      <c r="I2397" s="1245"/>
    </row>
    <row r="2398" spans="8:9">
      <c r="H2398" s="1245"/>
      <c r="I2398" s="1245"/>
    </row>
    <row r="2399" spans="8:9">
      <c r="H2399" s="1245"/>
      <c r="I2399" s="1245"/>
    </row>
    <row r="2400" spans="8:9">
      <c r="H2400" s="1245"/>
      <c r="I2400" s="1245"/>
    </row>
    <row r="2401" spans="8:9">
      <c r="H2401" s="1245"/>
      <c r="I2401" s="1245"/>
    </row>
    <row r="2402" spans="8:9">
      <c r="H2402" s="1245"/>
      <c r="I2402" s="1245"/>
    </row>
    <row r="2403" spans="8:9">
      <c r="H2403" s="1245"/>
      <c r="I2403" s="1245"/>
    </row>
    <row r="2404" spans="8:9">
      <c r="H2404" s="1245"/>
      <c r="I2404" s="1245"/>
    </row>
    <row r="2405" spans="8:9">
      <c r="H2405" s="1245"/>
      <c r="I2405" s="1245"/>
    </row>
    <row r="2406" spans="8:9">
      <c r="H2406" s="1245"/>
      <c r="I2406" s="1245"/>
    </row>
    <row r="2407" spans="8:9">
      <c r="H2407" s="1245"/>
      <c r="I2407" s="1245"/>
    </row>
    <row r="2408" spans="8:9">
      <c r="H2408" s="1245"/>
      <c r="I2408" s="1245"/>
    </row>
    <row r="2409" spans="8:9">
      <c r="H2409" s="1245"/>
      <c r="I2409" s="1245"/>
    </row>
    <row r="2410" spans="8:9">
      <c r="H2410" s="1245"/>
      <c r="I2410" s="1245"/>
    </row>
    <row r="2411" spans="8:9">
      <c r="H2411" s="1245"/>
      <c r="I2411" s="1245"/>
    </row>
    <row r="2412" spans="8:9">
      <c r="H2412" s="1245"/>
      <c r="I2412" s="1245"/>
    </row>
    <row r="2413" spans="8:9">
      <c r="H2413" s="1245"/>
      <c r="I2413" s="1245"/>
    </row>
    <row r="2414" spans="8:9">
      <c r="H2414" s="1245"/>
      <c r="I2414" s="1245"/>
    </row>
    <row r="2415" spans="8:9">
      <c r="H2415" s="1245"/>
      <c r="I2415" s="1245"/>
    </row>
    <row r="2416" spans="8:9">
      <c r="H2416" s="1245"/>
      <c r="I2416" s="1245"/>
    </row>
    <row r="2417" spans="8:9">
      <c r="H2417" s="1245"/>
      <c r="I2417" s="1245"/>
    </row>
    <row r="2418" spans="8:9">
      <c r="H2418" s="1245"/>
      <c r="I2418" s="1245"/>
    </row>
    <row r="2419" spans="8:9">
      <c r="H2419" s="1245"/>
      <c r="I2419" s="1245"/>
    </row>
    <row r="2420" spans="8:9">
      <c r="H2420" s="1245"/>
      <c r="I2420" s="1245"/>
    </row>
    <row r="2421" spans="8:9">
      <c r="H2421" s="1245"/>
      <c r="I2421" s="1245"/>
    </row>
    <row r="2422" spans="8:9">
      <c r="H2422" s="1245"/>
      <c r="I2422" s="1245"/>
    </row>
    <row r="2423" spans="8:9">
      <c r="H2423" s="1245"/>
      <c r="I2423" s="1245"/>
    </row>
    <row r="2424" spans="8:9">
      <c r="H2424" s="1245"/>
      <c r="I2424" s="1245"/>
    </row>
    <row r="2425" spans="8:9">
      <c r="H2425" s="1245"/>
      <c r="I2425" s="1245"/>
    </row>
    <row r="2426" spans="8:9">
      <c r="H2426" s="1245"/>
      <c r="I2426" s="1245"/>
    </row>
    <row r="2427" spans="8:9">
      <c r="H2427" s="1245"/>
      <c r="I2427" s="1245"/>
    </row>
    <row r="2428" spans="8:9">
      <c r="H2428" s="1245"/>
      <c r="I2428" s="1245"/>
    </row>
    <row r="2429" spans="8:9">
      <c r="H2429" s="1245"/>
      <c r="I2429" s="1245"/>
    </row>
    <row r="2430" spans="8:9">
      <c r="H2430" s="1245"/>
      <c r="I2430" s="1245"/>
    </row>
    <row r="2431" spans="8:9">
      <c r="H2431" s="1245"/>
      <c r="I2431" s="1245"/>
    </row>
    <row r="2432" spans="8:9">
      <c r="H2432" s="1245"/>
      <c r="I2432" s="1245"/>
    </row>
    <row r="2433" spans="8:9">
      <c r="H2433" s="1245"/>
      <c r="I2433" s="1245"/>
    </row>
    <row r="2434" spans="8:9">
      <c r="H2434" s="1245"/>
      <c r="I2434" s="1245"/>
    </row>
    <row r="2435" spans="8:9">
      <c r="H2435" s="1245"/>
      <c r="I2435" s="1245"/>
    </row>
    <row r="2436" spans="8:9">
      <c r="H2436" s="1245"/>
      <c r="I2436" s="1245"/>
    </row>
    <row r="2437" spans="8:9">
      <c r="H2437" s="1245"/>
      <c r="I2437" s="1245"/>
    </row>
    <row r="2438" spans="8:9">
      <c r="H2438" s="1245"/>
      <c r="I2438" s="1245"/>
    </row>
    <row r="2439" spans="8:9">
      <c r="H2439" s="1245"/>
      <c r="I2439" s="1245"/>
    </row>
    <row r="2440" spans="8:9">
      <c r="H2440" s="1245"/>
      <c r="I2440" s="1245"/>
    </row>
    <row r="2441" spans="8:9">
      <c r="H2441" s="1245"/>
      <c r="I2441" s="1245"/>
    </row>
    <row r="2442" spans="8:9">
      <c r="H2442" s="1245"/>
      <c r="I2442" s="1245"/>
    </row>
    <row r="2443" spans="8:9">
      <c r="H2443" s="1245"/>
      <c r="I2443" s="1245"/>
    </row>
    <row r="2444" spans="8:9">
      <c r="H2444" s="1245"/>
      <c r="I2444" s="1245"/>
    </row>
    <row r="2445" spans="8:9">
      <c r="H2445" s="1245"/>
      <c r="I2445" s="1245"/>
    </row>
    <row r="2446" spans="8:9">
      <c r="H2446" s="1245"/>
      <c r="I2446" s="1245"/>
    </row>
    <row r="2447" spans="8:9">
      <c r="H2447" s="1245"/>
      <c r="I2447" s="1245"/>
    </row>
    <row r="2448" spans="8:9">
      <c r="H2448" s="1245"/>
      <c r="I2448" s="1245"/>
    </row>
    <row r="2449" spans="8:9">
      <c r="H2449" s="1245"/>
      <c r="I2449" s="1245"/>
    </row>
    <row r="2450" spans="8:9">
      <c r="H2450" s="1245"/>
      <c r="I2450" s="1245"/>
    </row>
    <row r="2451" spans="8:9">
      <c r="H2451" s="1245"/>
      <c r="I2451" s="1245"/>
    </row>
    <row r="2452" spans="8:9">
      <c r="H2452" s="1245"/>
      <c r="I2452" s="1245"/>
    </row>
    <row r="2453" spans="8:9">
      <c r="H2453" s="1245"/>
      <c r="I2453" s="1245"/>
    </row>
    <row r="2454" spans="8:9">
      <c r="H2454" s="1245"/>
      <c r="I2454" s="1245"/>
    </row>
    <row r="2455" spans="8:9">
      <c r="H2455" s="1245"/>
      <c r="I2455" s="1245"/>
    </row>
    <row r="2456" spans="8:9">
      <c r="H2456" s="1245"/>
      <c r="I2456" s="1245"/>
    </row>
    <row r="2457" spans="8:9">
      <c r="H2457" s="1245"/>
      <c r="I2457" s="1245"/>
    </row>
    <row r="2458" spans="8:9">
      <c r="H2458" s="1245"/>
      <c r="I2458" s="1245"/>
    </row>
    <row r="2459" spans="8:9">
      <c r="H2459" s="1245"/>
      <c r="I2459" s="1245"/>
    </row>
    <row r="2460" spans="8:9">
      <c r="H2460" s="1245"/>
      <c r="I2460" s="1245"/>
    </row>
    <row r="2461" spans="8:9">
      <c r="H2461" s="1245"/>
      <c r="I2461" s="1245"/>
    </row>
    <row r="2462" spans="8:9">
      <c r="H2462" s="1245"/>
      <c r="I2462" s="1245"/>
    </row>
    <row r="2463" spans="8:9">
      <c r="H2463" s="1245"/>
      <c r="I2463" s="1245"/>
    </row>
    <row r="2464" spans="8:9">
      <c r="H2464" s="1245"/>
      <c r="I2464" s="1245"/>
    </row>
    <row r="2465" spans="8:9">
      <c r="H2465" s="1245"/>
      <c r="I2465" s="1245"/>
    </row>
    <row r="2466" spans="8:9">
      <c r="H2466" s="1245"/>
      <c r="I2466" s="1245"/>
    </row>
    <row r="2467" spans="8:9">
      <c r="H2467" s="1245"/>
      <c r="I2467" s="1245"/>
    </row>
    <row r="2468" spans="8:9">
      <c r="H2468" s="1245"/>
      <c r="I2468" s="1245"/>
    </row>
    <row r="2469" spans="8:9">
      <c r="H2469" s="1245"/>
      <c r="I2469" s="1245"/>
    </row>
    <row r="2470" spans="8:9">
      <c r="H2470" s="1245"/>
      <c r="I2470" s="1245"/>
    </row>
    <row r="2471" spans="8:9">
      <c r="H2471" s="1245"/>
      <c r="I2471" s="1245"/>
    </row>
    <row r="2472" spans="8:9">
      <c r="H2472" s="1245"/>
      <c r="I2472" s="1245"/>
    </row>
    <row r="2473" spans="8:9">
      <c r="H2473" s="1245"/>
      <c r="I2473" s="1245"/>
    </row>
    <row r="2474" spans="8:9">
      <c r="H2474" s="1245"/>
      <c r="I2474" s="1245"/>
    </row>
    <row r="2475" spans="8:9">
      <c r="H2475" s="1245"/>
      <c r="I2475" s="1245"/>
    </row>
    <row r="2476" spans="8:9">
      <c r="H2476" s="1245"/>
      <c r="I2476" s="1245"/>
    </row>
    <row r="2477" spans="8:9">
      <c r="H2477" s="1245"/>
      <c r="I2477" s="1245"/>
    </row>
    <row r="2478" spans="8:9">
      <c r="H2478" s="1245"/>
      <c r="I2478" s="1245"/>
    </row>
    <row r="2479" spans="8:9">
      <c r="H2479" s="1245"/>
      <c r="I2479" s="1245"/>
    </row>
    <row r="2480" spans="8:9">
      <c r="H2480" s="1245"/>
      <c r="I2480" s="1245"/>
    </row>
    <row r="2481" spans="8:9">
      <c r="H2481" s="1245"/>
      <c r="I2481" s="1245"/>
    </row>
    <row r="2482" spans="8:9">
      <c r="H2482" s="1245"/>
      <c r="I2482" s="1245"/>
    </row>
    <row r="2483" spans="8:9">
      <c r="H2483" s="1245"/>
      <c r="I2483" s="1245"/>
    </row>
    <row r="2484" spans="8:9">
      <c r="H2484" s="1245"/>
      <c r="I2484" s="1245"/>
    </row>
    <row r="2485" spans="8:9">
      <c r="H2485" s="1245"/>
      <c r="I2485" s="1245"/>
    </row>
    <row r="2486" spans="8:9">
      <c r="H2486" s="1245"/>
      <c r="I2486" s="1245"/>
    </row>
    <row r="2487" spans="8:9">
      <c r="H2487" s="1245"/>
      <c r="I2487" s="1245"/>
    </row>
    <row r="2488" spans="8:9">
      <c r="H2488" s="1245"/>
      <c r="I2488" s="1245"/>
    </row>
    <row r="2489" spans="8:9">
      <c r="H2489" s="1245"/>
      <c r="I2489" s="1245"/>
    </row>
    <row r="2490" spans="8:9">
      <c r="H2490" s="1245"/>
      <c r="I2490" s="1245"/>
    </row>
    <row r="2491" spans="8:9">
      <c r="H2491" s="1245"/>
      <c r="I2491" s="1245"/>
    </row>
    <row r="2492" spans="8:9">
      <c r="H2492" s="1245"/>
      <c r="I2492" s="1245"/>
    </row>
    <row r="2493" spans="8:9">
      <c r="H2493" s="1245"/>
      <c r="I2493" s="1245"/>
    </row>
    <row r="2494" spans="8:9">
      <c r="H2494" s="1245"/>
      <c r="I2494" s="1245"/>
    </row>
    <row r="2495" spans="8:9">
      <c r="H2495" s="1245"/>
      <c r="I2495" s="1245"/>
    </row>
    <row r="2496" spans="8:9">
      <c r="H2496" s="1245"/>
      <c r="I2496" s="1245"/>
    </row>
    <row r="2497" spans="8:9">
      <c r="H2497" s="1245"/>
      <c r="I2497" s="1245"/>
    </row>
    <row r="2498" spans="8:9">
      <c r="H2498" s="1245"/>
      <c r="I2498" s="1245"/>
    </row>
    <row r="2499" spans="8:9">
      <c r="H2499" s="1245"/>
      <c r="I2499" s="1245"/>
    </row>
    <row r="2500" spans="8:9">
      <c r="H2500" s="1245"/>
      <c r="I2500" s="1245"/>
    </row>
    <row r="2501" spans="8:9">
      <c r="H2501" s="1245"/>
      <c r="I2501" s="1245"/>
    </row>
    <row r="2502" spans="8:9">
      <c r="H2502" s="1245"/>
      <c r="I2502" s="1245"/>
    </row>
    <row r="2503" spans="8:9">
      <c r="H2503" s="1245"/>
      <c r="I2503" s="1245"/>
    </row>
    <row r="2504" spans="8:9">
      <c r="H2504" s="1245"/>
      <c r="I2504" s="1245"/>
    </row>
    <row r="2505" spans="8:9">
      <c r="H2505" s="1245"/>
      <c r="I2505" s="1245"/>
    </row>
    <row r="2506" spans="8:9">
      <c r="H2506" s="1245"/>
      <c r="I2506" s="1245"/>
    </row>
    <row r="2507" spans="8:9">
      <c r="H2507" s="1245"/>
      <c r="I2507" s="1245"/>
    </row>
    <row r="2508" spans="8:9">
      <c r="H2508" s="1245"/>
      <c r="I2508" s="1245"/>
    </row>
    <row r="2509" spans="8:9">
      <c r="H2509" s="1245"/>
      <c r="I2509" s="1245"/>
    </row>
    <row r="2510" spans="8:9">
      <c r="H2510" s="1245"/>
      <c r="I2510" s="1245"/>
    </row>
    <row r="2511" spans="8:9">
      <c r="H2511" s="1245"/>
      <c r="I2511" s="1245"/>
    </row>
    <row r="2512" spans="8:9">
      <c r="H2512" s="1245"/>
      <c r="I2512" s="1245"/>
    </row>
    <row r="2513" spans="8:9">
      <c r="H2513" s="1245"/>
      <c r="I2513" s="1245"/>
    </row>
    <row r="2514" spans="8:9">
      <c r="H2514" s="1245"/>
      <c r="I2514" s="1245"/>
    </row>
    <row r="2515" spans="8:9">
      <c r="H2515" s="1245"/>
      <c r="I2515" s="1245"/>
    </row>
    <row r="2516" spans="8:9">
      <c r="H2516" s="1245"/>
      <c r="I2516" s="1245"/>
    </row>
    <row r="2517" spans="8:9">
      <c r="H2517" s="1245"/>
      <c r="I2517" s="1245"/>
    </row>
    <row r="2518" spans="8:9">
      <c r="H2518" s="1245"/>
      <c r="I2518" s="1245"/>
    </row>
    <row r="2519" spans="8:9">
      <c r="H2519" s="1245"/>
      <c r="I2519" s="1245"/>
    </row>
    <row r="2520" spans="8:9">
      <c r="H2520" s="1245"/>
      <c r="I2520" s="1245"/>
    </row>
    <row r="2521" spans="8:9">
      <c r="H2521" s="1245"/>
      <c r="I2521" s="1245"/>
    </row>
    <row r="2522" spans="8:9">
      <c r="H2522" s="1245"/>
      <c r="I2522" s="1245"/>
    </row>
    <row r="2523" spans="8:9">
      <c r="H2523" s="1245"/>
      <c r="I2523" s="1245"/>
    </row>
    <row r="2524" spans="8:9">
      <c r="H2524" s="1245"/>
      <c r="I2524" s="1245"/>
    </row>
    <row r="2525" spans="8:9">
      <c r="H2525" s="1245"/>
      <c r="I2525" s="1245"/>
    </row>
    <row r="2526" spans="8:9">
      <c r="H2526" s="1245"/>
      <c r="I2526" s="1245"/>
    </row>
    <row r="2527" spans="8:9">
      <c r="H2527" s="1245"/>
      <c r="I2527" s="1245"/>
    </row>
    <row r="2528" spans="8:9">
      <c r="H2528" s="1245"/>
      <c r="I2528" s="1245"/>
    </row>
    <row r="2529" spans="8:9">
      <c r="H2529" s="1245"/>
      <c r="I2529" s="1245"/>
    </row>
    <row r="2530" spans="8:9">
      <c r="H2530" s="1245"/>
      <c r="I2530" s="1245"/>
    </row>
    <row r="2531" spans="8:9">
      <c r="H2531" s="1245"/>
      <c r="I2531" s="1245"/>
    </row>
    <row r="2532" spans="8:9">
      <c r="H2532" s="1245"/>
      <c r="I2532" s="1245"/>
    </row>
    <row r="2533" spans="8:9">
      <c r="H2533" s="1245"/>
      <c r="I2533" s="1245"/>
    </row>
    <row r="2534" spans="8:9">
      <c r="H2534" s="1245"/>
      <c r="I2534" s="1245"/>
    </row>
    <row r="2535" spans="8:9">
      <c r="H2535" s="1245"/>
      <c r="I2535" s="1245"/>
    </row>
    <row r="2536" spans="8:9">
      <c r="H2536" s="1245"/>
      <c r="I2536" s="1245"/>
    </row>
    <row r="2537" spans="8:9">
      <c r="H2537" s="1245"/>
      <c r="I2537" s="1245"/>
    </row>
    <row r="2538" spans="8:9">
      <c r="H2538" s="1245"/>
      <c r="I2538" s="1245"/>
    </row>
    <row r="2539" spans="8:9">
      <c r="H2539" s="1245"/>
      <c r="I2539" s="1245"/>
    </row>
    <row r="2540" spans="8:9">
      <c r="H2540" s="1245"/>
      <c r="I2540" s="1245"/>
    </row>
    <row r="2541" spans="8:9">
      <c r="H2541" s="1245"/>
      <c r="I2541" s="1245"/>
    </row>
    <row r="2542" spans="8:9">
      <c r="H2542" s="1245"/>
      <c r="I2542" s="1245"/>
    </row>
    <row r="2543" spans="8:9">
      <c r="H2543" s="1245"/>
      <c r="I2543" s="1245"/>
    </row>
    <row r="2544" spans="8:9">
      <c r="H2544" s="1245"/>
      <c r="I2544" s="1245"/>
    </row>
    <row r="2545" spans="8:9">
      <c r="H2545" s="1245"/>
      <c r="I2545" s="1245"/>
    </row>
    <row r="2546" spans="8:9">
      <c r="H2546" s="1245"/>
      <c r="I2546" s="1245"/>
    </row>
    <row r="2547" spans="8:9">
      <c r="H2547" s="1245"/>
      <c r="I2547" s="1245"/>
    </row>
    <row r="2548" spans="8:9">
      <c r="H2548" s="1245"/>
      <c r="I2548" s="1245"/>
    </row>
    <row r="2549" spans="8:9">
      <c r="H2549" s="1245"/>
      <c r="I2549" s="1245"/>
    </row>
    <row r="2550" spans="8:9">
      <c r="H2550" s="1245"/>
      <c r="I2550" s="1245"/>
    </row>
    <row r="2551" spans="8:9">
      <c r="H2551" s="1245"/>
      <c r="I2551" s="1245"/>
    </row>
    <row r="2552" spans="8:9">
      <c r="H2552" s="1245"/>
      <c r="I2552" s="1245"/>
    </row>
    <row r="2553" spans="8:9">
      <c r="H2553" s="1245"/>
      <c r="I2553" s="1245"/>
    </row>
    <row r="2554" spans="8:9">
      <c r="H2554" s="1245"/>
      <c r="I2554" s="1245"/>
    </row>
    <row r="2555" spans="8:9">
      <c r="H2555" s="1245"/>
      <c r="I2555" s="1245"/>
    </row>
    <row r="2556" spans="8:9">
      <c r="H2556" s="1245"/>
      <c r="I2556" s="1245"/>
    </row>
    <row r="2557" spans="8:9">
      <c r="H2557" s="1245"/>
      <c r="I2557" s="1245"/>
    </row>
    <row r="2558" spans="8:9">
      <c r="H2558" s="1245"/>
      <c r="I2558" s="1245"/>
    </row>
    <row r="2559" spans="8:9">
      <c r="H2559" s="1245"/>
      <c r="I2559" s="1245"/>
    </row>
    <row r="2560" spans="8:9">
      <c r="H2560" s="1245"/>
      <c r="I2560" s="1245"/>
    </row>
    <row r="2561" spans="8:9">
      <c r="H2561" s="1245"/>
      <c r="I2561" s="1245"/>
    </row>
    <row r="2562" spans="8:9">
      <c r="H2562" s="1245"/>
      <c r="I2562" s="1245"/>
    </row>
    <row r="2563" spans="8:9">
      <c r="H2563" s="1245"/>
      <c r="I2563" s="1245"/>
    </row>
    <row r="2564" spans="8:9">
      <c r="H2564" s="1245"/>
      <c r="I2564" s="1245"/>
    </row>
    <row r="2565" spans="8:9">
      <c r="H2565" s="1245"/>
      <c r="I2565" s="1245"/>
    </row>
    <row r="2566" spans="8:9">
      <c r="H2566" s="1245"/>
      <c r="I2566" s="1245"/>
    </row>
    <row r="2567" spans="8:9">
      <c r="H2567" s="1245"/>
      <c r="I2567" s="1245"/>
    </row>
    <row r="2568" spans="8:9">
      <c r="H2568" s="1245"/>
      <c r="I2568" s="1245"/>
    </row>
    <row r="2569" spans="8:9">
      <c r="H2569" s="1245"/>
      <c r="I2569" s="1245"/>
    </row>
    <row r="2570" spans="8:9">
      <c r="H2570" s="1245"/>
      <c r="I2570" s="1245"/>
    </row>
    <row r="2571" spans="8:9">
      <c r="H2571" s="1245"/>
      <c r="I2571" s="1245"/>
    </row>
    <row r="2572" spans="8:9">
      <c r="H2572" s="1245"/>
      <c r="I2572" s="1245"/>
    </row>
    <row r="2573" spans="8:9">
      <c r="H2573" s="1245"/>
      <c r="I2573" s="1245"/>
    </row>
    <row r="2574" spans="8:9">
      <c r="H2574" s="1245"/>
      <c r="I2574" s="1245"/>
    </row>
    <row r="2575" spans="8:9">
      <c r="H2575" s="1245"/>
      <c r="I2575" s="1245"/>
    </row>
    <row r="2576" spans="8:9">
      <c r="H2576" s="1245"/>
      <c r="I2576" s="1245"/>
    </row>
    <row r="2577" spans="8:9">
      <c r="H2577" s="1245"/>
      <c r="I2577" s="1245"/>
    </row>
    <row r="2578" spans="8:9">
      <c r="H2578" s="1245"/>
      <c r="I2578" s="1245"/>
    </row>
    <row r="2579" spans="8:9">
      <c r="H2579" s="1245"/>
      <c r="I2579" s="1245"/>
    </row>
    <row r="2580" spans="8:9">
      <c r="H2580" s="1245"/>
      <c r="I2580" s="1245"/>
    </row>
    <row r="2581" spans="8:9">
      <c r="H2581" s="1245"/>
      <c r="I2581" s="1245"/>
    </row>
    <row r="2582" spans="8:9">
      <c r="H2582" s="1245"/>
      <c r="I2582" s="1245"/>
    </row>
    <row r="2583" spans="8:9">
      <c r="H2583" s="1245"/>
      <c r="I2583" s="1245"/>
    </row>
    <row r="2584" spans="8:9">
      <c r="H2584" s="1245"/>
      <c r="I2584" s="1245"/>
    </row>
    <row r="2585" spans="8:9">
      <c r="H2585" s="1245"/>
      <c r="I2585" s="1245"/>
    </row>
    <row r="2586" spans="8:9">
      <c r="H2586" s="1245"/>
      <c r="I2586" s="1245"/>
    </row>
    <row r="2587" spans="8:9">
      <c r="H2587" s="1245"/>
      <c r="I2587" s="1245"/>
    </row>
    <row r="2588" spans="8:9">
      <c r="H2588" s="1245"/>
      <c r="I2588" s="1245"/>
    </row>
    <row r="2589" spans="8:9">
      <c r="H2589" s="1245"/>
      <c r="I2589" s="1245"/>
    </row>
    <row r="2590" spans="8:9">
      <c r="H2590" s="1245"/>
      <c r="I2590" s="1245"/>
    </row>
    <row r="2591" spans="8:9">
      <c r="H2591" s="1245"/>
      <c r="I2591" s="1245"/>
    </row>
    <row r="2592" spans="8:9">
      <c r="H2592" s="1245"/>
      <c r="I2592" s="1245"/>
    </row>
    <row r="2593" spans="8:9">
      <c r="H2593" s="1245"/>
      <c r="I2593" s="1245"/>
    </row>
    <row r="2594" spans="8:9">
      <c r="H2594" s="1245"/>
      <c r="I2594" s="1245"/>
    </row>
    <row r="2595" spans="8:9">
      <c r="H2595" s="1245"/>
      <c r="I2595" s="1245"/>
    </row>
    <row r="2596" spans="8:9">
      <c r="H2596" s="1245"/>
      <c r="I2596" s="1245"/>
    </row>
    <row r="2597" spans="8:9">
      <c r="H2597" s="1245"/>
      <c r="I2597" s="1245"/>
    </row>
    <row r="2598" spans="8:9">
      <c r="H2598" s="1245"/>
      <c r="I2598" s="1245"/>
    </row>
    <row r="2599" spans="8:9">
      <c r="H2599" s="1245"/>
      <c r="I2599" s="1245"/>
    </row>
    <row r="2600" spans="8:9">
      <c r="H2600" s="1245"/>
      <c r="I2600" s="1245"/>
    </row>
    <row r="2601" spans="8:9">
      <c r="H2601" s="1245"/>
      <c r="I2601" s="1245"/>
    </row>
    <row r="2602" spans="8:9">
      <c r="H2602" s="1245"/>
      <c r="I2602" s="1245"/>
    </row>
    <row r="2603" spans="8:9">
      <c r="H2603" s="1245"/>
      <c r="I2603" s="1245"/>
    </row>
    <row r="2604" spans="8:9">
      <c r="H2604" s="1245"/>
      <c r="I2604" s="1245"/>
    </row>
    <row r="2605" spans="8:9">
      <c r="H2605" s="1245"/>
      <c r="I2605" s="1245"/>
    </row>
    <row r="2606" spans="8:9">
      <c r="H2606" s="1245"/>
      <c r="I2606" s="1245"/>
    </row>
    <row r="2607" spans="8:9">
      <c r="H2607" s="1245"/>
      <c r="I2607" s="1245"/>
    </row>
    <row r="2608" spans="8:9">
      <c r="H2608" s="1245"/>
      <c r="I2608" s="1245"/>
    </row>
    <row r="2609" spans="8:9">
      <c r="H2609" s="1245"/>
      <c r="I2609" s="1245"/>
    </row>
    <row r="2610" spans="8:9">
      <c r="H2610" s="1245"/>
      <c r="I2610" s="1245"/>
    </row>
    <row r="2611" spans="8:9">
      <c r="H2611" s="1245"/>
      <c r="I2611" s="1245"/>
    </row>
    <row r="2612" spans="8:9">
      <c r="H2612" s="1245"/>
      <c r="I2612" s="1245"/>
    </row>
    <row r="2613" spans="8:9">
      <c r="H2613" s="1245"/>
      <c r="I2613" s="1245"/>
    </row>
    <row r="2614" spans="8:9">
      <c r="H2614" s="1245"/>
      <c r="I2614" s="1245"/>
    </row>
    <row r="2615" spans="8:9">
      <c r="H2615" s="1245"/>
      <c r="I2615" s="1245"/>
    </row>
    <row r="2616" spans="8:9">
      <c r="H2616" s="1245"/>
      <c r="I2616" s="1245"/>
    </row>
    <row r="2617" spans="8:9">
      <c r="H2617" s="1245"/>
      <c r="I2617" s="1245"/>
    </row>
    <row r="2618" spans="8:9">
      <c r="H2618" s="1245"/>
      <c r="I2618" s="1245"/>
    </row>
    <row r="2619" spans="8:9">
      <c r="H2619" s="1245"/>
      <c r="I2619" s="1245"/>
    </row>
    <row r="2620" spans="8:9">
      <c r="H2620" s="1245"/>
      <c r="I2620" s="1245"/>
    </row>
    <row r="2621" spans="8:9">
      <c r="H2621" s="1245"/>
      <c r="I2621" s="1245"/>
    </row>
    <row r="2622" spans="8:9">
      <c r="H2622" s="1245"/>
      <c r="I2622" s="1245"/>
    </row>
    <row r="2623" spans="8:9">
      <c r="H2623" s="1245"/>
      <c r="I2623" s="1245"/>
    </row>
    <row r="2624" spans="8:9">
      <c r="H2624" s="1245"/>
      <c r="I2624" s="1245"/>
    </row>
    <row r="2625" spans="8:9">
      <c r="H2625" s="1245"/>
      <c r="I2625" s="1245"/>
    </row>
    <row r="2626" spans="8:9">
      <c r="H2626" s="1245"/>
      <c r="I2626" s="1245"/>
    </row>
    <row r="2627" spans="8:9">
      <c r="H2627" s="1245"/>
      <c r="I2627" s="1245"/>
    </row>
    <row r="2628" spans="8:9">
      <c r="H2628" s="1245"/>
      <c r="I2628" s="1245"/>
    </row>
    <row r="2629" spans="8:9">
      <c r="H2629" s="1245"/>
      <c r="I2629" s="1245"/>
    </row>
    <row r="2630" spans="8:9">
      <c r="H2630" s="1245"/>
      <c r="I2630" s="1245"/>
    </row>
    <row r="2631" spans="8:9">
      <c r="H2631" s="1245"/>
      <c r="I2631" s="1245"/>
    </row>
    <row r="2632" spans="8:9">
      <c r="H2632" s="1245"/>
      <c r="I2632" s="1245"/>
    </row>
    <row r="2633" spans="8:9">
      <c r="H2633" s="1245"/>
      <c r="I2633" s="1245"/>
    </row>
    <row r="2634" spans="8:9">
      <c r="H2634" s="1245"/>
      <c r="I2634" s="1245"/>
    </row>
    <row r="2635" spans="8:9">
      <c r="H2635" s="1245"/>
      <c r="I2635" s="1245"/>
    </row>
    <row r="2636" spans="8:9">
      <c r="H2636" s="1245"/>
      <c r="I2636" s="1245"/>
    </row>
    <row r="2637" spans="8:9">
      <c r="H2637" s="1245"/>
      <c r="I2637" s="1245"/>
    </row>
    <row r="2638" spans="8:9">
      <c r="H2638" s="1245"/>
      <c r="I2638" s="1245"/>
    </row>
    <row r="2639" spans="8:9">
      <c r="H2639" s="1245"/>
      <c r="I2639" s="1245"/>
    </row>
    <row r="2640" spans="8:9">
      <c r="H2640" s="1245"/>
      <c r="I2640" s="1245"/>
    </row>
    <row r="2641" spans="8:9">
      <c r="H2641" s="1245"/>
      <c r="I2641" s="1245"/>
    </row>
    <row r="2642" spans="8:9">
      <c r="H2642" s="1245"/>
      <c r="I2642" s="1245"/>
    </row>
    <row r="2643" spans="8:9">
      <c r="H2643" s="1245"/>
      <c r="I2643" s="1245"/>
    </row>
    <row r="2644" spans="8:9">
      <c r="H2644" s="1245"/>
      <c r="I2644" s="1245"/>
    </row>
    <row r="2645" spans="8:9">
      <c r="H2645" s="1245"/>
      <c r="I2645" s="1245"/>
    </row>
    <row r="2646" spans="8:9">
      <c r="H2646" s="1245"/>
      <c r="I2646" s="1245"/>
    </row>
    <row r="2647" spans="8:9">
      <c r="H2647" s="1245"/>
      <c r="I2647" s="1245"/>
    </row>
    <row r="2648" spans="8:9">
      <c r="H2648" s="1245"/>
      <c r="I2648" s="1245"/>
    </row>
    <row r="2649" spans="8:9">
      <c r="H2649" s="1245"/>
      <c r="I2649" s="1245"/>
    </row>
    <row r="2650" spans="8:9">
      <c r="H2650" s="1245"/>
      <c r="I2650" s="1245"/>
    </row>
    <row r="2651" spans="8:9">
      <c r="H2651" s="1245"/>
      <c r="I2651" s="1245"/>
    </row>
    <row r="2652" spans="8:9">
      <c r="H2652" s="1245"/>
      <c r="I2652" s="1245"/>
    </row>
    <row r="2653" spans="8:9">
      <c r="H2653" s="1245"/>
      <c r="I2653" s="1245"/>
    </row>
    <row r="2654" spans="8:9">
      <c r="H2654" s="1245"/>
      <c r="I2654" s="1245"/>
    </row>
    <row r="2655" spans="8:9">
      <c r="H2655" s="1245"/>
      <c r="I2655" s="1245"/>
    </row>
    <row r="2656" spans="8:9">
      <c r="H2656" s="1245"/>
      <c r="I2656" s="1245"/>
    </row>
    <row r="2657" spans="8:9">
      <c r="H2657" s="1245"/>
      <c r="I2657" s="1245"/>
    </row>
    <row r="2658" spans="8:9">
      <c r="H2658" s="1245"/>
      <c r="I2658" s="1245"/>
    </row>
    <row r="2659" spans="8:9">
      <c r="H2659" s="1245"/>
      <c r="I2659" s="1245"/>
    </row>
    <row r="2660" spans="8:9">
      <c r="H2660" s="1245"/>
      <c r="I2660" s="1245"/>
    </row>
    <row r="2661" spans="8:9">
      <c r="H2661" s="1245"/>
      <c r="I2661" s="1245"/>
    </row>
    <row r="2662" spans="8:9">
      <c r="H2662" s="1245"/>
      <c r="I2662" s="1245"/>
    </row>
    <row r="2663" spans="8:9">
      <c r="H2663" s="1245"/>
      <c r="I2663" s="1245"/>
    </row>
    <row r="2664" spans="8:9">
      <c r="H2664" s="1245"/>
      <c r="I2664" s="1245"/>
    </row>
    <row r="2665" spans="8:9">
      <c r="H2665" s="1245"/>
      <c r="I2665" s="1245"/>
    </row>
    <row r="2666" spans="8:9">
      <c r="H2666" s="1245"/>
      <c r="I2666" s="1245"/>
    </row>
    <row r="2667" spans="8:9">
      <c r="H2667" s="1245"/>
      <c r="I2667" s="1245"/>
    </row>
    <row r="2668" spans="8:9">
      <c r="H2668" s="1245"/>
      <c r="I2668" s="1245"/>
    </row>
    <row r="2669" spans="8:9">
      <c r="H2669" s="1245"/>
      <c r="I2669" s="1245"/>
    </row>
    <row r="2670" spans="8:9">
      <c r="H2670" s="1245"/>
      <c r="I2670" s="1245"/>
    </row>
    <row r="2671" spans="8:9">
      <c r="H2671" s="1245"/>
      <c r="I2671" s="1245"/>
    </row>
    <row r="2672" spans="8:9">
      <c r="H2672" s="1245"/>
      <c r="I2672" s="1245"/>
    </row>
    <row r="2673" spans="8:9">
      <c r="H2673" s="1245"/>
      <c r="I2673" s="1245"/>
    </row>
    <row r="2674" spans="8:9">
      <c r="H2674" s="1245"/>
      <c r="I2674" s="1245"/>
    </row>
    <row r="2675" spans="8:9">
      <c r="H2675" s="1245"/>
      <c r="I2675" s="1245"/>
    </row>
    <row r="2676" spans="8:9">
      <c r="H2676" s="1245"/>
      <c r="I2676" s="1245"/>
    </row>
    <row r="2677" spans="8:9">
      <c r="H2677" s="1245"/>
      <c r="I2677" s="1245"/>
    </row>
    <row r="2678" spans="8:9">
      <c r="H2678" s="1245"/>
      <c r="I2678" s="1245"/>
    </row>
    <row r="2679" spans="8:9">
      <c r="H2679" s="1245"/>
      <c r="I2679" s="1245"/>
    </row>
    <row r="2680" spans="8:9">
      <c r="H2680" s="1245"/>
      <c r="I2680" s="1245"/>
    </row>
    <row r="2681" spans="8:9">
      <c r="H2681" s="1245"/>
      <c r="I2681" s="1245"/>
    </row>
    <row r="2682" spans="8:9">
      <c r="H2682" s="1245"/>
      <c r="I2682" s="1245"/>
    </row>
    <row r="2683" spans="8:9">
      <c r="H2683" s="1245"/>
      <c r="I2683" s="1245"/>
    </row>
    <row r="2684" spans="8:9">
      <c r="H2684" s="1245"/>
      <c r="I2684" s="1245"/>
    </row>
    <row r="2685" spans="8:9">
      <c r="H2685" s="1245"/>
      <c r="I2685" s="1245"/>
    </row>
    <row r="2686" spans="8:9">
      <c r="H2686" s="1245"/>
      <c r="I2686" s="1245"/>
    </row>
    <row r="2687" spans="8:9">
      <c r="H2687" s="1245"/>
      <c r="I2687" s="1245"/>
    </row>
    <row r="2688" spans="8:9">
      <c r="H2688" s="1245"/>
      <c r="I2688" s="1245"/>
    </row>
    <row r="2689" spans="8:9">
      <c r="H2689" s="1245"/>
      <c r="I2689" s="1245"/>
    </row>
    <row r="2690" spans="8:9">
      <c r="H2690" s="1245"/>
      <c r="I2690" s="1245"/>
    </row>
    <row r="2691" spans="8:9">
      <c r="H2691" s="1245"/>
      <c r="I2691" s="1245"/>
    </row>
    <row r="2692" spans="8:9">
      <c r="H2692" s="1245"/>
      <c r="I2692" s="1245"/>
    </row>
    <row r="2693" spans="8:9">
      <c r="H2693" s="1245"/>
      <c r="I2693" s="1245"/>
    </row>
    <row r="2694" spans="8:9">
      <c r="H2694" s="1245"/>
      <c r="I2694" s="1245"/>
    </row>
    <row r="2695" spans="8:9">
      <c r="H2695" s="1245"/>
      <c r="I2695" s="1245"/>
    </row>
    <row r="2696" spans="8:9">
      <c r="H2696" s="1245"/>
      <c r="I2696" s="1245"/>
    </row>
    <row r="2697" spans="8:9">
      <c r="H2697" s="1245"/>
      <c r="I2697" s="1245"/>
    </row>
    <row r="2698" spans="8:9">
      <c r="H2698" s="1245"/>
      <c r="I2698" s="1245"/>
    </row>
    <row r="2699" spans="8:9">
      <c r="H2699" s="1245"/>
      <c r="I2699" s="1245"/>
    </row>
    <row r="2700" spans="8:9">
      <c r="H2700" s="1245"/>
      <c r="I2700" s="1245"/>
    </row>
    <row r="2701" spans="8:9">
      <c r="H2701" s="1245"/>
      <c r="I2701" s="1245"/>
    </row>
    <row r="2702" spans="8:9">
      <c r="H2702" s="1245"/>
      <c r="I2702" s="1245"/>
    </row>
    <row r="2703" spans="8:9">
      <c r="H2703" s="1245"/>
      <c r="I2703" s="1245"/>
    </row>
    <row r="2704" spans="8:9">
      <c r="H2704" s="1245"/>
      <c r="I2704" s="1245"/>
    </row>
    <row r="2705" spans="8:9">
      <c r="H2705" s="1245"/>
      <c r="I2705" s="1245"/>
    </row>
    <row r="2706" spans="8:9">
      <c r="H2706" s="1245"/>
      <c r="I2706" s="1245"/>
    </row>
    <row r="2707" spans="8:9">
      <c r="H2707" s="1245"/>
      <c r="I2707" s="1245"/>
    </row>
    <row r="2708" spans="8:9">
      <c r="H2708" s="1245"/>
      <c r="I2708" s="1245"/>
    </row>
    <row r="2709" spans="8:9">
      <c r="H2709" s="1245"/>
      <c r="I2709" s="1245"/>
    </row>
    <row r="2710" spans="8:9">
      <c r="H2710" s="1245"/>
      <c r="I2710" s="1245"/>
    </row>
    <row r="2711" spans="8:9">
      <c r="H2711" s="1245"/>
      <c r="I2711" s="1245"/>
    </row>
    <row r="2712" spans="8:9">
      <c r="H2712" s="1245"/>
      <c r="I2712" s="1245"/>
    </row>
    <row r="2713" spans="8:9">
      <c r="H2713" s="1245"/>
      <c r="I2713" s="1245"/>
    </row>
    <row r="2714" spans="8:9">
      <c r="H2714" s="1245"/>
      <c r="I2714" s="1245"/>
    </row>
    <row r="2715" spans="8:9">
      <c r="H2715" s="1245"/>
      <c r="I2715" s="1245"/>
    </row>
    <row r="2716" spans="8:9">
      <c r="H2716" s="1245"/>
      <c r="I2716" s="1245"/>
    </row>
    <row r="2717" spans="8:9">
      <c r="H2717" s="1245"/>
      <c r="I2717" s="1245"/>
    </row>
    <row r="2718" spans="8:9">
      <c r="H2718" s="1245"/>
      <c r="I2718" s="1245"/>
    </row>
    <row r="2719" spans="8:9">
      <c r="H2719" s="1245"/>
      <c r="I2719" s="1245"/>
    </row>
    <row r="2720" spans="8:9">
      <c r="H2720" s="1245"/>
      <c r="I2720" s="1245"/>
    </row>
    <row r="2721" spans="8:9">
      <c r="H2721" s="1245"/>
      <c r="I2721" s="1245"/>
    </row>
    <row r="2722" spans="8:9">
      <c r="H2722" s="1245"/>
      <c r="I2722" s="1245"/>
    </row>
    <row r="2723" spans="8:9">
      <c r="H2723" s="1245"/>
      <c r="I2723" s="1245"/>
    </row>
    <row r="2724" spans="8:9">
      <c r="H2724" s="1245"/>
      <c r="I2724" s="1245"/>
    </row>
    <row r="2725" spans="8:9">
      <c r="H2725" s="1245"/>
      <c r="I2725" s="1245"/>
    </row>
    <row r="2726" spans="8:9">
      <c r="H2726" s="1245"/>
      <c r="I2726" s="1245"/>
    </row>
    <row r="2727" spans="8:9">
      <c r="H2727" s="1245"/>
      <c r="I2727" s="1245"/>
    </row>
    <row r="2728" spans="8:9">
      <c r="H2728" s="1245"/>
      <c r="I2728" s="1245"/>
    </row>
    <row r="2729" spans="8:9">
      <c r="H2729" s="1245"/>
      <c r="I2729" s="1245"/>
    </row>
    <row r="2730" spans="8:9">
      <c r="H2730" s="1245"/>
      <c r="I2730" s="1245"/>
    </row>
    <row r="2731" spans="8:9">
      <c r="H2731" s="1245"/>
      <c r="I2731" s="1245"/>
    </row>
    <row r="2732" spans="8:9">
      <c r="H2732" s="1245"/>
      <c r="I2732" s="1245"/>
    </row>
    <row r="2733" spans="8:9">
      <c r="H2733" s="1245"/>
      <c r="I2733" s="1245"/>
    </row>
    <row r="2734" spans="8:9">
      <c r="H2734" s="1245"/>
      <c r="I2734" s="1245"/>
    </row>
    <row r="2735" spans="8:9">
      <c r="H2735" s="1245"/>
      <c r="I2735" s="1245"/>
    </row>
    <row r="2736" spans="8:9">
      <c r="H2736" s="1245"/>
      <c r="I2736" s="1245"/>
    </row>
    <row r="2737" spans="8:9">
      <c r="H2737" s="1245"/>
      <c r="I2737" s="1245"/>
    </row>
    <row r="2738" spans="8:9">
      <c r="H2738" s="1245"/>
      <c r="I2738" s="1245"/>
    </row>
    <row r="2739" spans="8:9">
      <c r="H2739" s="1245"/>
      <c r="I2739" s="1245"/>
    </row>
    <row r="2740" spans="8:9">
      <c r="H2740" s="1245"/>
      <c r="I2740" s="1245"/>
    </row>
    <row r="2741" spans="8:9">
      <c r="H2741" s="1245"/>
      <c r="I2741" s="1245"/>
    </row>
    <row r="2742" spans="8:9">
      <c r="H2742" s="1245"/>
      <c r="I2742" s="1245"/>
    </row>
    <row r="2743" spans="8:9">
      <c r="H2743" s="1245"/>
      <c r="I2743" s="1245"/>
    </row>
    <row r="2744" spans="8:9">
      <c r="H2744" s="1245"/>
      <c r="I2744" s="1245"/>
    </row>
    <row r="2745" spans="8:9">
      <c r="H2745" s="1245"/>
      <c r="I2745" s="1245"/>
    </row>
    <row r="2746" spans="8:9">
      <c r="H2746" s="1245"/>
      <c r="I2746" s="1245"/>
    </row>
    <row r="2747" spans="8:9">
      <c r="H2747" s="1245"/>
      <c r="I2747" s="1245"/>
    </row>
    <row r="2748" spans="8:9">
      <c r="H2748" s="1245"/>
      <c r="I2748" s="1245"/>
    </row>
    <row r="2749" spans="8:9">
      <c r="H2749" s="1245"/>
      <c r="I2749" s="1245"/>
    </row>
    <row r="2750" spans="8:9">
      <c r="H2750" s="1245"/>
      <c r="I2750" s="1245"/>
    </row>
    <row r="2751" spans="8:9">
      <c r="H2751" s="1245"/>
      <c r="I2751" s="1245"/>
    </row>
    <row r="2752" spans="8:9">
      <c r="H2752" s="1245"/>
      <c r="I2752" s="1245"/>
    </row>
    <row r="2753" spans="8:9">
      <c r="H2753" s="1245"/>
      <c r="I2753" s="1245"/>
    </row>
    <row r="2754" spans="8:9">
      <c r="H2754" s="1245"/>
      <c r="I2754" s="1245"/>
    </row>
    <row r="2755" spans="8:9">
      <c r="H2755" s="1245"/>
      <c r="I2755" s="1245"/>
    </row>
    <row r="2756" spans="8:9">
      <c r="H2756" s="1245"/>
      <c r="I2756" s="1245"/>
    </row>
    <row r="2757" spans="8:9">
      <c r="H2757" s="1245"/>
      <c r="I2757" s="1245"/>
    </row>
    <row r="2758" spans="8:9">
      <c r="H2758" s="1245"/>
      <c r="I2758" s="1245"/>
    </row>
    <row r="2759" spans="8:9">
      <c r="H2759" s="1245"/>
      <c r="I2759" s="1245"/>
    </row>
    <row r="2760" spans="8:9">
      <c r="H2760" s="1245"/>
      <c r="I2760" s="1245"/>
    </row>
    <row r="2761" spans="8:9">
      <c r="H2761" s="1245"/>
      <c r="I2761" s="1245"/>
    </row>
    <row r="2762" spans="8:9">
      <c r="H2762" s="1245"/>
      <c r="I2762" s="1245"/>
    </row>
    <row r="2763" spans="8:9">
      <c r="H2763" s="1245"/>
      <c r="I2763" s="1245"/>
    </row>
    <row r="2764" spans="8:9">
      <c r="H2764" s="1245"/>
      <c r="I2764" s="1245"/>
    </row>
    <row r="2765" spans="8:9">
      <c r="H2765" s="1245"/>
      <c r="I2765" s="1245"/>
    </row>
    <row r="2766" spans="8:9">
      <c r="H2766" s="1245"/>
      <c r="I2766" s="1245"/>
    </row>
    <row r="2767" spans="8:9">
      <c r="H2767" s="1245"/>
      <c r="I2767" s="1245"/>
    </row>
    <row r="2768" spans="8:9">
      <c r="H2768" s="1245"/>
      <c r="I2768" s="1245"/>
    </row>
    <row r="2769" spans="8:9">
      <c r="H2769" s="1245"/>
      <c r="I2769" s="1245"/>
    </row>
    <row r="2770" spans="8:9">
      <c r="H2770" s="1245"/>
      <c r="I2770" s="1245"/>
    </row>
    <row r="2771" spans="8:9">
      <c r="H2771" s="1245"/>
      <c r="I2771" s="1245"/>
    </row>
    <row r="2772" spans="8:9">
      <c r="H2772" s="1245"/>
      <c r="I2772" s="1245"/>
    </row>
    <row r="2773" spans="8:9">
      <c r="H2773" s="1245"/>
      <c r="I2773" s="1245"/>
    </row>
    <row r="2774" spans="8:9">
      <c r="H2774" s="1245"/>
      <c r="I2774" s="1245"/>
    </row>
    <row r="2775" spans="8:9">
      <c r="H2775" s="1245"/>
      <c r="I2775" s="1245"/>
    </row>
    <row r="2776" spans="8:9">
      <c r="H2776" s="1245"/>
      <c r="I2776" s="1245"/>
    </row>
    <row r="2777" spans="8:9">
      <c r="H2777" s="1245"/>
      <c r="I2777" s="1245"/>
    </row>
    <row r="2778" spans="8:9">
      <c r="H2778" s="1245"/>
      <c r="I2778" s="1245"/>
    </row>
    <row r="2779" spans="8:9">
      <c r="H2779" s="1245"/>
      <c r="I2779" s="1245"/>
    </row>
    <row r="2780" spans="8:9">
      <c r="H2780" s="1245"/>
      <c r="I2780" s="1245"/>
    </row>
    <row r="2781" spans="8:9">
      <c r="H2781" s="1245"/>
      <c r="I2781" s="1245"/>
    </row>
    <row r="2782" spans="8:9">
      <c r="H2782" s="1245"/>
      <c r="I2782" s="1245"/>
    </row>
    <row r="2783" spans="8:9">
      <c r="H2783" s="1245"/>
      <c r="I2783" s="1245"/>
    </row>
    <row r="2784" spans="8:9">
      <c r="H2784" s="1245"/>
      <c r="I2784" s="1245"/>
    </row>
    <row r="2785" spans="8:9">
      <c r="H2785" s="1245"/>
      <c r="I2785" s="1245"/>
    </row>
    <row r="2786" spans="8:9">
      <c r="H2786" s="1245"/>
      <c r="I2786" s="1245"/>
    </row>
    <row r="2787" spans="8:9">
      <c r="H2787" s="1245"/>
      <c r="I2787" s="1245"/>
    </row>
    <row r="2788" spans="8:9">
      <c r="H2788" s="1245"/>
      <c r="I2788" s="1245"/>
    </row>
    <row r="2789" spans="8:9">
      <c r="H2789" s="1245"/>
      <c r="I2789" s="1245"/>
    </row>
    <row r="2790" spans="8:9">
      <c r="H2790" s="1245"/>
      <c r="I2790" s="1245"/>
    </row>
    <row r="2791" spans="8:9">
      <c r="H2791" s="1245"/>
      <c r="I2791" s="1245"/>
    </row>
    <row r="2792" spans="8:9">
      <c r="H2792" s="1245"/>
      <c r="I2792" s="1245"/>
    </row>
    <row r="2793" spans="8:9">
      <c r="H2793" s="1245"/>
      <c r="I2793" s="1245"/>
    </row>
    <row r="2794" spans="8:9">
      <c r="H2794" s="1245"/>
      <c r="I2794" s="1245"/>
    </row>
    <row r="2795" spans="8:9">
      <c r="H2795" s="1245"/>
      <c r="I2795" s="1245"/>
    </row>
    <row r="2796" spans="8:9">
      <c r="H2796" s="1245"/>
      <c r="I2796" s="1245"/>
    </row>
    <row r="2797" spans="8:9">
      <c r="H2797" s="1245"/>
      <c r="I2797" s="1245"/>
    </row>
    <row r="2798" spans="8:9">
      <c r="H2798" s="1245"/>
      <c r="I2798" s="1245"/>
    </row>
    <row r="2799" spans="8:9">
      <c r="H2799" s="1245"/>
      <c r="I2799" s="1245"/>
    </row>
    <row r="2800" spans="8:9">
      <c r="H2800" s="1245"/>
      <c r="I2800" s="1245"/>
    </row>
    <row r="2801" spans="8:9">
      <c r="H2801" s="1245"/>
      <c r="I2801" s="1245"/>
    </row>
    <row r="2802" spans="8:9">
      <c r="H2802" s="1245"/>
      <c r="I2802" s="1245"/>
    </row>
    <row r="2803" spans="8:9">
      <c r="H2803" s="1245"/>
      <c r="I2803" s="1245"/>
    </row>
    <row r="2804" spans="8:9">
      <c r="H2804" s="1245"/>
      <c r="I2804" s="1245"/>
    </row>
    <row r="2805" spans="8:9">
      <c r="H2805" s="1245"/>
      <c r="I2805" s="1245"/>
    </row>
    <row r="2806" spans="8:9">
      <c r="H2806" s="1245"/>
      <c r="I2806" s="1245"/>
    </row>
    <row r="2807" spans="8:9">
      <c r="H2807" s="1245"/>
      <c r="I2807" s="1245"/>
    </row>
    <row r="2808" spans="8:9">
      <c r="H2808" s="1245"/>
      <c r="I2808" s="1245"/>
    </row>
    <row r="2809" spans="8:9">
      <c r="H2809" s="1245"/>
      <c r="I2809" s="1245"/>
    </row>
    <row r="2810" spans="8:9">
      <c r="H2810" s="1245"/>
      <c r="I2810" s="1245"/>
    </row>
    <row r="2811" spans="8:9">
      <c r="H2811" s="1245"/>
      <c r="I2811" s="1245"/>
    </row>
    <row r="2812" spans="8:9">
      <c r="H2812" s="1245"/>
      <c r="I2812" s="1245"/>
    </row>
    <row r="2813" spans="8:9">
      <c r="H2813" s="1245"/>
      <c r="I2813" s="1245"/>
    </row>
    <row r="2814" spans="8:9">
      <c r="H2814" s="1245"/>
      <c r="I2814" s="1245"/>
    </row>
    <row r="2815" spans="8:9">
      <c r="H2815" s="1245"/>
      <c r="I2815" s="1245"/>
    </row>
    <row r="2816" spans="8:9">
      <c r="H2816" s="1245"/>
      <c r="I2816" s="1245"/>
    </row>
    <row r="2817" spans="8:9">
      <c r="H2817" s="1245"/>
      <c r="I2817" s="1245"/>
    </row>
    <row r="2818" spans="8:9">
      <c r="H2818" s="1245"/>
      <c r="I2818" s="1245"/>
    </row>
    <row r="2819" spans="8:9">
      <c r="H2819" s="1245"/>
      <c r="I2819" s="1245"/>
    </row>
    <row r="2820" spans="8:9">
      <c r="H2820" s="1245"/>
      <c r="I2820" s="1245"/>
    </row>
    <row r="2821" spans="8:9">
      <c r="H2821" s="1245"/>
      <c r="I2821" s="1245"/>
    </row>
    <row r="2822" spans="8:9">
      <c r="H2822" s="1245"/>
      <c r="I2822" s="1245"/>
    </row>
    <row r="2823" spans="8:9">
      <c r="H2823" s="1245"/>
      <c r="I2823" s="1245"/>
    </row>
    <row r="2824" spans="8:9">
      <c r="H2824" s="1245"/>
      <c r="I2824" s="1245"/>
    </row>
    <row r="2825" spans="8:9">
      <c r="H2825" s="1245"/>
      <c r="I2825" s="1245"/>
    </row>
    <row r="2826" spans="8:9">
      <c r="H2826" s="1245"/>
      <c r="I2826" s="1245"/>
    </row>
    <row r="2827" spans="8:9">
      <c r="H2827" s="1245"/>
      <c r="I2827" s="1245"/>
    </row>
    <row r="2828" spans="8:9">
      <c r="H2828" s="1245"/>
      <c r="I2828" s="1245"/>
    </row>
    <row r="2829" spans="8:9">
      <c r="H2829" s="1245"/>
      <c r="I2829" s="1245"/>
    </row>
    <row r="2830" spans="8:9">
      <c r="H2830" s="1245"/>
      <c r="I2830" s="1245"/>
    </row>
    <row r="2831" spans="8:9">
      <c r="H2831" s="1245"/>
      <c r="I2831" s="1245"/>
    </row>
    <row r="2832" spans="8:9">
      <c r="H2832" s="1245"/>
      <c r="I2832" s="1245"/>
    </row>
    <row r="2833" spans="8:9">
      <c r="H2833" s="1245"/>
      <c r="I2833" s="1245"/>
    </row>
    <row r="2834" spans="8:9">
      <c r="H2834" s="1245"/>
      <c r="I2834" s="1245"/>
    </row>
    <row r="2835" spans="8:9">
      <c r="H2835" s="1245"/>
      <c r="I2835" s="1245"/>
    </row>
    <row r="2836" spans="8:9">
      <c r="H2836" s="1245"/>
      <c r="I2836" s="1245"/>
    </row>
    <row r="2837" spans="8:9">
      <c r="H2837" s="1245"/>
      <c r="I2837" s="1245"/>
    </row>
    <row r="2838" spans="8:9">
      <c r="H2838" s="1245"/>
      <c r="I2838" s="1245"/>
    </row>
    <row r="2839" spans="8:9">
      <c r="H2839" s="1245"/>
      <c r="I2839" s="1245"/>
    </row>
    <row r="2840" spans="8:9">
      <c r="H2840" s="1245"/>
      <c r="I2840" s="1245"/>
    </row>
    <row r="2841" spans="8:9">
      <c r="H2841" s="1245"/>
      <c r="I2841" s="1245"/>
    </row>
    <row r="2842" spans="8:9">
      <c r="H2842" s="1245"/>
      <c r="I2842" s="1245"/>
    </row>
    <row r="2843" spans="8:9">
      <c r="H2843" s="1245"/>
      <c r="I2843" s="1245"/>
    </row>
    <row r="2844" spans="8:9">
      <c r="H2844" s="1245"/>
      <c r="I2844" s="1245"/>
    </row>
    <row r="2845" spans="8:9">
      <c r="H2845" s="1245"/>
      <c r="I2845" s="1245"/>
    </row>
    <row r="2846" spans="8:9">
      <c r="H2846" s="1245"/>
      <c r="I2846" s="1245"/>
    </row>
    <row r="2847" spans="8:9">
      <c r="H2847" s="1245"/>
      <c r="I2847" s="1245"/>
    </row>
    <row r="2848" spans="8:9">
      <c r="H2848" s="1245"/>
      <c r="I2848" s="1245"/>
    </row>
    <row r="2849" spans="8:9">
      <c r="H2849" s="1245"/>
      <c r="I2849" s="1245"/>
    </row>
    <row r="2850" spans="8:9">
      <c r="H2850" s="1245"/>
      <c r="I2850" s="1245"/>
    </row>
    <row r="2851" spans="8:9">
      <c r="H2851" s="1245"/>
      <c r="I2851" s="1245"/>
    </row>
    <row r="2852" spans="8:9">
      <c r="H2852" s="1245"/>
      <c r="I2852" s="1245"/>
    </row>
    <row r="2853" spans="8:9">
      <c r="H2853" s="1245"/>
      <c r="I2853" s="1245"/>
    </row>
    <row r="2854" spans="8:9">
      <c r="H2854" s="1245"/>
      <c r="I2854" s="1245"/>
    </row>
    <row r="2855" spans="8:9">
      <c r="H2855" s="1245"/>
      <c r="I2855" s="1245"/>
    </row>
    <row r="2856" spans="8:9">
      <c r="H2856" s="1245"/>
      <c r="I2856" s="1245"/>
    </row>
    <row r="2857" spans="8:9">
      <c r="H2857" s="1245"/>
      <c r="I2857" s="1245"/>
    </row>
    <row r="2858" spans="8:9">
      <c r="H2858" s="1245"/>
      <c r="I2858" s="1245"/>
    </row>
    <row r="2859" spans="8:9">
      <c r="H2859" s="1245"/>
      <c r="I2859" s="1245"/>
    </row>
    <row r="2860" spans="8:9">
      <c r="H2860" s="1245"/>
      <c r="I2860" s="1245"/>
    </row>
    <row r="2861" spans="8:9">
      <c r="H2861" s="1245"/>
      <c r="I2861" s="1245"/>
    </row>
    <row r="2862" spans="8:9">
      <c r="H2862" s="1245"/>
      <c r="I2862" s="1245"/>
    </row>
    <row r="2863" spans="8:9">
      <c r="H2863" s="1245"/>
      <c r="I2863" s="1245"/>
    </row>
    <row r="2864" spans="8:9">
      <c r="H2864" s="1245"/>
      <c r="I2864" s="1245"/>
    </row>
    <row r="2865" spans="8:9">
      <c r="H2865" s="1245"/>
      <c r="I2865" s="1245"/>
    </row>
    <row r="2866" spans="8:9">
      <c r="H2866" s="1245"/>
      <c r="I2866" s="1245"/>
    </row>
    <row r="2867" spans="8:9">
      <c r="H2867" s="1245"/>
      <c r="I2867" s="1245"/>
    </row>
    <row r="2868" spans="8:9">
      <c r="H2868" s="1245"/>
      <c r="I2868" s="1245"/>
    </row>
    <row r="2869" spans="8:9">
      <c r="H2869" s="1245"/>
      <c r="I2869" s="1245"/>
    </row>
    <row r="2870" spans="8:9">
      <c r="H2870" s="1245"/>
      <c r="I2870" s="1245"/>
    </row>
    <row r="2871" spans="8:9">
      <c r="H2871" s="1245"/>
      <c r="I2871" s="1245"/>
    </row>
    <row r="2872" spans="8:9">
      <c r="H2872" s="1245"/>
      <c r="I2872" s="1245"/>
    </row>
    <row r="2873" spans="8:9">
      <c r="H2873" s="1245"/>
      <c r="I2873" s="1245"/>
    </row>
    <row r="2874" spans="8:9">
      <c r="H2874" s="1245"/>
      <c r="I2874" s="1245"/>
    </row>
    <row r="2875" spans="8:9">
      <c r="H2875" s="1245"/>
      <c r="I2875" s="1245"/>
    </row>
    <row r="2876" spans="8:9">
      <c r="H2876" s="1245"/>
      <c r="I2876" s="1245"/>
    </row>
    <row r="2877" spans="8:9">
      <c r="H2877" s="1245"/>
      <c r="I2877" s="1245"/>
    </row>
    <row r="2878" spans="8:9">
      <c r="H2878" s="1245"/>
      <c r="I2878" s="1245"/>
    </row>
    <row r="2879" spans="8:9">
      <c r="H2879" s="1245"/>
      <c r="I2879" s="1245"/>
    </row>
    <row r="2880" spans="8:9">
      <c r="H2880" s="1245"/>
      <c r="I2880" s="1245"/>
    </row>
    <row r="2881" spans="8:9">
      <c r="H2881" s="1245"/>
      <c r="I2881" s="1245"/>
    </row>
    <row r="2882" spans="8:9">
      <c r="H2882" s="1245"/>
      <c r="I2882" s="1245"/>
    </row>
    <row r="2883" spans="8:9">
      <c r="H2883" s="1245"/>
      <c r="I2883" s="1245"/>
    </row>
    <row r="2884" spans="8:9">
      <c r="H2884" s="1245"/>
      <c r="I2884" s="1245"/>
    </row>
    <row r="2885" spans="8:9">
      <c r="H2885" s="1245"/>
      <c r="I2885" s="1245"/>
    </row>
    <row r="2886" spans="8:9">
      <c r="H2886" s="1245"/>
      <c r="I2886" s="1245"/>
    </row>
    <row r="2887" spans="8:9">
      <c r="H2887" s="1245"/>
      <c r="I2887" s="1245"/>
    </row>
    <row r="2888" spans="8:9">
      <c r="H2888" s="1245"/>
      <c r="I2888" s="1245"/>
    </row>
    <row r="2889" spans="8:9">
      <c r="H2889" s="1245"/>
      <c r="I2889" s="1245"/>
    </row>
    <row r="2890" spans="8:9">
      <c r="H2890" s="1245"/>
      <c r="I2890" s="1245"/>
    </row>
    <row r="2891" spans="8:9">
      <c r="H2891" s="1245"/>
      <c r="I2891" s="1245"/>
    </row>
    <row r="2892" spans="8:9">
      <c r="H2892" s="1245"/>
      <c r="I2892" s="1245"/>
    </row>
    <row r="2893" spans="8:9">
      <c r="H2893" s="1245"/>
      <c r="I2893" s="1245"/>
    </row>
    <row r="2894" spans="8:9">
      <c r="H2894" s="1245"/>
      <c r="I2894" s="1245"/>
    </row>
    <row r="2895" spans="8:9">
      <c r="H2895" s="1245"/>
      <c r="I2895" s="1245"/>
    </row>
    <row r="2896" spans="8:9">
      <c r="H2896" s="1245"/>
      <c r="I2896" s="1245"/>
    </row>
    <row r="2897" spans="8:9">
      <c r="H2897" s="1245"/>
      <c r="I2897" s="1245"/>
    </row>
    <row r="2898" spans="8:9">
      <c r="H2898" s="1245"/>
      <c r="I2898" s="1245"/>
    </row>
    <row r="2899" spans="8:9">
      <c r="H2899" s="1245"/>
      <c r="I2899" s="1245"/>
    </row>
    <row r="2900" spans="8:9">
      <c r="H2900" s="1245"/>
      <c r="I2900" s="1245"/>
    </row>
    <row r="2901" spans="8:9">
      <c r="H2901" s="1245"/>
      <c r="I2901" s="1245"/>
    </row>
    <row r="2902" spans="8:9">
      <c r="H2902" s="1245"/>
      <c r="I2902" s="1245"/>
    </row>
    <row r="2903" spans="8:9">
      <c r="H2903" s="1245"/>
      <c r="I2903" s="1245"/>
    </row>
    <row r="2904" spans="8:9">
      <c r="H2904" s="1245"/>
      <c r="I2904" s="1245"/>
    </row>
    <row r="2905" spans="8:9">
      <c r="H2905" s="1245"/>
      <c r="I2905" s="1245"/>
    </row>
    <row r="2906" spans="8:9">
      <c r="H2906" s="1245"/>
      <c r="I2906" s="1245"/>
    </row>
    <row r="2907" spans="8:9">
      <c r="H2907" s="1245"/>
      <c r="I2907" s="1245"/>
    </row>
    <row r="2908" spans="8:9">
      <c r="H2908" s="1245"/>
      <c r="I2908" s="1245"/>
    </row>
    <row r="2909" spans="8:9">
      <c r="H2909" s="1245"/>
      <c r="I2909" s="1245"/>
    </row>
    <row r="2910" spans="8:9">
      <c r="H2910" s="1245"/>
      <c r="I2910" s="1245"/>
    </row>
    <row r="2911" spans="8:9">
      <c r="H2911" s="1245"/>
      <c r="I2911" s="1245"/>
    </row>
    <row r="2912" spans="8:9">
      <c r="H2912" s="1245"/>
      <c r="I2912" s="1245"/>
    </row>
    <row r="2913" spans="8:9">
      <c r="H2913" s="1245"/>
      <c r="I2913" s="1245"/>
    </row>
    <row r="2914" spans="8:9">
      <c r="H2914" s="1245"/>
      <c r="I2914" s="1245"/>
    </row>
    <row r="2915" spans="8:9">
      <c r="H2915" s="1245"/>
      <c r="I2915" s="1245"/>
    </row>
    <row r="2916" spans="8:9">
      <c r="H2916" s="1245"/>
      <c r="I2916" s="1245"/>
    </row>
    <row r="2917" spans="8:9">
      <c r="H2917" s="1245"/>
      <c r="I2917" s="1245"/>
    </row>
    <row r="2918" spans="8:9">
      <c r="H2918" s="1245"/>
      <c r="I2918" s="1245"/>
    </row>
    <row r="2919" spans="8:9">
      <c r="H2919" s="1245"/>
      <c r="I2919" s="1245"/>
    </row>
    <row r="2920" spans="8:9">
      <c r="H2920" s="1245"/>
      <c r="I2920" s="1245"/>
    </row>
    <row r="2921" spans="8:9">
      <c r="H2921" s="1245"/>
      <c r="I2921" s="1245"/>
    </row>
    <row r="2922" spans="8:9">
      <c r="H2922" s="1245"/>
      <c r="I2922" s="1245"/>
    </row>
    <row r="2923" spans="8:9">
      <c r="H2923" s="1245"/>
      <c r="I2923" s="1245"/>
    </row>
    <row r="2924" spans="8:9">
      <c r="H2924" s="1245"/>
      <c r="I2924" s="1245"/>
    </row>
    <row r="2925" spans="8:9">
      <c r="H2925" s="1245"/>
      <c r="I2925" s="1245"/>
    </row>
    <row r="2926" spans="8:9">
      <c r="H2926" s="1245"/>
      <c r="I2926" s="1245"/>
    </row>
    <row r="2927" spans="8:9">
      <c r="H2927" s="1245"/>
      <c r="I2927" s="1245"/>
    </row>
    <row r="2928" spans="8:9">
      <c r="H2928" s="1245"/>
      <c r="I2928" s="1245"/>
    </row>
    <row r="2929" spans="8:9">
      <c r="H2929" s="1245"/>
      <c r="I2929" s="1245"/>
    </row>
    <row r="2930" spans="8:9">
      <c r="H2930" s="1245"/>
      <c r="I2930" s="1245"/>
    </row>
    <row r="2931" spans="8:9">
      <c r="H2931" s="1245"/>
      <c r="I2931" s="1245"/>
    </row>
    <row r="2932" spans="8:9">
      <c r="H2932" s="1245"/>
      <c r="I2932" s="1245"/>
    </row>
    <row r="2933" spans="8:9">
      <c r="H2933" s="1245"/>
      <c r="I2933" s="1245"/>
    </row>
    <row r="2934" spans="8:9">
      <c r="H2934" s="1245"/>
      <c r="I2934" s="1245"/>
    </row>
    <row r="2935" spans="8:9">
      <c r="H2935" s="1245"/>
      <c r="I2935" s="1245"/>
    </row>
    <row r="2936" spans="8:9">
      <c r="H2936" s="1245"/>
      <c r="I2936" s="1245"/>
    </row>
    <row r="2937" spans="8:9">
      <c r="H2937" s="1245"/>
      <c r="I2937" s="1245"/>
    </row>
    <row r="2938" spans="8:9">
      <c r="H2938" s="1245"/>
      <c r="I2938" s="1245"/>
    </row>
    <row r="2939" spans="8:9">
      <c r="H2939" s="1245"/>
      <c r="I2939" s="1245"/>
    </row>
    <row r="2940" spans="8:9">
      <c r="H2940" s="1245"/>
      <c r="I2940" s="1245"/>
    </row>
    <row r="2941" spans="8:9">
      <c r="H2941" s="1245"/>
      <c r="I2941" s="1245"/>
    </row>
    <row r="2942" spans="8:9">
      <c r="H2942" s="1245"/>
      <c r="I2942" s="1245"/>
    </row>
    <row r="2943" spans="8:9">
      <c r="H2943" s="1245"/>
      <c r="I2943" s="1245"/>
    </row>
    <row r="2944" spans="8:9">
      <c r="H2944" s="1245"/>
      <c r="I2944" s="1245"/>
    </row>
    <row r="2945" spans="8:9">
      <c r="H2945" s="1245"/>
      <c r="I2945" s="1245"/>
    </row>
    <row r="2946" spans="8:9">
      <c r="H2946" s="1245"/>
      <c r="I2946" s="1245"/>
    </row>
    <row r="2947" spans="8:9">
      <c r="H2947" s="1245"/>
      <c r="I2947" s="1245"/>
    </row>
    <row r="2948" spans="8:9">
      <c r="H2948" s="1245"/>
      <c r="I2948" s="1245"/>
    </row>
    <row r="2949" spans="8:9">
      <c r="H2949" s="1245"/>
      <c r="I2949" s="1245"/>
    </row>
    <row r="2950" spans="8:9">
      <c r="H2950" s="1245"/>
      <c r="I2950" s="1245"/>
    </row>
    <row r="2951" spans="8:9">
      <c r="H2951" s="1245"/>
      <c r="I2951" s="1245"/>
    </row>
    <row r="2952" spans="8:9">
      <c r="H2952" s="1245"/>
      <c r="I2952" s="1245"/>
    </row>
    <row r="2953" spans="8:9">
      <c r="H2953" s="1245"/>
      <c r="I2953" s="1245"/>
    </row>
    <row r="2954" spans="8:9">
      <c r="H2954" s="1245"/>
      <c r="I2954" s="1245"/>
    </row>
    <row r="2955" spans="8:9">
      <c r="H2955" s="1245"/>
      <c r="I2955" s="1245"/>
    </row>
    <row r="2956" spans="8:9">
      <c r="H2956" s="1245"/>
      <c r="I2956" s="1245"/>
    </row>
    <row r="2957" spans="8:9">
      <c r="H2957" s="1245"/>
      <c r="I2957" s="1245"/>
    </row>
    <row r="2958" spans="8:9">
      <c r="H2958" s="1245"/>
      <c r="I2958" s="1245"/>
    </row>
    <row r="2959" spans="8:9">
      <c r="H2959" s="1245"/>
      <c r="I2959" s="1245"/>
    </row>
    <row r="2960" spans="8:9">
      <c r="H2960" s="1245"/>
      <c r="I2960" s="1245"/>
    </row>
    <row r="2961" spans="8:9">
      <c r="H2961" s="1245"/>
      <c r="I2961" s="1245"/>
    </row>
    <row r="2962" spans="8:9">
      <c r="H2962" s="1245"/>
      <c r="I2962" s="1245"/>
    </row>
    <row r="2963" spans="8:9">
      <c r="H2963" s="1245"/>
      <c r="I2963" s="1245"/>
    </row>
    <row r="2964" spans="8:9">
      <c r="H2964" s="1245"/>
      <c r="I2964" s="1245"/>
    </row>
    <row r="2965" spans="8:9">
      <c r="H2965" s="1245"/>
      <c r="I2965" s="1245"/>
    </row>
    <row r="2966" spans="8:9">
      <c r="H2966" s="1245"/>
      <c r="I2966" s="1245"/>
    </row>
    <row r="2967" spans="8:9">
      <c r="H2967" s="1245"/>
      <c r="I2967" s="1245"/>
    </row>
    <row r="2968" spans="8:9">
      <c r="H2968" s="1245"/>
      <c r="I2968" s="1245"/>
    </row>
    <row r="2969" spans="8:9">
      <c r="H2969" s="1245"/>
      <c r="I2969" s="1245"/>
    </row>
    <row r="2970" spans="8:9">
      <c r="H2970" s="1245"/>
      <c r="I2970" s="1245"/>
    </row>
    <row r="2971" spans="8:9">
      <c r="H2971" s="1245"/>
      <c r="I2971" s="1245"/>
    </row>
    <row r="2972" spans="8:9">
      <c r="H2972" s="1245"/>
      <c r="I2972" s="1245"/>
    </row>
    <row r="2973" spans="8:9">
      <c r="H2973" s="1245"/>
      <c r="I2973" s="1245"/>
    </row>
    <row r="2974" spans="8:9">
      <c r="H2974" s="1245"/>
      <c r="I2974" s="1245"/>
    </row>
    <row r="2975" spans="8:9">
      <c r="H2975" s="1245"/>
      <c r="I2975" s="1245"/>
    </row>
    <row r="2976" spans="8:9">
      <c r="H2976" s="1245"/>
      <c r="I2976" s="1245"/>
    </row>
    <row r="2977" spans="8:9">
      <c r="H2977" s="1245"/>
      <c r="I2977" s="1245"/>
    </row>
    <row r="2978" spans="8:9">
      <c r="H2978" s="1245"/>
      <c r="I2978" s="1245"/>
    </row>
    <row r="2979" spans="8:9">
      <c r="H2979" s="1245"/>
      <c r="I2979" s="1245"/>
    </row>
    <row r="2980" spans="8:9">
      <c r="H2980" s="1245"/>
      <c r="I2980" s="1245"/>
    </row>
    <row r="2981" spans="8:9">
      <c r="H2981" s="1245"/>
      <c r="I2981" s="1245"/>
    </row>
    <row r="2982" spans="8:9">
      <c r="H2982" s="1245"/>
      <c r="I2982" s="1245"/>
    </row>
    <row r="2983" spans="8:9">
      <c r="H2983" s="1245"/>
      <c r="I2983" s="1245"/>
    </row>
    <row r="2984" spans="8:9">
      <c r="H2984" s="1245"/>
      <c r="I2984" s="1245"/>
    </row>
    <row r="2985" spans="8:9">
      <c r="H2985" s="1245"/>
      <c r="I2985" s="1245"/>
    </row>
    <row r="2986" spans="8:9">
      <c r="H2986" s="1245"/>
      <c r="I2986" s="1245"/>
    </row>
    <row r="2987" spans="8:9">
      <c r="H2987" s="1245"/>
      <c r="I2987" s="1245"/>
    </row>
    <row r="2988" spans="8:9">
      <c r="H2988" s="1245"/>
      <c r="I2988" s="1245"/>
    </row>
    <row r="2989" spans="8:9">
      <c r="H2989" s="1245"/>
      <c r="I2989" s="1245"/>
    </row>
    <row r="2990" spans="8:9">
      <c r="H2990" s="1245"/>
      <c r="I2990" s="1245"/>
    </row>
    <row r="2991" spans="8:9">
      <c r="H2991" s="1245"/>
      <c r="I2991" s="1245"/>
    </row>
    <row r="2992" spans="8:9">
      <c r="H2992" s="1245"/>
      <c r="I2992" s="1245"/>
    </row>
    <row r="2993" spans="8:9">
      <c r="H2993" s="1245"/>
      <c r="I2993" s="1245"/>
    </row>
    <row r="2994" spans="8:9">
      <c r="H2994" s="1245"/>
      <c r="I2994" s="1245"/>
    </row>
    <row r="2995" spans="8:9">
      <c r="H2995" s="1245"/>
      <c r="I2995" s="1245"/>
    </row>
    <row r="2996" spans="8:9">
      <c r="H2996" s="1245"/>
      <c r="I2996" s="1245"/>
    </row>
    <row r="2997" spans="8:9">
      <c r="H2997" s="1245"/>
      <c r="I2997" s="1245"/>
    </row>
    <row r="2998" spans="8:9">
      <c r="H2998" s="1245"/>
      <c r="I2998" s="1245"/>
    </row>
    <row r="2999" spans="8:9">
      <c r="H2999" s="1245"/>
      <c r="I2999" s="1245"/>
    </row>
    <row r="3000" spans="8:9">
      <c r="H3000" s="1245"/>
      <c r="I3000" s="1245"/>
    </row>
    <row r="3001" spans="8:9">
      <c r="H3001" s="1245"/>
      <c r="I3001" s="1245"/>
    </row>
    <row r="3002" spans="8:9">
      <c r="H3002" s="1245"/>
      <c r="I3002" s="1245"/>
    </row>
    <row r="3003" spans="8:9">
      <c r="H3003" s="1245"/>
      <c r="I3003" s="1245"/>
    </row>
    <row r="3004" spans="8:9">
      <c r="H3004" s="1245"/>
      <c r="I3004" s="1245"/>
    </row>
    <row r="3005" spans="8:9">
      <c r="H3005" s="1245"/>
      <c r="I3005" s="1245"/>
    </row>
    <row r="3006" spans="8:9">
      <c r="H3006" s="1245"/>
      <c r="I3006" s="1245"/>
    </row>
    <row r="3007" spans="8:9">
      <c r="H3007" s="1245"/>
      <c r="I3007" s="1245"/>
    </row>
    <row r="3008" spans="8:9">
      <c r="H3008" s="1245"/>
      <c r="I3008" s="1245"/>
    </row>
    <row r="3009" spans="8:9">
      <c r="H3009" s="1245"/>
      <c r="I3009" s="1245"/>
    </row>
    <row r="3010" spans="8:9">
      <c r="H3010" s="1245"/>
      <c r="I3010" s="1245"/>
    </row>
    <row r="3011" spans="8:9">
      <c r="H3011" s="1245"/>
      <c r="I3011" s="1245"/>
    </row>
    <row r="3012" spans="8:9">
      <c r="H3012" s="1245"/>
      <c r="I3012" s="1245"/>
    </row>
    <row r="3013" spans="8:9">
      <c r="H3013" s="1245"/>
      <c r="I3013" s="1245"/>
    </row>
    <row r="3014" spans="8:9">
      <c r="H3014" s="1245"/>
      <c r="I3014" s="1245"/>
    </row>
    <row r="3015" spans="8:9">
      <c r="H3015" s="1245"/>
      <c r="I3015" s="1245"/>
    </row>
    <row r="3016" spans="8:9">
      <c r="H3016" s="1245"/>
      <c r="I3016" s="1245"/>
    </row>
    <row r="3017" spans="8:9">
      <c r="H3017" s="1245"/>
      <c r="I3017" s="1245"/>
    </row>
    <row r="3018" spans="8:9">
      <c r="H3018" s="1245"/>
      <c r="I3018" s="1245"/>
    </row>
    <row r="3019" spans="8:9">
      <c r="H3019" s="1245"/>
      <c r="I3019" s="1245"/>
    </row>
    <row r="3020" spans="8:9">
      <c r="H3020" s="1245"/>
      <c r="I3020" s="1245"/>
    </row>
    <row r="3021" spans="8:9">
      <c r="H3021" s="1245"/>
      <c r="I3021" s="1245"/>
    </row>
    <row r="3022" spans="8:9">
      <c r="H3022" s="1245"/>
      <c r="I3022" s="1245"/>
    </row>
    <row r="3023" spans="8:9">
      <c r="H3023" s="1245"/>
      <c r="I3023" s="1245"/>
    </row>
    <row r="3024" spans="8:9">
      <c r="H3024" s="1245"/>
      <c r="I3024" s="1245"/>
    </row>
    <row r="3025" spans="8:9">
      <c r="H3025" s="1245"/>
      <c r="I3025" s="1245"/>
    </row>
    <row r="3026" spans="8:9">
      <c r="H3026" s="1245"/>
      <c r="I3026" s="1245"/>
    </row>
    <row r="3027" spans="8:9">
      <c r="H3027" s="1245"/>
      <c r="I3027" s="1245"/>
    </row>
    <row r="3028" spans="8:9">
      <c r="H3028" s="1245"/>
      <c r="I3028" s="1245"/>
    </row>
    <row r="3029" spans="8:9">
      <c r="H3029" s="1245"/>
      <c r="I3029" s="1245"/>
    </row>
    <row r="3030" spans="8:9">
      <c r="H3030" s="1245"/>
      <c r="I3030" s="1245"/>
    </row>
    <row r="3031" spans="8:9">
      <c r="H3031" s="1245"/>
      <c r="I3031" s="1245"/>
    </row>
    <row r="3032" spans="8:9">
      <c r="H3032" s="1245"/>
      <c r="I3032" s="1245"/>
    </row>
    <row r="3033" spans="8:9">
      <c r="H3033" s="1245"/>
      <c r="I3033" s="1245"/>
    </row>
    <row r="3034" spans="8:9">
      <c r="H3034" s="1245"/>
      <c r="I3034" s="1245"/>
    </row>
    <row r="3035" spans="8:9">
      <c r="H3035" s="1245"/>
      <c r="I3035" s="1245"/>
    </row>
    <row r="3036" spans="8:9">
      <c r="H3036" s="1245"/>
      <c r="I3036" s="1245"/>
    </row>
    <row r="3037" spans="8:9">
      <c r="H3037" s="1245"/>
      <c r="I3037" s="1245"/>
    </row>
    <row r="3038" spans="8:9">
      <c r="H3038" s="1245"/>
      <c r="I3038" s="1245"/>
    </row>
    <row r="3039" spans="8:9">
      <c r="H3039" s="1245"/>
      <c r="I3039" s="1245"/>
    </row>
    <row r="3040" spans="8:9">
      <c r="H3040" s="1245"/>
      <c r="I3040" s="1245"/>
    </row>
    <row r="3041" spans="8:9">
      <c r="H3041" s="1245"/>
      <c r="I3041" s="1245"/>
    </row>
    <row r="3042" spans="8:9">
      <c r="H3042" s="1245"/>
      <c r="I3042" s="1245"/>
    </row>
    <row r="3043" spans="8:9">
      <c r="H3043" s="1245"/>
      <c r="I3043" s="1245"/>
    </row>
    <row r="3044" spans="8:9">
      <c r="H3044" s="1245"/>
      <c r="I3044" s="1245"/>
    </row>
    <row r="3045" spans="8:9">
      <c r="H3045" s="1245"/>
      <c r="I3045" s="1245"/>
    </row>
    <row r="3046" spans="8:9">
      <c r="H3046" s="1245"/>
      <c r="I3046" s="1245"/>
    </row>
    <row r="3047" spans="8:9">
      <c r="H3047" s="1245"/>
      <c r="I3047" s="1245"/>
    </row>
    <row r="3048" spans="8:9">
      <c r="H3048" s="1245"/>
      <c r="I3048" s="1245"/>
    </row>
    <row r="3049" spans="8:9">
      <c r="H3049" s="1245"/>
      <c r="I3049" s="1245"/>
    </row>
    <row r="3050" spans="8:9">
      <c r="H3050" s="1245"/>
      <c r="I3050" s="1245"/>
    </row>
    <row r="3051" spans="8:9">
      <c r="H3051" s="1245"/>
      <c r="I3051" s="1245"/>
    </row>
    <row r="3052" spans="8:9">
      <c r="H3052" s="1245"/>
      <c r="I3052" s="1245"/>
    </row>
    <row r="3053" spans="8:9">
      <c r="H3053" s="1245"/>
      <c r="I3053" s="1245"/>
    </row>
    <row r="3054" spans="8:9">
      <c r="H3054" s="1245"/>
      <c r="I3054" s="1245"/>
    </row>
    <row r="3055" spans="8:9">
      <c r="H3055" s="1245"/>
      <c r="I3055" s="1245"/>
    </row>
    <row r="3056" spans="8:9">
      <c r="H3056" s="1245"/>
      <c r="I3056" s="1245"/>
    </row>
    <row r="3057" spans="8:9">
      <c r="H3057" s="1245"/>
      <c r="I3057" s="1245"/>
    </row>
    <row r="3058" spans="8:9">
      <c r="H3058" s="1245"/>
      <c r="I3058" s="1245"/>
    </row>
    <row r="3059" spans="8:9">
      <c r="H3059" s="1245"/>
      <c r="I3059" s="1245"/>
    </row>
    <row r="3060" spans="8:9">
      <c r="H3060" s="1245"/>
      <c r="I3060" s="1245"/>
    </row>
    <row r="3061" spans="8:9">
      <c r="H3061" s="1245"/>
      <c r="I3061" s="1245"/>
    </row>
    <row r="3062" spans="8:9">
      <c r="H3062" s="1245"/>
      <c r="I3062" s="1245"/>
    </row>
    <row r="3063" spans="8:9">
      <c r="H3063" s="1245"/>
      <c r="I3063" s="1245"/>
    </row>
    <row r="3064" spans="8:9">
      <c r="H3064" s="1245"/>
      <c r="I3064" s="1245"/>
    </row>
    <row r="3065" spans="8:9">
      <c r="H3065" s="1245"/>
      <c r="I3065" s="1245"/>
    </row>
    <row r="3066" spans="8:9">
      <c r="H3066" s="1245"/>
      <c r="I3066" s="1245"/>
    </row>
    <row r="3067" spans="8:9">
      <c r="H3067" s="1245"/>
      <c r="I3067" s="1245"/>
    </row>
    <row r="3068" spans="8:9">
      <c r="H3068" s="1245"/>
      <c r="I3068" s="1245"/>
    </row>
    <row r="3069" spans="8:9">
      <c r="H3069" s="1245"/>
      <c r="I3069" s="1245"/>
    </row>
    <row r="3070" spans="8:9">
      <c r="H3070" s="1245"/>
      <c r="I3070" s="1245"/>
    </row>
    <row r="3071" spans="8:9">
      <c r="H3071" s="1245"/>
      <c r="I3071" s="1245"/>
    </row>
    <row r="3072" spans="8:9">
      <c r="H3072" s="1245"/>
      <c r="I3072" s="1245"/>
    </row>
    <row r="3073" spans="8:9">
      <c r="H3073" s="1245"/>
      <c r="I3073" s="1245"/>
    </row>
    <row r="3074" spans="8:9">
      <c r="H3074" s="1245"/>
      <c r="I3074" s="1245"/>
    </row>
    <row r="3075" spans="8:9">
      <c r="H3075" s="1245"/>
      <c r="I3075" s="1245"/>
    </row>
    <row r="3076" spans="8:9">
      <c r="H3076" s="1245"/>
      <c r="I3076" s="1245"/>
    </row>
    <row r="3077" spans="8:9">
      <c r="H3077" s="1245"/>
      <c r="I3077" s="1245"/>
    </row>
    <row r="3078" spans="8:9">
      <c r="H3078" s="1245"/>
      <c r="I3078" s="1245"/>
    </row>
    <row r="3079" spans="8:9">
      <c r="H3079" s="1245"/>
      <c r="I3079" s="1245"/>
    </row>
    <row r="3080" spans="8:9">
      <c r="H3080" s="1245"/>
      <c r="I3080" s="1245"/>
    </row>
    <row r="3081" spans="8:9">
      <c r="H3081" s="1245"/>
      <c r="I3081" s="1245"/>
    </row>
    <row r="3082" spans="8:9">
      <c r="H3082" s="1245"/>
      <c r="I3082" s="1245"/>
    </row>
    <row r="3083" spans="8:9">
      <c r="H3083" s="1245"/>
      <c r="I3083" s="1245"/>
    </row>
    <row r="3084" spans="8:9">
      <c r="H3084" s="1245"/>
      <c r="I3084" s="1245"/>
    </row>
    <row r="3085" spans="8:9">
      <c r="H3085" s="1245"/>
      <c r="I3085" s="1245"/>
    </row>
    <row r="3086" spans="8:9">
      <c r="H3086" s="1245"/>
      <c r="I3086" s="1245"/>
    </row>
    <row r="3087" spans="8:9">
      <c r="H3087" s="1245"/>
      <c r="I3087" s="1245"/>
    </row>
    <row r="3088" spans="8:9">
      <c r="H3088" s="1245"/>
      <c r="I3088" s="1245"/>
    </row>
    <row r="3089" spans="8:9">
      <c r="H3089" s="1245"/>
      <c r="I3089" s="1245"/>
    </row>
    <row r="3090" spans="8:9">
      <c r="H3090" s="1245"/>
      <c r="I3090" s="1245"/>
    </row>
    <row r="3091" spans="8:9">
      <c r="H3091" s="1245"/>
      <c r="I3091" s="1245"/>
    </row>
    <row r="3092" spans="8:9">
      <c r="H3092" s="1245"/>
      <c r="I3092" s="1245"/>
    </row>
    <row r="3093" spans="8:9">
      <c r="H3093" s="1245"/>
      <c r="I3093" s="1245"/>
    </row>
    <row r="3094" spans="8:9">
      <c r="H3094" s="1245"/>
      <c r="I3094" s="1245"/>
    </row>
    <row r="3095" spans="8:9">
      <c r="H3095" s="1245"/>
      <c r="I3095" s="1245"/>
    </row>
    <row r="3096" spans="8:9">
      <c r="H3096" s="1245"/>
      <c r="I3096" s="1245"/>
    </row>
    <row r="3097" spans="8:9">
      <c r="H3097" s="1245"/>
      <c r="I3097" s="1245"/>
    </row>
    <row r="3098" spans="8:9">
      <c r="H3098" s="1245"/>
      <c r="I3098" s="1245"/>
    </row>
    <row r="3099" spans="8:9">
      <c r="H3099" s="1245"/>
      <c r="I3099" s="1245"/>
    </row>
    <row r="3100" spans="8:9">
      <c r="H3100" s="1245"/>
      <c r="I3100" s="1245"/>
    </row>
    <row r="3101" spans="8:9">
      <c r="H3101" s="1245"/>
      <c r="I3101" s="1245"/>
    </row>
    <row r="3102" spans="8:9">
      <c r="H3102" s="1245"/>
      <c r="I3102" s="1245"/>
    </row>
    <row r="3103" spans="8:9">
      <c r="H3103" s="1245"/>
      <c r="I3103" s="1245"/>
    </row>
    <row r="3104" spans="8:9">
      <c r="H3104" s="1245"/>
      <c r="I3104" s="1245"/>
    </row>
    <row r="3105" spans="8:9">
      <c r="H3105" s="1245"/>
      <c r="I3105" s="1245"/>
    </row>
    <row r="3106" spans="8:9">
      <c r="H3106" s="1245"/>
      <c r="I3106" s="1245"/>
    </row>
    <row r="3107" spans="8:9">
      <c r="H3107" s="1245"/>
      <c r="I3107" s="1245"/>
    </row>
    <row r="3108" spans="8:9">
      <c r="H3108" s="1245"/>
      <c r="I3108" s="1245"/>
    </row>
    <row r="3109" spans="8:9">
      <c r="H3109" s="1245"/>
      <c r="I3109" s="1245"/>
    </row>
    <row r="3110" spans="8:9">
      <c r="H3110" s="1245"/>
      <c r="I3110" s="1245"/>
    </row>
    <row r="3111" spans="8:9">
      <c r="H3111" s="1245"/>
      <c r="I3111" s="1245"/>
    </row>
    <row r="3112" spans="8:9">
      <c r="H3112" s="1245"/>
      <c r="I3112" s="1245"/>
    </row>
    <row r="3113" spans="8:9">
      <c r="H3113" s="1245"/>
      <c r="I3113" s="1245"/>
    </row>
    <row r="3114" spans="8:9">
      <c r="H3114" s="1245"/>
      <c r="I3114" s="1245"/>
    </row>
    <row r="3115" spans="8:9">
      <c r="H3115" s="1245"/>
      <c r="I3115" s="1245"/>
    </row>
    <row r="3116" spans="8:9">
      <c r="H3116" s="1245"/>
      <c r="I3116" s="1245"/>
    </row>
    <row r="3117" spans="8:9">
      <c r="H3117" s="1245"/>
      <c r="I3117" s="1245"/>
    </row>
    <row r="3118" spans="8:9">
      <c r="H3118" s="1245"/>
      <c r="I3118" s="1245"/>
    </row>
    <row r="3119" spans="8:9">
      <c r="H3119" s="1245"/>
      <c r="I3119" s="1245"/>
    </row>
    <row r="3120" spans="8:9">
      <c r="H3120" s="1245"/>
      <c r="I3120" s="1245"/>
    </row>
    <row r="3121" spans="8:9">
      <c r="H3121" s="1245"/>
      <c r="I3121" s="1245"/>
    </row>
    <row r="3122" spans="8:9">
      <c r="H3122" s="1245"/>
      <c r="I3122" s="1245"/>
    </row>
    <row r="3123" spans="8:9">
      <c r="H3123" s="1245"/>
      <c r="I3123" s="1245"/>
    </row>
    <row r="3124" spans="8:9">
      <c r="H3124" s="1245"/>
      <c r="I3124" s="1245"/>
    </row>
    <row r="3125" spans="8:9">
      <c r="H3125" s="1245"/>
      <c r="I3125" s="1245"/>
    </row>
    <row r="3126" spans="8:9">
      <c r="H3126" s="1245"/>
      <c r="I3126" s="1245"/>
    </row>
    <row r="3127" spans="8:9">
      <c r="H3127" s="1245"/>
      <c r="I3127" s="1245"/>
    </row>
    <row r="3128" spans="8:9">
      <c r="H3128" s="1245"/>
      <c r="I3128" s="1245"/>
    </row>
    <row r="3129" spans="8:9">
      <c r="H3129" s="1245"/>
      <c r="I3129" s="1245"/>
    </row>
    <row r="3130" spans="8:9">
      <c r="H3130" s="1245"/>
      <c r="I3130" s="1245"/>
    </row>
    <row r="3131" spans="8:9">
      <c r="H3131" s="1245"/>
      <c r="I3131" s="1245"/>
    </row>
    <row r="3132" spans="8:9">
      <c r="H3132" s="1245"/>
      <c r="I3132" s="1245"/>
    </row>
    <row r="3133" spans="8:9">
      <c r="H3133" s="1245"/>
      <c r="I3133" s="1245"/>
    </row>
    <row r="3134" spans="8:9">
      <c r="H3134" s="1245"/>
      <c r="I3134" s="1245"/>
    </row>
    <row r="3135" spans="8:9">
      <c r="H3135" s="1245"/>
      <c r="I3135" s="1245"/>
    </row>
    <row r="3136" spans="8:9">
      <c r="H3136" s="1245"/>
      <c r="I3136" s="1245"/>
    </row>
    <row r="3137" spans="8:9">
      <c r="H3137" s="1245"/>
      <c r="I3137" s="1245"/>
    </row>
    <row r="3138" spans="8:9">
      <c r="H3138" s="1245"/>
      <c r="I3138" s="1245"/>
    </row>
    <row r="3139" spans="8:9">
      <c r="H3139" s="1245"/>
      <c r="I3139" s="1245"/>
    </row>
    <row r="3140" spans="8:9">
      <c r="H3140" s="1245"/>
      <c r="I3140" s="1245"/>
    </row>
    <row r="3141" spans="8:9">
      <c r="H3141" s="1245"/>
      <c r="I3141" s="1245"/>
    </row>
    <row r="3142" spans="8:9">
      <c r="H3142" s="1245"/>
      <c r="I3142" s="1245"/>
    </row>
    <row r="3143" spans="8:9">
      <c r="H3143" s="1245"/>
      <c r="I3143" s="1245"/>
    </row>
    <row r="3144" spans="8:9">
      <c r="H3144" s="1245"/>
      <c r="I3144" s="1245"/>
    </row>
    <row r="3145" spans="8:9">
      <c r="H3145" s="1245"/>
      <c r="I3145" s="1245"/>
    </row>
    <row r="3146" spans="8:9">
      <c r="H3146" s="1245"/>
      <c r="I3146" s="1245"/>
    </row>
    <row r="3147" spans="8:9">
      <c r="H3147" s="1245"/>
      <c r="I3147" s="1245"/>
    </row>
    <row r="3148" spans="8:9">
      <c r="H3148" s="1245"/>
      <c r="I3148" s="1245"/>
    </row>
    <row r="3149" spans="8:9">
      <c r="H3149" s="1245"/>
      <c r="I3149" s="1245"/>
    </row>
    <row r="3150" spans="8:9">
      <c r="H3150" s="1245"/>
      <c r="I3150" s="1245"/>
    </row>
    <row r="3151" spans="8:9">
      <c r="H3151" s="1245"/>
      <c r="I3151" s="1245"/>
    </row>
    <row r="3152" spans="8:9">
      <c r="H3152" s="1245"/>
      <c r="I3152" s="1245"/>
    </row>
    <row r="3153" spans="8:9">
      <c r="H3153" s="1245"/>
      <c r="I3153" s="1245"/>
    </row>
    <row r="3154" spans="8:9">
      <c r="H3154" s="1245"/>
      <c r="I3154" s="1245"/>
    </row>
    <row r="3155" spans="8:9">
      <c r="H3155" s="1245"/>
      <c r="I3155" s="1245"/>
    </row>
    <row r="3156" spans="8:9">
      <c r="H3156" s="1245"/>
      <c r="I3156" s="1245"/>
    </row>
    <row r="3157" spans="8:9">
      <c r="H3157" s="1245"/>
      <c r="I3157" s="1245"/>
    </row>
    <row r="3158" spans="8:9">
      <c r="H3158" s="1245"/>
      <c r="I3158" s="1245"/>
    </row>
    <row r="3159" spans="8:9">
      <c r="H3159" s="1245"/>
      <c r="I3159" s="1245"/>
    </row>
    <row r="3160" spans="8:9">
      <c r="H3160" s="1245"/>
      <c r="I3160" s="1245"/>
    </row>
    <row r="3161" spans="8:9">
      <c r="H3161" s="1245"/>
      <c r="I3161" s="1245"/>
    </row>
    <row r="3162" spans="8:9">
      <c r="H3162" s="1245"/>
      <c r="I3162" s="1245"/>
    </row>
    <row r="3163" spans="8:9">
      <c r="H3163" s="1245"/>
      <c r="I3163" s="1245"/>
    </row>
    <row r="3164" spans="8:9">
      <c r="H3164" s="1245"/>
      <c r="I3164" s="1245"/>
    </row>
    <row r="3165" spans="8:9">
      <c r="H3165" s="1245"/>
      <c r="I3165" s="1245"/>
    </row>
    <row r="3166" spans="8:9">
      <c r="H3166" s="1245"/>
      <c r="I3166" s="1245"/>
    </row>
    <row r="3167" spans="8:9">
      <c r="H3167" s="1245"/>
      <c r="I3167" s="1245"/>
    </row>
    <row r="3168" spans="8:9">
      <c r="H3168" s="1245"/>
      <c r="I3168" s="1245"/>
    </row>
    <row r="3169" spans="8:9">
      <c r="H3169" s="1245"/>
      <c r="I3169" s="1245"/>
    </row>
    <row r="3170" spans="8:9">
      <c r="H3170" s="1245"/>
      <c r="I3170" s="1245"/>
    </row>
    <row r="3171" spans="8:9">
      <c r="H3171" s="1245"/>
      <c r="I3171" s="1245"/>
    </row>
    <row r="3172" spans="8:9">
      <c r="H3172" s="1245"/>
      <c r="I3172" s="1245"/>
    </row>
    <row r="3173" spans="8:9">
      <c r="H3173" s="1245"/>
      <c r="I3173" s="1245"/>
    </row>
    <row r="3174" spans="8:9">
      <c r="H3174" s="1245"/>
      <c r="I3174" s="1245"/>
    </row>
    <row r="3175" spans="8:9">
      <c r="H3175" s="1245"/>
      <c r="I3175" s="1245"/>
    </row>
    <row r="3176" spans="8:9">
      <c r="H3176" s="1245"/>
      <c r="I3176" s="1245"/>
    </row>
    <row r="3177" spans="8:9">
      <c r="H3177" s="1245"/>
      <c r="I3177" s="1245"/>
    </row>
    <row r="3178" spans="8:9">
      <c r="H3178" s="1245"/>
      <c r="I3178" s="1245"/>
    </row>
    <row r="3179" spans="8:9">
      <c r="H3179" s="1245"/>
      <c r="I3179" s="1245"/>
    </row>
    <row r="3180" spans="8:9">
      <c r="H3180" s="1245"/>
      <c r="I3180" s="1245"/>
    </row>
    <row r="3181" spans="8:9">
      <c r="H3181" s="1245"/>
      <c r="I3181" s="1245"/>
    </row>
    <row r="3182" spans="8:9">
      <c r="H3182" s="1245"/>
      <c r="I3182" s="1245"/>
    </row>
    <row r="3183" spans="8:9">
      <c r="H3183" s="1245"/>
      <c r="I3183" s="1245"/>
    </row>
    <row r="3184" spans="8:9">
      <c r="H3184" s="1245"/>
      <c r="I3184" s="1245"/>
    </row>
    <row r="3185" spans="8:9">
      <c r="H3185" s="1245"/>
      <c r="I3185" s="1245"/>
    </row>
    <row r="3186" spans="8:9">
      <c r="H3186" s="1245"/>
      <c r="I3186" s="1245"/>
    </row>
    <row r="3187" spans="8:9">
      <c r="H3187" s="1245"/>
      <c r="I3187" s="1245"/>
    </row>
    <row r="3188" spans="8:9">
      <c r="H3188" s="1245"/>
      <c r="I3188" s="1245"/>
    </row>
    <row r="3189" spans="8:9">
      <c r="H3189" s="1245"/>
      <c r="I3189" s="1245"/>
    </row>
    <row r="3190" spans="8:9">
      <c r="H3190" s="1245"/>
      <c r="I3190" s="1245"/>
    </row>
    <row r="3191" spans="8:9">
      <c r="H3191" s="1245"/>
      <c r="I3191" s="1245"/>
    </row>
    <row r="3192" spans="8:9">
      <c r="H3192" s="1245"/>
      <c r="I3192" s="1245"/>
    </row>
    <row r="3193" spans="8:9">
      <c r="H3193" s="1245"/>
      <c r="I3193" s="1245"/>
    </row>
    <row r="3194" spans="8:9">
      <c r="H3194" s="1245"/>
      <c r="I3194" s="1245"/>
    </row>
    <row r="3195" spans="8:9">
      <c r="H3195" s="1245"/>
      <c r="I3195" s="1245"/>
    </row>
    <row r="3196" spans="8:9">
      <c r="H3196" s="1245"/>
      <c r="I3196" s="1245"/>
    </row>
    <row r="3197" spans="8:9">
      <c r="H3197" s="1245"/>
      <c r="I3197" s="1245"/>
    </row>
    <row r="3198" spans="8:9">
      <c r="H3198" s="1245"/>
      <c r="I3198" s="1245"/>
    </row>
    <row r="3199" spans="8:9">
      <c r="H3199" s="1245"/>
      <c r="I3199" s="1245"/>
    </row>
    <row r="3200" spans="8:9">
      <c r="H3200" s="1245"/>
      <c r="I3200" s="1245"/>
    </row>
    <row r="3201" spans="8:9">
      <c r="H3201" s="1245"/>
      <c r="I3201" s="1245"/>
    </row>
    <row r="3202" spans="8:9">
      <c r="H3202" s="1245"/>
      <c r="I3202" s="1245"/>
    </row>
    <row r="3203" spans="8:9">
      <c r="H3203" s="1245"/>
      <c r="I3203" s="1245"/>
    </row>
    <row r="3204" spans="8:9">
      <c r="H3204" s="1245"/>
      <c r="I3204" s="1245"/>
    </row>
    <row r="3205" spans="8:9">
      <c r="H3205" s="1245"/>
      <c r="I3205" s="1245"/>
    </row>
    <row r="3206" spans="8:9">
      <c r="H3206" s="1245"/>
      <c r="I3206" s="1245"/>
    </row>
    <row r="3207" spans="8:9">
      <c r="H3207" s="1245"/>
      <c r="I3207" s="1245"/>
    </row>
    <row r="3208" spans="8:9">
      <c r="H3208" s="1245"/>
      <c r="I3208" s="1245"/>
    </row>
    <row r="3209" spans="8:9">
      <c r="H3209" s="1245"/>
      <c r="I3209" s="1245"/>
    </row>
    <row r="3210" spans="8:9">
      <c r="H3210" s="1245"/>
      <c r="I3210" s="1245"/>
    </row>
    <row r="3211" spans="8:9">
      <c r="H3211" s="1245"/>
      <c r="I3211" s="1245"/>
    </row>
    <row r="3212" spans="8:9">
      <c r="H3212" s="1245"/>
      <c r="I3212" s="1245"/>
    </row>
    <row r="3213" spans="8:9">
      <c r="H3213" s="1245"/>
      <c r="I3213" s="1245"/>
    </row>
    <row r="3214" spans="8:9">
      <c r="H3214" s="1245"/>
      <c r="I3214" s="1245"/>
    </row>
    <row r="3215" spans="8:9">
      <c r="H3215" s="1245"/>
      <c r="I3215" s="1245"/>
    </row>
    <row r="3216" spans="8:9">
      <c r="H3216" s="1245"/>
      <c r="I3216" s="1245"/>
    </row>
    <row r="3217" spans="8:9">
      <c r="H3217" s="1245"/>
      <c r="I3217" s="1245"/>
    </row>
    <row r="3218" spans="8:9">
      <c r="H3218" s="1245"/>
      <c r="I3218" s="1245"/>
    </row>
    <row r="3219" spans="8:9">
      <c r="H3219" s="1245"/>
      <c r="I3219" s="1245"/>
    </row>
    <row r="3220" spans="8:9">
      <c r="H3220" s="1245"/>
      <c r="I3220" s="1245"/>
    </row>
    <row r="3221" spans="8:9">
      <c r="H3221" s="1245"/>
      <c r="I3221" s="1245"/>
    </row>
    <row r="3222" spans="8:9">
      <c r="H3222" s="1245"/>
      <c r="I3222" s="1245"/>
    </row>
    <row r="3223" spans="8:9">
      <c r="H3223" s="1245"/>
      <c r="I3223" s="1245"/>
    </row>
    <row r="3224" spans="8:9">
      <c r="H3224" s="1245"/>
      <c r="I3224" s="1245"/>
    </row>
    <row r="3225" spans="8:9">
      <c r="H3225" s="1245"/>
      <c r="I3225" s="1245"/>
    </row>
    <row r="3226" spans="8:9">
      <c r="H3226" s="1245"/>
      <c r="I3226" s="1245"/>
    </row>
    <row r="3227" spans="8:9">
      <c r="H3227" s="1245"/>
      <c r="I3227" s="1245"/>
    </row>
    <row r="3228" spans="8:9">
      <c r="H3228" s="1245"/>
      <c r="I3228" s="1245"/>
    </row>
    <row r="3229" spans="8:9">
      <c r="H3229" s="1245"/>
      <c r="I3229" s="1245"/>
    </row>
    <row r="3230" spans="8:9">
      <c r="H3230" s="1245"/>
      <c r="I3230" s="1245"/>
    </row>
    <row r="3231" spans="8:9">
      <c r="H3231" s="1245"/>
      <c r="I3231" s="1245"/>
    </row>
    <row r="3232" spans="8:9">
      <c r="H3232" s="1245"/>
      <c r="I3232" s="1245"/>
    </row>
    <row r="3233" spans="8:9">
      <c r="H3233" s="1245"/>
      <c r="I3233" s="1245"/>
    </row>
    <row r="3234" spans="8:9">
      <c r="H3234" s="1245"/>
      <c r="I3234" s="1245"/>
    </row>
    <row r="3235" spans="8:9">
      <c r="H3235" s="1245"/>
      <c r="I3235" s="1245"/>
    </row>
    <row r="3236" spans="8:9">
      <c r="H3236" s="1245"/>
      <c r="I3236" s="1245"/>
    </row>
    <row r="3237" spans="8:9">
      <c r="H3237" s="1245"/>
      <c r="I3237" s="1245"/>
    </row>
    <row r="3238" spans="8:9">
      <c r="H3238" s="1245"/>
      <c r="I3238" s="1245"/>
    </row>
    <row r="3239" spans="8:9">
      <c r="H3239" s="1245"/>
      <c r="I3239" s="1245"/>
    </row>
    <row r="3240" spans="8:9">
      <c r="H3240" s="1245"/>
      <c r="I3240" s="1245"/>
    </row>
    <row r="3241" spans="8:9">
      <c r="H3241" s="1245"/>
      <c r="I3241" s="1245"/>
    </row>
    <row r="3242" spans="8:9">
      <c r="H3242" s="1245"/>
      <c r="I3242" s="1245"/>
    </row>
    <row r="3243" spans="8:9">
      <c r="H3243" s="1245"/>
      <c r="I3243" s="1245"/>
    </row>
    <row r="3244" spans="8:9">
      <c r="H3244" s="1245"/>
      <c r="I3244" s="1245"/>
    </row>
    <row r="3245" spans="8:9">
      <c r="H3245" s="1245"/>
      <c r="I3245" s="1245"/>
    </row>
    <row r="3246" spans="8:9">
      <c r="H3246" s="1245"/>
      <c r="I3246" s="1245"/>
    </row>
    <row r="3247" spans="8:9">
      <c r="H3247" s="1245"/>
      <c r="I3247" s="1245"/>
    </row>
    <row r="3248" spans="8:9">
      <c r="H3248" s="1245"/>
      <c r="I3248" s="1245"/>
    </row>
    <row r="3249" spans="8:9">
      <c r="H3249" s="1245"/>
      <c r="I3249" s="1245"/>
    </row>
    <row r="3250" spans="8:9">
      <c r="H3250" s="1245"/>
      <c r="I3250" s="1245"/>
    </row>
    <row r="3251" spans="8:9">
      <c r="H3251" s="1245"/>
      <c r="I3251" s="1245"/>
    </row>
    <row r="3252" spans="8:9">
      <c r="H3252" s="1245"/>
      <c r="I3252" s="1245"/>
    </row>
    <row r="3253" spans="8:9">
      <c r="H3253" s="1245"/>
      <c r="I3253" s="1245"/>
    </row>
    <row r="3254" spans="8:9">
      <c r="H3254" s="1245"/>
      <c r="I3254" s="1245"/>
    </row>
    <row r="3255" spans="8:9">
      <c r="H3255" s="1245"/>
      <c r="I3255" s="1245"/>
    </row>
    <row r="3256" spans="8:9">
      <c r="H3256" s="1245"/>
      <c r="I3256" s="1245"/>
    </row>
    <row r="3257" spans="8:9">
      <c r="H3257" s="1245"/>
      <c r="I3257" s="1245"/>
    </row>
    <row r="3258" spans="8:9">
      <c r="H3258" s="1245"/>
      <c r="I3258" s="1245"/>
    </row>
    <row r="3259" spans="8:9">
      <c r="H3259" s="1245"/>
      <c r="I3259" s="1245"/>
    </row>
    <row r="3260" spans="8:9">
      <c r="H3260" s="1245"/>
      <c r="I3260" s="1245"/>
    </row>
    <row r="3261" spans="8:9">
      <c r="H3261" s="1245"/>
      <c r="I3261" s="1245"/>
    </row>
    <row r="3262" spans="8:9">
      <c r="H3262" s="1245"/>
      <c r="I3262" s="1245"/>
    </row>
    <row r="3263" spans="8:9">
      <c r="H3263" s="1245"/>
      <c r="I3263" s="1245"/>
    </row>
    <row r="3264" spans="8:9">
      <c r="H3264" s="1245"/>
      <c r="I3264" s="1245"/>
    </row>
    <row r="3265" spans="8:9">
      <c r="H3265" s="1245"/>
      <c r="I3265" s="1245"/>
    </row>
    <row r="3266" spans="8:9">
      <c r="H3266" s="1245"/>
      <c r="I3266" s="1245"/>
    </row>
    <row r="3267" spans="8:9">
      <c r="H3267" s="1245"/>
      <c r="I3267" s="1245"/>
    </row>
    <row r="3268" spans="8:9">
      <c r="H3268" s="1245"/>
      <c r="I3268" s="1245"/>
    </row>
    <row r="3269" spans="8:9">
      <c r="H3269" s="1245"/>
      <c r="I3269" s="1245"/>
    </row>
    <row r="3270" spans="8:9">
      <c r="H3270" s="1245"/>
      <c r="I3270" s="1245"/>
    </row>
    <row r="3271" spans="8:9">
      <c r="H3271" s="1245"/>
      <c r="I3271" s="1245"/>
    </row>
    <row r="3272" spans="8:9">
      <c r="H3272" s="1245"/>
      <c r="I3272" s="1245"/>
    </row>
    <row r="3273" spans="8:9">
      <c r="H3273" s="1245"/>
      <c r="I3273" s="1245"/>
    </row>
    <row r="3274" spans="8:9">
      <c r="H3274" s="1245"/>
      <c r="I3274" s="1245"/>
    </row>
    <row r="3275" spans="8:9">
      <c r="H3275" s="1245"/>
      <c r="I3275" s="1245"/>
    </row>
    <row r="3276" spans="8:9">
      <c r="H3276" s="1245"/>
      <c r="I3276" s="1245"/>
    </row>
    <row r="3277" spans="8:9">
      <c r="H3277" s="1245"/>
      <c r="I3277" s="1245"/>
    </row>
    <row r="3278" spans="8:9">
      <c r="H3278" s="1245"/>
      <c r="I3278" s="1245"/>
    </row>
    <row r="3279" spans="8:9">
      <c r="H3279" s="1245"/>
      <c r="I3279" s="1245"/>
    </row>
    <row r="3280" spans="8:9">
      <c r="H3280" s="1245"/>
      <c r="I3280" s="1245"/>
    </row>
    <row r="3281" spans="8:9">
      <c r="H3281" s="1245"/>
      <c r="I3281" s="1245"/>
    </row>
    <row r="3282" spans="8:9">
      <c r="H3282" s="1245"/>
      <c r="I3282" s="1245"/>
    </row>
    <row r="3283" spans="8:9">
      <c r="H3283" s="1245"/>
      <c r="I3283" s="1245"/>
    </row>
    <row r="3284" spans="8:9">
      <c r="H3284" s="1245"/>
      <c r="I3284" s="1245"/>
    </row>
    <row r="3285" spans="8:9">
      <c r="H3285" s="1245"/>
      <c r="I3285" s="1245"/>
    </row>
    <row r="3286" spans="8:9">
      <c r="H3286" s="1245"/>
      <c r="I3286" s="1245"/>
    </row>
    <row r="3287" spans="8:9">
      <c r="H3287" s="1245"/>
      <c r="I3287" s="1245"/>
    </row>
    <row r="3288" spans="8:9">
      <c r="H3288" s="1245"/>
      <c r="I3288" s="1245"/>
    </row>
    <row r="3289" spans="8:9">
      <c r="H3289" s="1245"/>
      <c r="I3289" s="1245"/>
    </row>
    <row r="3290" spans="8:9">
      <c r="H3290" s="1245"/>
      <c r="I3290" s="1245"/>
    </row>
    <row r="3291" spans="8:9">
      <c r="H3291" s="1245"/>
      <c r="I3291" s="1245"/>
    </row>
    <row r="3292" spans="8:9">
      <c r="H3292" s="1245"/>
      <c r="I3292" s="1245"/>
    </row>
    <row r="3293" spans="8:9">
      <c r="H3293" s="1245"/>
      <c r="I3293" s="1245"/>
    </row>
    <row r="3294" spans="8:9">
      <c r="H3294" s="1245"/>
      <c r="I3294" s="1245"/>
    </row>
    <row r="3295" spans="8:9">
      <c r="H3295" s="1245"/>
      <c r="I3295" s="1245"/>
    </row>
    <row r="3296" spans="8:9">
      <c r="H3296" s="1245"/>
      <c r="I3296" s="1245"/>
    </row>
    <row r="3297" spans="8:9">
      <c r="H3297" s="1245"/>
      <c r="I3297" s="1245"/>
    </row>
    <row r="3298" spans="8:9">
      <c r="H3298" s="1245"/>
      <c r="I3298" s="1245"/>
    </row>
    <row r="3299" spans="8:9">
      <c r="H3299" s="1245"/>
      <c r="I3299" s="1245"/>
    </row>
    <row r="3300" spans="8:9">
      <c r="H3300" s="1245"/>
      <c r="I3300" s="1245"/>
    </row>
    <row r="3301" spans="8:9">
      <c r="H3301" s="1245"/>
      <c r="I3301" s="1245"/>
    </row>
    <row r="3302" spans="8:9">
      <c r="H3302" s="1245"/>
      <c r="I3302" s="1245"/>
    </row>
    <row r="3303" spans="8:9">
      <c r="H3303" s="1245"/>
      <c r="I3303" s="1245"/>
    </row>
    <row r="3304" spans="8:9">
      <c r="H3304" s="1245"/>
      <c r="I3304" s="1245"/>
    </row>
    <row r="3305" spans="8:9">
      <c r="H3305" s="1245"/>
      <c r="I3305" s="1245"/>
    </row>
    <row r="3306" spans="8:9">
      <c r="H3306" s="1245"/>
      <c r="I3306" s="1245"/>
    </row>
    <row r="3307" spans="8:9">
      <c r="H3307" s="1245"/>
      <c r="I3307" s="1245"/>
    </row>
    <row r="3308" spans="8:9">
      <c r="H3308" s="1245"/>
      <c r="I3308" s="1245"/>
    </row>
    <row r="3309" spans="8:9">
      <c r="H3309" s="1245"/>
      <c r="I3309" s="1245"/>
    </row>
    <row r="3310" spans="8:9">
      <c r="H3310" s="1245"/>
      <c r="I3310" s="1245"/>
    </row>
    <row r="3311" spans="8:9">
      <c r="H3311" s="1245"/>
      <c r="I3311" s="1245"/>
    </row>
    <row r="3312" spans="8:9">
      <c r="H3312" s="1245"/>
      <c r="I3312" s="1245"/>
    </row>
    <row r="3313" spans="8:9">
      <c r="H3313" s="1245"/>
      <c r="I3313" s="1245"/>
    </row>
    <row r="3314" spans="8:9">
      <c r="H3314" s="1245"/>
      <c r="I3314" s="1245"/>
    </row>
    <row r="3315" spans="8:9">
      <c r="H3315" s="1245"/>
      <c r="I3315" s="1245"/>
    </row>
    <row r="3316" spans="8:9">
      <c r="H3316" s="1245"/>
      <c r="I3316" s="1245"/>
    </row>
    <row r="3317" spans="8:9">
      <c r="H3317" s="1245"/>
      <c r="I3317" s="1245"/>
    </row>
    <row r="3318" spans="8:9">
      <c r="H3318" s="1245"/>
      <c r="I3318" s="1245"/>
    </row>
    <row r="3319" spans="8:9">
      <c r="H3319" s="1245"/>
      <c r="I3319" s="1245"/>
    </row>
    <row r="3320" spans="8:9">
      <c r="H3320" s="1245"/>
      <c r="I3320" s="1245"/>
    </row>
    <row r="3321" spans="8:9">
      <c r="H3321" s="1245"/>
      <c r="I3321" s="1245"/>
    </row>
    <row r="3322" spans="8:9">
      <c r="H3322" s="1245"/>
      <c r="I3322" s="1245"/>
    </row>
    <row r="3323" spans="8:9">
      <c r="H3323" s="1245"/>
      <c r="I3323" s="1245"/>
    </row>
    <row r="3324" spans="8:9">
      <c r="H3324" s="1245"/>
      <c r="I3324" s="1245"/>
    </row>
    <row r="3325" spans="8:9">
      <c r="H3325" s="1245"/>
      <c r="I3325" s="1245"/>
    </row>
    <row r="3326" spans="8:9">
      <c r="H3326" s="1245"/>
      <c r="I3326" s="1245"/>
    </row>
    <row r="3327" spans="8:9">
      <c r="H3327" s="1245"/>
      <c r="I3327" s="1245"/>
    </row>
    <row r="3328" spans="8:9">
      <c r="H3328" s="1245"/>
      <c r="I3328" s="1245"/>
    </row>
    <row r="3329" spans="8:9">
      <c r="H3329" s="1245"/>
      <c r="I3329" s="1245"/>
    </row>
    <row r="3330" spans="8:9">
      <c r="H3330" s="1245"/>
      <c r="I3330" s="1245"/>
    </row>
    <row r="3331" spans="8:9">
      <c r="H3331" s="1245"/>
      <c r="I3331" s="1245"/>
    </row>
    <row r="3332" spans="8:9">
      <c r="H3332" s="1245"/>
      <c r="I3332" s="1245"/>
    </row>
    <row r="3333" spans="8:9">
      <c r="H3333" s="1245"/>
      <c r="I3333" s="1245"/>
    </row>
    <row r="3334" spans="8:9">
      <c r="H3334" s="1245"/>
      <c r="I3334" s="1245"/>
    </row>
    <row r="3335" spans="8:9">
      <c r="H3335" s="1245"/>
      <c r="I3335" s="1245"/>
    </row>
    <row r="3336" spans="8:9">
      <c r="H3336" s="1245"/>
      <c r="I3336" s="1245"/>
    </row>
    <row r="3337" spans="8:9">
      <c r="H3337" s="1245"/>
      <c r="I3337" s="1245"/>
    </row>
    <row r="3338" spans="8:9">
      <c r="H3338" s="1245"/>
      <c r="I3338" s="1245"/>
    </row>
    <row r="3339" spans="8:9">
      <c r="H3339" s="1245"/>
      <c r="I3339" s="1245"/>
    </row>
    <row r="3340" spans="8:9">
      <c r="H3340" s="1245"/>
      <c r="I3340" s="1245"/>
    </row>
    <row r="3341" spans="8:9">
      <c r="H3341" s="1245"/>
      <c r="I3341" s="1245"/>
    </row>
    <row r="3342" spans="8:9">
      <c r="H3342" s="1245"/>
      <c r="I3342" s="1245"/>
    </row>
    <row r="3343" spans="8:9">
      <c r="H3343" s="1245"/>
      <c r="I3343" s="1245"/>
    </row>
    <row r="3344" spans="8:9">
      <c r="H3344" s="1245"/>
      <c r="I3344" s="1245"/>
    </row>
    <row r="3345" spans="8:9">
      <c r="H3345" s="1245"/>
      <c r="I3345" s="1245"/>
    </row>
    <row r="3346" spans="8:9">
      <c r="H3346" s="1245"/>
      <c r="I3346" s="1245"/>
    </row>
    <row r="3347" spans="8:9">
      <c r="H3347" s="1245"/>
      <c r="I3347" s="1245"/>
    </row>
    <row r="3348" spans="8:9">
      <c r="H3348" s="1245"/>
      <c r="I3348" s="1245"/>
    </row>
    <row r="3349" spans="8:9">
      <c r="H3349" s="1245"/>
      <c r="I3349" s="1245"/>
    </row>
    <row r="3350" spans="8:9">
      <c r="H3350" s="1245"/>
      <c r="I3350" s="1245"/>
    </row>
    <row r="3351" spans="8:9">
      <c r="H3351" s="1245"/>
      <c r="I3351" s="1245"/>
    </row>
    <row r="3352" spans="8:9">
      <c r="H3352" s="1245"/>
      <c r="I3352" s="1245"/>
    </row>
    <row r="3353" spans="8:9">
      <c r="H3353" s="1245"/>
      <c r="I3353" s="1245"/>
    </row>
    <row r="3354" spans="8:9">
      <c r="H3354" s="1245"/>
      <c r="I3354" s="1245"/>
    </row>
    <row r="3355" spans="8:9">
      <c r="H3355" s="1245"/>
      <c r="I3355" s="1245"/>
    </row>
    <row r="3356" spans="8:9">
      <c r="H3356" s="1245"/>
      <c r="I3356" s="1245"/>
    </row>
    <row r="3357" spans="8:9">
      <c r="H3357" s="1245"/>
      <c r="I3357" s="1245"/>
    </row>
    <row r="3358" spans="8:9">
      <c r="H3358" s="1245"/>
      <c r="I3358" s="1245"/>
    </row>
    <row r="3359" spans="8:9">
      <c r="H3359" s="1245"/>
      <c r="I3359" s="1245"/>
    </row>
    <row r="3360" spans="8:9">
      <c r="H3360" s="1245"/>
      <c r="I3360" s="1245"/>
    </row>
    <row r="3361" spans="8:9">
      <c r="H3361" s="1245"/>
      <c r="I3361" s="1245"/>
    </row>
    <row r="3362" spans="8:9">
      <c r="H3362" s="1245"/>
      <c r="I3362" s="1245"/>
    </row>
    <row r="3363" spans="8:9">
      <c r="H3363" s="1245"/>
      <c r="I3363" s="1245"/>
    </row>
    <row r="3364" spans="8:9">
      <c r="H3364" s="1245"/>
      <c r="I3364" s="1245"/>
    </row>
    <row r="3365" spans="8:9">
      <c r="H3365" s="1245"/>
      <c r="I3365" s="1245"/>
    </row>
    <row r="3366" spans="8:9">
      <c r="H3366" s="1245"/>
      <c r="I3366" s="1245"/>
    </row>
    <row r="3367" spans="8:9">
      <c r="H3367" s="1245"/>
      <c r="I3367" s="1245"/>
    </row>
    <row r="3368" spans="8:9">
      <c r="H3368" s="1245"/>
      <c r="I3368" s="1245"/>
    </row>
    <row r="3369" spans="8:9">
      <c r="H3369" s="1245"/>
      <c r="I3369" s="1245"/>
    </row>
    <row r="3370" spans="8:9">
      <c r="H3370" s="1245"/>
      <c r="I3370" s="1245"/>
    </row>
    <row r="3371" spans="8:9">
      <c r="H3371" s="1245"/>
      <c r="I3371" s="1245"/>
    </row>
    <row r="3372" spans="8:9">
      <c r="H3372" s="1245"/>
      <c r="I3372" s="1245"/>
    </row>
    <row r="3373" spans="8:9">
      <c r="H3373" s="1245"/>
      <c r="I3373" s="1245"/>
    </row>
    <row r="3374" spans="8:9">
      <c r="H3374" s="1245"/>
      <c r="I3374" s="1245"/>
    </row>
    <row r="3375" spans="8:9">
      <c r="H3375" s="1245"/>
      <c r="I3375" s="1245"/>
    </row>
    <row r="3376" spans="8:9">
      <c r="H3376" s="1245"/>
      <c r="I3376" s="1245"/>
    </row>
    <row r="3377" spans="8:9">
      <c r="H3377" s="1245"/>
      <c r="I3377" s="1245"/>
    </row>
    <row r="3378" spans="8:9">
      <c r="H3378" s="1245"/>
      <c r="I3378" s="1245"/>
    </row>
    <row r="3379" spans="8:9">
      <c r="H3379" s="1245"/>
      <c r="I3379" s="1245"/>
    </row>
    <row r="3380" spans="8:9">
      <c r="H3380" s="1245"/>
      <c r="I3380" s="1245"/>
    </row>
    <row r="3381" spans="8:9">
      <c r="H3381" s="1245"/>
      <c r="I3381" s="1245"/>
    </row>
    <row r="3382" spans="8:9">
      <c r="H3382" s="1245"/>
      <c r="I3382" s="1245"/>
    </row>
    <row r="3383" spans="8:9">
      <c r="H3383" s="1245"/>
      <c r="I3383" s="1245"/>
    </row>
    <row r="3384" spans="8:9">
      <c r="H3384" s="1245"/>
      <c r="I3384" s="1245"/>
    </row>
    <row r="3385" spans="8:9">
      <c r="H3385" s="1245"/>
      <c r="I3385" s="1245"/>
    </row>
    <row r="3386" spans="8:9">
      <c r="H3386" s="1245"/>
      <c r="I3386" s="1245"/>
    </row>
    <row r="3387" spans="8:9">
      <c r="H3387" s="1245"/>
      <c r="I3387" s="1245"/>
    </row>
    <row r="3388" spans="8:9">
      <c r="H3388" s="1245"/>
      <c r="I3388" s="1245"/>
    </row>
    <row r="3389" spans="8:9">
      <c r="H3389" s="1245"/>
      <c r="I3389" s="1245"/>
    </row>
    <row r="3390" spans="8:9">
      <c r="H3390" s="1245"/>
      <c r="I3390" s="1245"/>
    </row>
    <row r="3391" spans="8:9">
      <c r="H3391" s="1245"/>
      <c r="I3391" s="1245"/>
    </row>
    <row r="3392" spans="8:9">
      <c r="H3392" s="1245"/>
      <c r="I3392" s="1245"/>
    </row>
    <row r="3393" spans="8:9">
      <c r="H3393" s="1245"/>
      <c r="I3393" s="1245"/>
    </row>
    <row r="3394" spans="8:9">
      <c r="H3394" s="1245"/>
      <c r="I3394" s="1245"/>
    </row>
    <row r="3395" spans="8:9">
      <c r="H3395" s="1245"/>
      <c r="I3395" s="1245"/>
    </row>
    <row r="3396" spans="8:9">
      <c r="H3396" s="1245"/>
      <c r="I3396" s="1245"/>
    </row>
    <row r="3397" spans="8:9">
      <c r="H3397" s="1245"/>
      <c r="I3397" s="1245"/>
    </row>
    <row r="3398" spans="8:9">
      <c r="H3398" s="1245"/>
      <c r="I3398" s="1245"/>
    </row>
    <row r="3399" spans="8:9">
      <c r="H3399" s="1245"/>
      <c r="I3399" s="1245"/>
    </row>
    <row r="3400" spans="8:9">
      <c r="H3400" s="1245"/>
      <c r="I3400" s="1245"/>
    </row>
    <row r="3401" spans="8:9">
      <c r="H3401" s="1245"/>
      <c r="I3401" s="1245"/>
    </row>
    <row r="3402" spans="8:9">
      <c r="H3402" s="1245"/>
      <c r="I3402" s="1245"/>
    </row>
    <row r="3403" spans="8:9">
      <c r="H3403" s="1245"/>
      <c r="I3403" s="1245"/>
    </row>
    <row r="3404" spans="8:9">
      <c r="H3404" s="1245"/>
      <c r="I3404" s="1245"/>
    </row>
    <row r="3405" spans="8:9">
      <c r="H3405" s="1245"/>
      <c r="I3405" s="1245"/>
    </row>
    <row r="3406" spans="8:9">
      <c r="H3406" s="1245"/>
      <c r="I3406" s="1245"/>
    </row>
    <row r="3407" spans="8:9">
      <c r="H3407" s="1245"/>
      <c r="I3407" s="1245"/>
    </row>
    <row r="3408" spans="8:9">
      <c r="H3408" s="1245"/>
      <c r="I3408" s="1245"/>
    </row>
    <row r="3409" spans="8:9">
      <c r="H3409" s="1245"/>
      <c r="I3409" s="1245"/>
    </row>
    <row r="3410" spans="8:9">
      <c r="H3410" s="1245"/>
      <c r="I3410" s="1245"/>
    </row>
    <row r="3411" spans="8:9">
      <c r="H3411" s="1245"/>
      <c r="I3411" s="1245"/>
    </row>
    <row r="3412" spans="8:9">
      <c r="H3412" s="1245"/>
      <c r="I3412" s="1245"/>
    </row>
    <row r="3413" spans="8:9">
      <c r="H3413" s="1245"/>
      <c r="I3413" s="1245"/>
    </row>
    <row r="3414" spans="8:9">
      <c r="H3414" s="1245"/>
      <c r="I3414" s="1245"/>
    </row>
    <row r="3415" spans="8:9">
      <c r="H3415" s="1245"/>
      <c r="I3415" s="1245"/>
    </row>
    <row r="3416" spans="8:9">
      <c r="H3416" s="1245"/>
      <c r="I3416" s="1245"/>
    </row>
    <row r="3417" spans="8:9">
      <c r="H3417" s="1245"/>
      <c r="I3417" s="1245"/>
    </row>
    <row r="3418" spans="8:9">
      <c r="H3418" s="1245"/>
      <c r="I3418" s="1245"/>
    </row>
    <row r="3419" spans="8:9">
      <c r="H3419" s="1245"/>
      <c r="I3419" s="1245"/>
    </row>
    <row r="3420" spans="8:9">
      <c r="H3420" s="1245"/>
      <c r="I3420" s="1245"/>
    </row>
    <row r="3421" spans="8:9">
      <c r="H3421" s="1245"/>
      <c r="I3421" s="1245"/>
    </row>
    <row r="3422" spans="8:9">
      <c r="H3422" s="1245"/>
      <c r="I3422" s="1245"/>
    </row>
    <row r="3423" spans="8:9">
      <c r="H3423" s="1245"/>
      <c r="I3423" s="1245"/>
    </row>
    <row r="3424" spans="8:9">
      <c r="H3424" s="1245"/>
      <c r="I3424" s="1245"/>
    </row>
    <row r="3425" spans="8:9">
      <c r="H3425" s="1245"/>
      <c r="I3425" s="1245"/>
    </row>
    <row r="3426" spans="8:9">
      <c r="H3426" s="1245"/>
      <c r="I3426" s="1245"/>
    </row>
    <row r="3427" spans="8:9">
      <c r="H3427" s="1245"/>
      <c r="I3427" s="1245"/>
    </row>
    <row r="3428" spans="8:9">
      <c r="H3428" s="1245"/>
      <c r="I3428" s="1245"/>
    </row>
    <row r="3429" spans="8:9">
      <c r="H3429" s="1245"/>
      <c r="I3429" s="1245"/>
    </row>
    <row r="3430" spans="8:9">
      <c r="H3430" s="1245"/>
      <c r="I3430" s="1245"/>
    </row>
    <row r="3431" spans="8:9">
      <c r="H3431" s="1245"/>
      <c r="I3431" s="1245"/>
    </row>
    <row r="3432" spans="8:9">
      <c r="H3432" s="1245"/>
      <c r="I3432" s="1245"/>
    </row>
    <row r="3433" spans="8:9">
      <c r="H3433" s="1245"/>
      <c r="I3433" s="1245"/>
    </row>
    <row r="3434" spans="8:9">
      <c r="H3434" s="1245"/>
      <c r="I3434" s="1245"/>
    </row>
    <row r="3435" spans="8:9">
      <c r="H3435" s="1245"/>
      <c r="I3435" s="1245"/>
    </row>
    <row r="3436" spans="8:9">
      <c r="H3436" s="1245"/>
      <c r="I3436" s="1245"/>
    </row>
    <row r="3437" spans="8:9">
      <c r="H3437" s="1245"/>
      <c r="I3437" s="1245"/>
    </row>
    <row r="3438" spans="8:9">
      <c r="H3438" s="1245"/>
      <c r="I3438" s="1245"/>
    </row>
    <row r="3439" spans="8:9">
      <c r="H3439" s="1245"/>
      <c r="I3439" s="1245"/>
    </row>
    <row r="3440" spans="8:9">
      <c r="H3440" s="1245"/>
      <c r="I3440" s="1245"/>
    </row>
    <row r="3441" spans="8:9">
      <c r="H3441" s="1245"/>
      <c r="I3441" s="1245"/>
    </row>
    <row r="3442" spans="8:9">
      <c r="H3442" s="1245"/>
      <c r="I3442" s="1245"/>
    </row>
    <row r="3443" spans="8:9">
      <c r="H3443" s="1245"/>
      <c r="I3443" s="1245"/>
    </row>
    <row r="3444" spans="8:9">
      <c r="H3444" s="1245"/>
      <c r="I3444" s="1245"/>
    </row>
    <row r="3445" spans="8:9">
      <c r="H3445" s="1245"/>
      <c r="I3445" s="1245"/>
    </row>
    <row r="3446" spans="8:9">
      <c r="H3446" s="1245"/>
      <c r="I3446" s="1245"/>
    </row>
    <row r="3447" spans="8:9">
      <c r="H3447" s="1245"/>
      <c r="I3447" s="1245"/>
    </row>
    <row r="3448" spans="8:9">
      <c r="H3448" s="1245"/>
      <c r="I3448" s="1245"/>
    </row>
    <row r="3449" spans="8:9">
      <c r="H3449" s="1245"/>
      <c r="I3449" s="1245"/>
    </row>
    <row r="3450" spans="8:9">
      <c r="H3450" s="1245"/>
      <c r="I3450" s="1245"/>
    </row>
    <row r="3451" spans="8:9">
      <c r="H3451" s="1245"/>
      <c r="I3451" s="1245"/>
    </row>
    <row r="3452" spans="8:9">
      <c r="H3452" s="1245"/>
      <c r="I3452" s="1245"/>
    </row>
    <row r="3453" spans="8:9">
      <c r="H3453" s="1245"/>
      <c r="I3453" s="1245"/>
    </row>
    <row r="3454" spans="8:9">
      <c r="H3454" s="1245"/>
      <c r="I3454" s="1245"/>
    </row>
    <row r="3455" spans="8:9">
      <c r="H3455" s="1245"/>
      <c r="I3455" s="1245"/>
    </row>
    <row r="3456" spans="8:9">
      <c r="H3456" s="1245"/>
      <c r="I3456" s="1245"/>
    </row>
    <row r="3457" spans="8:9">
      <c r="H3457" s="1245"/>
      <c r="I3457" s="1245"/>
    </row>
    <row r="3458" spans="8:9">
      <c r="H3458" s="1245"/>
      <c r="I3458" s="1245"/>
    </row>
    <row r="3459" spans="8:9">
      <c r="H3459" s="1245"/>
      <c r="I3459" s="1245"/>
    </row>
    <row r="3460" spans="8:9">
      <c r="H3460" s="1245"/>
      <c r="I3460" s="1245"/>
    </row>
    <row r="3461" spans="8:9">
      <c r="H3461" s="1245"/>
      <c r="I3461" s="1245"/>
    </row>
    <row r="3462" spans="8:9">
      <c r="H3462" s="1245"/>
      <c r="I3462" s="1245"/>
    </row>
    <row r="3463" spans="8:9">
      <c r="H3463" s="1245"/>
      <c r="I3463" s="1245"/>
    </row>
    <row r="3464" spans="8:9">
      <c r="H3464" s="1245"/>
      <c r="I3464" s="1245"/>
    </row>
    <row r="3465" spans="8:9">
      <c r="H3465" s="1245"/>
      <c r="I3465" s="1245"/>
    </row>
    <row r="3466" spans="8:9">
      <c r="H3466" s="1245"/>
      <c r="I3466" s="1245"/>
    </row>
    <row r="3467" spans="8:9">
      <c r="H3467" s="1245"/>
      <c r="I3467" s="1245"/>
    </row>
    <row r="3468" spans="8:9">
      <c r="H3468" s="1245"/>
      <c r="I3468" s="1245"/>
    </row>
    <row r="3469" spans="8:9">
      <c r="H3469" s="1245"/>
      <c r="I3469" s="1245"/>
    </row>
    <row r="3470" spans="8:9">
      <c r="H3470" s="1245"/>
      <c r="I3470" s="1245"/>
    </row>
    <row r="3471" spans="8:9">
      <c r="H3471" s="1245"/>
      <c r="I3471" s="1245"/>
    </row>
    <row r="3472" spans="8:9">
      <c r="H3472" s="1245"/>
      <c r="I3472" s="1245"/>
    </row>
    <row r="3473" spans="8:9">
      <c r="H3473" s="1245"/>
      <c r="I3473" s="1245"/>
    </row>
    <row r="3474" spans="8:9">
      <c r="H3474" s="1245"/>
      <c r="I3474" s="1245"/>
    </row>
    <row r="3475" spans="8:9">
      <c r="H3475" s="1245"/>
      <c r="I3475" s="1245"/>
    </row>
    <row r="3476" spans="8:9">
      <c r="H3476" s="1245"/>
      <c r="I3476" s="1245"/>
    </row>
    <row r="3477" spans="8:9">
      <c r="H3477" s="1245"/>
      <c r="I3477" s="1245"/>
    </row>
    <row r="3478" spans="8:9">
      <c r="H3478" s="1245"/>
      <c r="I3478" s="1245"/>
    </row>
    <row r="3479" spans="8:9">
      <c r="H3479" s="1245"/>
      <c r="I3479" s="1245"/>
    </row>
    <row r="3480" spans="8:9">
      <c r="H3480" s="1245"/>
      <c r="I3480" s="1245"/>
    </row>
    <row r="3481" spans="8:9">
      <c r="H3481" s="1245"/>
      <c r="I3481" s="1245"/>
    </row>
    <row r="3482" spans="8:9">
      <c r="H3482" s="1245"/>
      <c r="I3482" s="1245"/>
    </row>
    <row r="3483" spans="8:9">
      <c r="H3483" s="1245"/>
      <c r="I3483" s="1245"/>
    </row>
    <row r="3484" spans="8:9">
      <c r="H3484" s="1245"/>
      <c r="I3484" s="1245"/>
    </row>
    <row r="3485" spans="8:9">
      <c r="H3485" s="1245"/>
      <c r="I3485" s="1245"/>
    </row>
    <row r="3486" spans="8:9">
      <c r="H3486" s="1245"/>
      <c r="I3486" s="1245"/>
    </row>
    <row r="3487" spans="8:9">
      <c r="H3487" s="1245"/>
      <c r="I3487" s="1245"/>
    </row>
    <row r="3488" spans="8:9">
      <c r="H3488" s="1245"/>
      <c r="I3488" s="1245"/>
    </row>
    <row r="3489" spans="8:9">
      <c r="H3489" s="1245"/>
      <c r="I3489" s="1245"/>
    </row>
    <row r="3490" spans="8:9">
      <c r="H3490" s="1245"/>
      <c r="I3490" s="1245"/>
    </row>
    <row r="3491" spans="8:9">
      <c r="H3491" s="1245"/>
      <c r="I3491" s="1245"/>
    </row>
    <row r="3492" spans="8:9">
      <c r="H3492" s="1245"/>
      <c r="I3492" s="1245"/>
    </row>
    <row r="3493" spans="8:9">
      <c r="H3493" s="1245"/>
      <c r="I3493" s="1245"/>
    </row>
    <row r="3494" spans="8:9">
      <c r="H3494" s="1245"/>
      <c r="I3494" s="1245"/>
    </row>
    <row r="3495" spans="8:9">
      <c r="H3495" s="1245"/>
      <c r="I3495" s="1245"/>
    </row>
    <row r="3496" spans="8:9">
      <c r="H3496" s="1245"/>
      <c r="I3496" s="1245"/>
    </row>
    <row r="3497" spans="8:9">
      <c r="H3497" s="1245"/>
      <c r="I3497" s="1245"/>
    </row>
    <row r="3498" spans="8:9">
      <c r="H3498" s="1245"/>
      <c r="I3498" s="1245"/>
    </row>
    <row r="3499" spans="8:9">
      <c r="H3499" s="1245"/>
      <c r="I3499" s="1245"/>
    </row>
    <row r="3500" spans="8:9">
      <c r="H3500" s="1245"/>
      <c r="I3500" s="1245"/>
    </row>
    <row r="3501" spans="8:9">
      <c r="H3501" s="1245"/>
      <c r="I3501" s="1245"/>
    </row>
    <row r="3502" spans="8:9">
      <c r="H3502" s="1245"/>
      <c r="I3502" s="1245"/>
    </row>
    <row r="3503" spans="8:9">
      <c r="H3503" s="1245"/>
      <c r="I3503" s="1245"/>
    </row>
    <row r="3504" spans="8:9">
      <c r="H3504" s="1245"/>
      <c r="I3504" s="1245"/>
    </row>
    <row r="3505" spans="8:9">
      <c r="H3505" s="1245"/>
      <c r="I3505" s="1245"/>
    </row>
    <row r="3506" spans="8:9">
      <c r="H3506" s="1245"/>
      <c r="I3506" s="1245"/>
    </row>
    <row r="3507" spans="8:9">
      <c r="H3507" s="1245"/>
      <c r="I3507" s="1245"/>
    </row>
    <row r="3508" spans="8:9">
      <c r="H3508" s="1245"/>
      <c r="I3508" s="1245"/>
    </row>
    <row r="3509" spans="8:9">
      <c r="H3509" s="1245"/>
      <c r="I3509" s="1245"/>
    </row>
    <row r="3510" spans="8:9">
      <c r="H3510" s="1245"/>
      <c r="I3510" s="1245"/>
    </row>
    <row r="3511" spans="8:9">
      <c r="H3511" s="1245"/>
      <c r="I3511" s="1245"/>
    </row>
    <row r="3512" spans="8:9">
      <c r="H3512" s="1245"/>
      <c r="I3512" s="1245"/>
    </row>
    <row r="3513" spans="8:9">
      <c r="H3513" s="1245"/>
      <c r="I3513" s="1245"/>
    </row>
    <row r="3514" spans="8:9">
      <c r="H3514" s="1245"/>
      <c r="I3514" s="1245"/>
    </row>
    <row r="3515" spans="8:9">
      <c r="H3515" s="1245"/>
      <c r="I3515" s="1245"/>
    </row>
    <row r="3516" spans="8:9">
      <c r="H3516" s="1245"/>
      <c r="I3516" s="1245"/>
    </row>
    <row r="3517" spans="8:9">
      <c r="H3517" s="1245"/>
      <c r="I3517" s="1245"/>
    </row>
    <row r="3518" spans="8:9">
      <c r="H3518" s="1245"/>
      <c r="I3518" s="1245"/>
    </row>
    <row r="3519" spans="8:9">
      <c r="H3519" s="1245"/>
      <c r="I3519" s="1245"/>
    </row>
    <row r="3520" spans="8:9">
      <c r="H3520" s="1245"/>
      <c r="I3520" s="1245"/>
    </row>
    <row r="3521" spans="8:9">
      <c r="H3521" s="1245"/>
      <c r="I3521" s="1245"/>
    </row>
    <row r="3522" spans="8:9">
      <c r="H3522" s="1245"/>
      <c r="I3522" s="1245"/>
    </row>
    <row r="3523" spans="8:9">
      <c r="H3523" s="1245"/>
      <c r="I3523" s="1245"/>
    </row>
    <row r="3524" spans="8:9">
      <c r="H3524" s="1245"/>
      <c r="I3524" s="1245"/>
    </row>
    <row r="3525" spans="8:9">
      <c r="H3525" s="1245"/>
      <c r="I3525" s="1245"/>
    </row>
    <row r="3526" spans="8:9">
      <c r="H3526" s="1245"/>
      <c r="I3526" s="1245"/>
    </row>
    <row r="3527" spans="8:9">
      <c r="H3527" s="1245"/>
      <c r="I3527" s="1245"/>
    </row>
    <row r="3528" spans="8:9">
      <c r="H3528" s="1245"/>
      <c r="I3528" s="1245"/>
    </row>
    <row r="3529" spans="8:9">
      <c r="H3529" s="1245"/>
      <c r="I3529" s="1245"/>
    </row>
    <row r="3530" spans="8:9">
      <c r="H3530" s="1245"/>
      <c r="I3530" s="1245"/>
    </row>
    <row r="3531" spans="8:9">
      <c r="H3531" s="1245"/>
      <c r="I3531" s="1245"/>
    </row>
    <row r="3532" spans="8:9">
      <c r="H3532" s="1245"/>
      <c r="I3532" s="1245"/>
    </row>
    <row r="3533" spans="8:9">
      <c r="H3533" s="1245"/>
      <c r="I3533" s="1245"/>
    </row>
    <row r="3534" spans="8:9">
      <c r="H3534" s="1245"/>
      <c r="I3534" s="1245"/>
    </row>
    <row r="3535" spans="8:9">
      <c r="H3535" s="1245"/>
      <c r="I3535" s="1245"/>
    </row>
    <row r="3536" spans="8:9">
      <c r="H3536" s="1245"/>
      <c r="I3536" s="1245"/>
    </row>
    <row r="3537" spans="8:9">
      <c r="H3537" s="1245"/>
      <c r="I3537" s="1245"/>
    </row>
    <row r="3538" spans="8:9">
      <c r="H3538" s="1245"/>
      <c r="I3538" s="1245"/>
    </row>
    <row r="3539" spans="8:9">
      <c r="H3539" s="1245"/>
      <c r="I3539" s="1245"/>
    </row>
    <row r="3540" spans="8:9">
      <c r="H3540" s="1245"/>
      <c r="I3540" s="1245"/>
    </row>
    <row r="3541" spans="8:9">
      <c r="H3541" s="1245"/>
      <c r="I3541" s="1245"/>
    </row>
    <row r="3542" spans="8:9">
      <c r="H3542" s="1245"/>
      <c r="I3542" s="1245"/>
    </row>
    <row r="3543" spans="8:9">
      <c r="H3543" s="1245"/>
      <c r="I3543" s="1245"/>
    </row>
    <row r="3544" spans="8:9">
      <c r="H3544" s="1245"/>
      <c r="I3544" s="1245"/>
    </row>
    <row r="3545" spans="8:9">
      <c r="H3545" s="1245"/>
      <c r="I3545" s="1245"/>
    </row>
    <row r="3546" spans="8:9">
      <c r="H3546" s="1245"/>
      <c r="I3546" s="1245"/>
    </row>
    <row r="3547" spans="8:9">
      <c r="H3547" s="1245"/>
      <c r="I3547" s="1245"/>
    </row>
    <row r="3548" spans="8:9">
      <c r="H3548" s="1245"/>
      <c r="I3548" s="1245"/>
    </row>
    <row r="3549" spans="8:9">
      <c r="H3549" s="1245"/>
      <c r="I3549" s="1245"/>
    </row>
    <row r="3550" spans="8:9">
      <c r="H3550" s="1245"/>
      <c r="I3550" s="1245"/>
    </row>
    <row r="3551" spans="8:9">
      <c r="H3551" s="1245"/>
      <c r="I3551" s="1245"/>
    </row>
    <row r="3552" spans="8:9">
      <c r="H3552" s="1245"/>
      <c r="I3552" s="1245"/>
    </row>
    <row r="3553" spans="8:9">
      <c r="H3553" s="1245"/>
      <c r="I3553" s="1245"/>
    </row>
    <row r="3554" spans="8:9">
      <c r="H3554" s="1245"/>
      <c r="I3554" s="1245"/>
    </row>
    <row r="3555" spans="8:9">
      <c r="H3555" s="1245"/>
      <c r="I3555" s="1245"/>
    </row>
    <row r="3556" spans="8:9">
      <c r="H3556" s="1245"/>
      <c r="I3556" s="1245"/>
    </row>
    <row r="3557" spans="8:9">
      <c r="H3557" s="1245"/>
      <c r="I3557" s="1245"/>
    </row>
    <row r="3558" spans="8:9">
      <c r="H3558" s="1245"/>
      <c r="I3558" s="1245"/>
    </row>
    <row r="3559" spans="8:9">
      <c r="H3559" s="1245"/>
      <c r="I3559" s="1245"/>
    </row>
    <row r="3560" spans="8:9">
      <c r="H3560" s="1245"/>
      <c r="I3560" s="1245"/>
    </row>
    <row r="3561" spans="8:9">
      <c r="H3561" s="1245"/>
      <c r="I3561" s="1245"/>
    </row>
    <row r="3562" spans="8:9">
      <c r="H3562" s="1245"/>
      <c r="I3562" s="1245"/>
    </row>
    <row r="3563" spans="8:9">
      <c r="H3563" s="1245"/>
      <c r="I3563" s="1245"/>
    </row>
    <row r="3564" spans="8:9">
      <c r="H3564" s="1245"/>
      <c r="I3564" s="1245"/>
    </row>
    <row r="3565" spans="8:9">
      <c r="H3565" s="1245"/>
      <c r="I3565" s="1245"/>
    </row>
    <row r="3566" spans="8:9">
      <c r="H3566" s="1245"/>
      <c r="I3566" s="1245"/>
    </row>
    <row r="3567" spans="8:9">
      <c r="H3567" s="1245"/>
      <c r="I3567" s="1245"/>
    </row>
    <row r="3568" spans="8:9">
      <c r="H3568" s="1245"/>
      <c r="I3568" s="1245"/>
    </row>
    <row r="3569" spans="8:9">
      <c r="H3569" s="1245"/>
      <c r="I3569" s="1245"/>
    </row>
    <row r="3570" spans="8:9">
      <c r="H3570" s="1245"/>
      <c r="I3570" s="1245"/>
    </row>
    <row r="3571" spans="8:9">
      <c r="H3571" s="1245"/>
      <c r="I3571" s="1245"/>
    </row>
    <row r="3572" spans="8:9">
      <c r="H3572" s="1245"/>
      <c r="I3572" s="1245"/>
    </row>
    <row r="3573" spans="8:9">
      <c r="H3573" s="1245"/>
      <c r="I3573" s="1245"/>
    </row>
    <row r="3574" spans="8:9">
      <c r="H3574" s="1245"/>
      <c r="I3574" s="1245"/>
    </row>
    <row r="3575" spans="8:9">
      <c r="H3575" s="1245"/>
      <c r="I3575" s="1245"/>
    </row>
    <row r="3576" spans="8:9">
      <c r="H3576" s="1245"/>
      <c r="I3576" s="1245"/>
    </row>
    <row r="3577" spans="8:9">
      <c r="H3577" s="1245"/>
      <c r="I3577" s="1245"/>
    </row>
    <row r="3578" spans="8:9">
      <c r="H3578" s="1245"/>
      <c r="I3578" s="1245"/>
    </row>
    <row r="3579" spans="8:9">
      <c r="H3579" s="1245"/>
      <c r="I3579" s="1245"/>
    </row>
    <row r="3580" spans="8:9">
      <c r="H3580" s="1245"/>
      <c r="I3580" s="1245"/>
    </row>
    <row r="3581" spans="8:9">
      <c r="H3581" s="1245"/>
      <c r="I3581" s="1245"/>
    </row>
    <row r="3582" spans="8:9">
      <c r="H3582" s="1245"/>
      <c r="I3582" s="1245"/>
    </row>
    <row r="3583" spans="8:9">
      <c r="H3583" s="1245"/>
      <c r="I3583" s="1245"/>
    </row>
    <row r="3584" spans="8:9">
      <c r="H3584" s="1245"/>
      <c r="I3584" s="1245"/>
    </row>
    <row r="3585" spans="8:9">
      <c r="H3585" s="1245"/>
      <c r="I3585" s="1245"/>
    </row>
    <row r="3586" spans="8:9">
      <c r="H3586" s="1245"/>
      <c r="I3586" s="1245"/>
    </row>
    <row r="3587" spans="8:9">
      <c r="H3587" s="1245"/>
      <c r="I3587" s="1245"/>
    </row>
    <row r="3588" spans="8:9">
      <c r="H3588" s="1245"/>
      <c r="I3588" s="1245"/>
    </row>
    <row r="3589" spans="8:9">
      <c r="H3589" s="1245"/>
      <c r="I3589" s="1245"/>
    </row>
    <row r="3590" spans="8:9">
      <c r="H3590" s="1245"/>
      <c r="I3590" s="1245"/>
    </row>
    <row r="3591" spans="8:9">
      <c r="H3591" s="1245"/>
      <c r="I3591" s="1245"/>
    </row>
    <row r="3592" spans="8:9">
      <c r="H3592" s="1245"/>
      <c r="I3592" s="1245"/>
    </row>
    <row r="3593" spans="8:9">
      <c r="H3593" s="1245"/>
      <c r="I3593" s="1245"/>
    </row>
    <row r="3594" spans="8:9">
      <c r="H3594" s="1245"/>
      <c r="I3594" s="1245"/>
    </row>
    <row r="3595" spans="8:9">
      <c r="H3595" s="1245"/>
      <c r="I3595" s="1245"/>
    </row>
    <row r="3596" spans="8:9">
      <c r="H3596" s="1245"/>
      <c r="I3596" s="1245"/>
    </row>
    <row r="3597" spans="8:9">
      <c r="H3597" s="1245"/>
      <c r="I3597" s="1245"/>
    </row>
    <row r="3598" spans="8:9">
      <c r="H3598" s="1245"/>
      <c r="I3598" s="1245"/>
    </row>
    <row r="3599" spans="8:9">
      <c r="H3599" s="1245"/>
      <c r="I3599" s="1245"/>
    </row>
    <row r="3600" spans="8:9">
      <c r="H3600" s="1245"/>
      <c r="I3600" s="1245"/>
    </row>
    <row r="3601" spans="8:9">
      <c r="H3601" s="1245"/>
      <c r="I3601" s="1245"/>
    </row>
    <row r="3602" spans="8:9">
      <c r="H3602" s="1245"/>
      <c r="I3602" s="1245"/>
    </row>
    <row r="3603" spans="8:9">
      <c r="H3603" s="1245"/>
      <c r="I3603" s="1245"/>
    </row>
    <row r="3604" spans="8:9">
      <c r="H3604" s="1245"/>
      <c r="I3604" s="1245"/>
    </row>
    <row r="3605" spans="8:9">
      <c r="H3605" s="1245"/>
      <c r="I3605" s="1245"/>
    </row>
    <row r="3606" spans="8:9">
      <c r="H3606" s="1245"/>
      <c r="I3606" s="1245"/>
    </row>
    <row r="3607" spans="8:9">
      <c r="H3607" s="1245"/>
      <c r="I3607" s="1245"/>
    </row>
    <row r="3608" spans="8:9">
      <c r="H3608" s="1245"/>
      <c r="I3608" s="1245"/>
    </row>
    <row r="3609" spans="8:9">
      <c r="H3609" s="1245"/>
      <c r="I3609" s="1245"/>
    </row>
    <row r="3610" spans="8:9">
      <c r="H3610" s="1245"/>
      <c r="I3610" s="1245"/>
    </row>
    <row r="3611" spans="8:9">
      <c r="H3611" s="1245"/>
      <c r="I3611" s="1245"/>
    </row>
    <row r="3612" spans="8:9">
      <c r="H3612" s="1245"/>
      <c r="I3612" s="1245"/>
    </row>
    <row r="3613" spans="8:9">
      <c r="H3613" s="1245"/>
      <c r="I3613" s="1245"/>
    </row>
    <row r="3614" spans="8:9">
      <c r="H3614" s="1245"/>
      <c r="I3614" s="1245"/>
    </row>
    <row r="3615" spans="8:9">
      <c r="H3615" s="1245"/>
      <c r="I3615" s="1245"/>
    </row>
    <row r="3616" spans="8:9">
      <c r="H3616" s="1245"/>
      <c r="I3616" s="1245"/>
    </row>
    <row r="3617" spans="8:9">
      <c r="H3617" s="1245"/>
      <c r="I3617" s="1245"/>
    </row>
    <row r="3618" spans="8:9">
      <c r="H3618" s="1245"/>
      <c r="I3618" s="1245"/>
    </row>
    <row r="3619" spans="8:9">
      <c r="H3619" s="1245"/>
      <c r="I3619" s="1245"/>
    </row>
    <row r="3620" spans="8:9">
      <c r="H3620" s="1245"/>
      <c r="I3620" s="1245"/>
    </row>
    <row r="3621" spans="8:9">
      <c r="H3621" s="1245"/>
      <c r="I3621" s="1245"/>
    </row>
    <row r="3622" spans="8:9">
      <c r="H3622" s="1245"/>
      <c r="I3622" s="1245"/>
    </row>
    <row r="3623" spans="8:9">
      <c r="H3623" s="1245"/>
      <c r="I3623" s="1245"/>
    </row>
    <row r="3624" spans="8:9">
      <c r="H3624" s="1245"/>
      <c r="I3624" s="1245"/>
    </row>
    <row r="3625" spans="8:9">
      <c r="H3625" s="1245"/>
      <c r="I3625" s="1245"/>
    </row>
    <row r="3626" spans="8:9">
      <c r="H3626" s="1245"/>
      <c r="I3626" s="1245"/>
    </row>
    <row r="3627" spans="8:9">
      <c r="H3627" s="1245"/>
      <c r="I3627" s="1245"/>
    </row>
    <row r="3628" spans="8:9">
      <c r="H3628" s="1245"/>
      <c r="I3628" s="1245"/>
    </row>
    <row r="3629" spans="8:9">
      <c r="H3629" s="1245"/>
      <c r="I3629" s="1245"/>
    </row>
    <row r="3630" spans="8:9">
      <c r="H3630" s="1245"/>
      <c r="I3630" s="1245"/>
    </row>
    <row r="3631" spans="8:9">
      <c r="H3631" s="1245"/>
      <c r="I3631" s="1245"/>
    </row>
    <row r="3632" spans="8:9">
      <c r="H3632" s="1245"/>
      <c r="I3632" s="1245"/>
    </row>
    <row r="3633" spans="8:9">
      <c r="H3633" s="1245"/>
      <c r="I3633" s="1245"/>
    </row>
    <row r="3634" spans="8:9">
      <c r="H3634" s="1245"/>
      <c r="I3634" s="1245"/>
    </row>
    <row r="3635" spans="8:9">
      <c r="H3635" s="1245"/>
      <c r="I3635" s="1245"/>
    </row>
    <row r="3636" spans="8:9">
      <c r="H3636" s="1245"/>
      <c r="I3636" s="1245"/>
    </row>
    <row r="3637" spans="8:9">
      <c r="H3637" s="1245"/>
      <c r="I3637" s="1245"/>
    </row>
    <row r="3638" spans="8:9">
      <c r="H3638" s="1245"/>
      <c r="I3638" s="1245"/>
    </row>
    <row r="3639" spans="8:9">
      <c r="H3639" s="1245"/>
      <c r="I3639" s="1245"/>
    </row>
    <row r="3640" spans="8:9">
      <c r="H3640" s="1245"/>
      <c r="I3640" s="1245"/>
    </row>
    <row r="3641" spans="8:9">
      <c r="H3641" s="1245"/>
      <c r="I3641" s="1245"/>
    </row>
    <row r="3642" spans="8:9">
      <c r="H3642" s="1245"/>
      <c r="I3642" s="1245"/>
    </row>
    <row r="3643" spans="8:9">
      <c r="H3643" s="1245"/>
      <c r="I3643" s="1245"/>
    </row>
    <row r="3644" spans="8:9">
      <c r="H3644" s="1245"/>
      <c r="I3644" s="1245"/>
    </row>
    <row r="3645" spans="8:9">
      <c r="H3645" s="1245"/>
      <c r="I3645" s="1245"/>
    </row>
    <row r="3646" spans="8:9">
      <c r="H3646" s="1245"/>
      <c r="I3646" s="1245"/>
    </row>
    <row r="3647" spans="8:9">
      <c r="H3647" s="1245"/>
      <c r="I3647" s="1245"/>
    </row>
    <row r="3648" spans="8:9">
      <c r="H3648" s="1245"/>
      <c r="I3648" s="1245"/>
    </row>
    <row r="3649" spans="8:9">
      <c r="H3649" s="1245"/>
      <c r="I3649" s="1245"/>
    </row>
    <row r="3650" spans="8:9">
      <c r="H3650" s="1245"/>
      <c r="I3650" s="1245"/>
    </row>
    <row r="3651" spans="8:9">
      <c r="H3651" s="1245"/>
      <c r="I3651" s="1245"/>
    </row>
    <row r="3652" spans="8:9">
      <c r="H3652" s="1245"/>
      <c r="I3652" s="1245"/>
    </row>
    <row r="3653" spans="8:9">
      <c r="H3653" s="1245"/>
      <c r="I3653" s="1245"/>
    </row>
    <row r="3654" spans="8:9">
      <c r="H3654" s="1245"/>
      <c r="I3654" s="1245"/>
    </row>
    <row r="3655" spans="8:9">
      <c r="H3655" s="1245"/>
      <c r="I3655" s="1245"/>
    </row>
    <row r="3656" spans="8:9">
      <c r="H3656" s="1245"/>
      <c r="I3656" s="1245"/>
    </row>
    <row r="3657" spans="8:9">
      <c r="H3657" s="1245"/>
      <c r="I3657" s="1245"/>
    </row>
    <row r="3658" spans="8:9">
      <c r="H3658" s="1245"/>
      <c r="I3658" s="1245"/>
    </row>
    <row r="3659" spans="8:9">
      <c r="H3659" s="1245"/>
      <c r="I3659" s="1245"/>
    </row>
    <row r="3660" spans="8:9">
      <c r="H3660" s="1245"/>
      <c r="I3660" s="1245"/>
    </row>
    <row r="3661" spans="8:9">
      <c r="H3661" s="1245"/>
      <c r="I3661" s="1245"/>
    </row>
    <row r="3662" spans="8:9">
      <c r="H3662" s="1245"/>
      <c r="I3662" s="1245"/>
    </row>
    <row r="3663" spans="8:9">
      <c r="H3663" s="1245"/>
      <c r="I3663" s="1245"/>
    </row>
    <row r="3664" spans="8:9">
      <c r="H3664" s="1245"/>
      <c r="I3664" s="1245"/>
    </row>
    <row r="3665" spans="8:9">
      <c r="H3665" s="1245"/>
      <c r="I3665" s="1245"/>
    </row>
    <row r="3666" spans="8:9">
      <c r="H3666" s="1245"/>
      <c r="I3666" s="1245"/>
    </row>
    <row r="3667" spans="8:9">
      <c r="H3667" s="1245"/>
      <c r="I3667" s="1245"/>
    </row>
    <row r="3668" spans="8:9">
      <c r="H3668" s="1245"/>
      <c r="I3668" s="1245"/>
    </row>
    <row r="3669" spans="8:9">
      <c r="H3669" s="1245"/>
      <c r="I3669" s="1245"/>
    </row>
    <row r="3670" spans="8:9">
      <c r="H3670" s="1245"/>
      <c r="I3670" s="1245"/>
    </row>
    <row r="3671" spans="8:9">
      <c r="H3671" s="1245"/>
      <c r="I3671" s="1245"/>
    </row>
    <row r="3672" spans="8:9">
      <c r="H3672" s="1245"/>
      <c r="I3672" s="1245"/>
    </row>
    <row r="3673" spans="8:9">
      <c r="H3673" s="1245"/>
      <c r="I3673" s="1245"/>
    </row>
    <row r="3674" spans="8:9">
      <c r="H3674" s="1245"/>
      <c r="I3674" s="1245"/>
    </row>
    <row r="3675" spans="8:9">
      <c r="H3675" s="1245"/>
      <c r="I3675" s="1245"/>
    </row>
    <row r="3676" spans="8:9">
      <c r="H3676" s="1245"/>
      <c r="I3676" s="1245"/>
    </row>
    <row r="3677" spans="8:9">
      <c r="H3677" s="1245"/>
      <c r="I3677" s="1245"/>
    </row>
    <row r="3678" spans="8:9">
      <c r="H3678" s="1245"/>
      <c r="I3678" s="1245"/>
    </row>
    <row r="3679" spans="8:9">
      <c r="H3679" s="1245"/>
      <c r="I3679" s="1245"/>
    </row>
    <row r="3680" spans="8:9">
      <c r="H3680" s="1245"/>
      <c r="I3680" s="1245"/>
    </row>
    <row r="3681" spans="8:9">
      <c r="H3681" s="1245"/>
      <c r="I3681" s="1245"/>
    </row>
    <row r="3682" spans="8:9">
      <c r="H3682" s="1245"/>
      <c r="I3682" s="1245"/>
    </row>
    <row r="3683" spans="8:9">
      <c r="H3683" s="1245"/>
      <c r="I3683" s="1245"/>
    </row>
    <row r="3684" spans="8:9">
      <c r="H3684" s="1245"/>
      <c r="I3684" s="1245"/>
    </row>
    <row r="3685" spans="8:9">
      <c r="H3685" s="1245"/>
      <c r="I3685" s="1245"/>
    </row>
    <row r="3686" spans="8:9">
      <c r="H3686" s="1245"/>
      <c r="I3686" s="1245"/>
    </row>
    <row r="3687" spans="8:9">
      <c r="H3687" s="1245"/>
      <c r="I3687" s="1245"/>
    </row>
    <row r="3688" spans="8:9">
      <c r="H3688" s="1245"/>
      <c r="I3688" s="1245"/>
    </row>
    <row r="3689" spans="8:9">
      <c r="H3689" s="1245"/>
      <c r="I3689" s="1245"/>
    </row>
    <row r="3690" spans="8:9">
      <c r="H3690" s="1245"/>
      <c r="I3690" s="1245"/>
    </row>
    <row r="3691" spans="8:9">
      <c r="H3691" s="1245"/>
      <c r="I3691" s="1245"/>
    </row>
    <row r="3692" spans="8:9">
      <c r="H3692" s="1245"/>
      <c r="I3692" s="1245"/>
    </row>
    <row r="3693" spans="8:9">
      <c r="H3693" s="1245"/>
      <c r="I3693" s="1245"/>
    </row>
    <row r="3694" spans="8:9">
      <c r="H3694" s="1245"/>
      <c r="I3694" s="1245"/>
    </row>
    <row r="3695" spans="8:9">
      <c r="H3695" s="1245"/>
      <c r="I3695" s="1245"/>
    </row>
    <row r="3696" spans="8:9">
      <c r="H3696" s="1245"/>
      <c r="I3696" s="1245"/>
    </row>
    <row r="3697" spans="8:9">
      <c r="H3697" s="1245"/>
      <c r="I3697" s="1245"/>
    </row>
    <row r="3698" spans="8:9">
      <c r="H3698" s="1245"/>
      <c r="I3698" s="1245"/>
    </row>
    <row r="3699" spans="8:9">
      <c r="H3699" s="1245"/>
      <c r="I3699" s="1245"/>
    </row>
    <row r="3700" spans="8:9">
      <c r="H3700" s="1245"/>
      <c r="I3700" s="1245"/>
    </row>
    <row r="3701" spans="8:9">
      <c r="H3701" s="1245"/>
      <c r="I3701" s="1245"/>
    </row>
    <row r="3702" spans="8:9">
      <c r="H3702" s="1245"/>
      <c r="I3702" s="1245"/>
    </row>
    <row r="3703" spans="8:9">
      <c r="H3703" s="1245"/>
      <c r="I3703" s="1245"/>
    </row>
    <row r="3704" spans="8:9">
      <c r="H3704" s="1245"/>
      <c r="I3704" s="1245"/>
    </row>
    <row r="3705" spans="8:9">
      <c r="H3705" s="1245"/>
      <c r="I3705" s="1245"/>
    </row>
    <row r="3706" spans="8:9">
      <c r="H3706" s="1245"/>
      <c r="I3706" s="1245"/>
    </row>
    <row r="3707" spans="8:9">
      <c r="H3707" s="1245"/>
      <c r="I3707" s="1245"/>
    </row>
    <row r="3708" spans="8:9">
      <c r="H3708" s="1245"/>
      <c r="I3708" s="1245"/>
    </row>
    <row r="3709" spans="8:9">
      <c r="H3709" s="1245"/>
      <c r="I3709" s="1245"/>
    </row>
    <row r="3710" spans="8:9">
      <c r="H3710" s="1245"/>
      <c r="I3710" s="1245"/>
    </row>
    <row r="3711" spans="8:9">
      <c r="H3711" s="1245"/>
      <c r="I3711" s="1245"/>
    </row>
    <row r="3712" spans="8:9">
      <c r="H3712" s="1245"/>
      <c r="I3712" s="1245"/>
    </row>
    <row r="3713" spans="8:9">
      <c r="H3713" s="1245"/>
      <c r="I3713" s="1245"/>
    </row>
    <row r="3714" spans="8:9">
      <c r="H3714" s="1245"/>
      <c r="I3714" s="1245"/>
    </row>
    <row r="3715" spans="8:9">
      <c r="H3715" s="1245"/>
      <c r="I3715" s="1245"/>
    </row>
    <row r="3716" spans="8:9">
      <c r="H3716" s="1245"/>
      <c r="I3716" s="1245"/>
    </row>
    <row r="3717" spans="8:9">
      <c r="H3717" s="1245"/>
      <c r="I3717" s="1245"/>
    </row>
    <row r="3718" spans="8:9">
      <c r="H3718" s="1245"/>
      <c r="I3718" s="1245"/>
    </row>
    <row r="3719" spans="8:9">
      <c r="H3719" s="1245"/>
      <c r="I3719" s="1245"/>
    </row>
    <row r="3720" spans="8:9">
      <c r="H3720" s="1245"/>
      <c r="I3720" s="1245"/>
    </row>
    <row r="3721" spans="8:9">
      <c r="H3721" s="1245"/>
      <c r="I3721" s="1245"/>
    </row>
    <row r="3722" spans="8:9">
      <c r="H3722" s="1245"/>
      <c r="I3722" s="1245"/>
    </row>
    <row r="3723" spans="8:9">
      <c r="H3723" s="1245"/>
      <c r="I3723" s="1245"/>
    </row>
    <row r="3724" spans="8:9">
      <c r="H3724" s="1245"/>
      <c r="I3724" s="1245"/>
    </row>
    <row r="3725" spans="8:9">
      <c r="H3725" s="1245"/>
      <c r="I3725" s="1245"/>
    </row>
    <row r="3726" spans="8:9">
      <c r="H3726" s="1245"/>
      <c r="I3726" s="1245"/>
    </row>
    <row r="3727" spans="8:9">
      <c r="H3727" s="1245"/>
      <c r="I3727" s="1245"/>
    </row>
    <row r="3728" spans="8:9">
      <c r="H3728" s="1245"/>
      <c r="I3728" s="1245"/>
    </row>
    <row r="3729" spans="8:9">
      <c r="H3729" s="1245"/>
      <c r="I3729" s="1245"/>
    </row>
    <row r="3730" spans="8:9">
      <c r="H3730" s="1245"/>
      <c r="I3730" s="1245"/>
    </row>
    <row r="3731" spans="8:9">
      <c r="H3731" s="1245"/>
      <c r="I3731" s="1245"/>
    </row>
    <row r="3732" spans="8:9">
      <c r="H3732" s="1245"/>
      <c r="I3732" s="1245"/>
    </row>
    <row r="3733" spans="8:9">
      <c r="H3733" s="1245"/>
      <c r="I3733" s="1245"/>
    </row>
    <row r="3734" spans="8:9">
      <c r="H3734" s="1245"/>
      <c r="I3734" s="1245"/>
    </row>
    <row r="3735" spans="8:9">
      <c r="H3735" s="1245"/>
      <c r="I3735" s="1245"/>
    </row>
    <row r="3736" spans="8:9">
      <c r="H3736" s="1245"/>
      <c r="I3736" s="1245"/>
    </row>
    <row r="3737" spans="8:9">
      <c r="H3737" s="1245"/>
      <c r="I3737" s="1245"/>
    </row>
    <row r="3738" spans="8:9">
      <c r="H3738" s="1245"/>
      <c r="I3738" s="1245"/>
    </row>
    <row r="3739" spans="8:9">
      <c r="H3739" s="1245"/>
      <c r="I3739" s="1245"/>
    </row>
    <row r="3740" spans="8:9">
      <c r="H3740" s="1245"/>
      <c r="I3740" s="1245"/>
    </row>
    <row r="3741" spans="8:9">
      <c r="H3741" s="1245"/>
      <c r="I3741" s="1245"/>
    </row>
    <row r="3742" spans="8:9">
      <c r="H3742" s="1245"/>
      <c r="I3742" s="1245"/>
    </row>
    <row r="3743" spans="8:9">
      <c r="H3743" s="1245"/>
      <c r="I3743" s="1245"/>
    </row>
    <row r="3744" spans="8:9">
      <c r="H3744" s="1245"/>
      <c r="I3744" s="1245"/>
    </row>
    <row r="3745" spans="8:9">
      <c r="H3745" s="1245"/>
      <c r="I3745" s="1245"/>
    </row>
    <row r="3746" spans="8:9">
      <c r="H3746" s="1245"/>
      <c r="I3746" s="1245"/>
    </row>
    <row r="3747" spans="8:9">
      <c r="H3747" s="1245"/>
      <c r="I3747" s="1245"/>
    </row>
    <row r="3748" spans="8:9">
      <c r="H3748" s="1245"/>
      <c r="I3748" s="1245"/>
    </row>
    <row r="3749" spans="8:9">
      <c r="H3749" s="1245"/>
      <c r="I3749" s="1245"/>
    </row>
    <row r="3750" spans="8:9">
      <c r="H3750" s="1245"/>
      <c r="I3750" s="1245"/>
    </row>
    <row r="3751" spans="8:9">
      <c r="H3751" s="1245"/>
      <c r="I3751" s="1245"/>
    </row>
    <row r="3752" spans="8:9">
      <c r="H3752" s="1245"/>
      <c r="I3752" s="1245"/>
    </row>
    <row r="3753" spans="8:9">
      <c r="H3753" s="1245"/>
      <c r="I3753" s="1245"/>
    </row>
    <row r="3754" spans="8:9">
      <c r="H3754" s="1245"/>
      <c r="I3754" s="1245"/>
    </row>
    <row r="3755" spans="8:9">
      <c r="H3755" s="1245"/>
      <c r="I3755" s="1245"/>
    </row>
    <row r="3756" spans="8:9">
      <c r="H3756" s="1245"/>
      <c r="I3756" s="1245"/>
    </row>
    <row r="3757" spans="8:9">
      <c r="H3757" s="1245"/>
      <c r="I3757" s="1245"/>
    </row>
    <row r="3758" spans="8:9">
      <c r="H3758" s="1245"/>
      <c r="I3758" s="1245"/>
    </row>
    <row r="3759" spans="8:9">
      <c r="H3759" s="1245"/>
      <c r="I3759" s="1245"/>
    </row>
    <row r="3760" spans="8:9">
      <c r="H3760" s="1245"/>
      <c r="I3760" s="1245"/>
    </row>
    <row r="3761" spans="8:9">
      <c r="H3761" s="1245"/>
      <c r="I3761" s="1245"/>
    </row>
    <row r="3762" spans="8:9">
      <c r="H3762" s="1245"/>
      <c r="I3762" s="1245"/>
    </row>
    <row r="3763" spans="8:9">
      <c r="H3763" s="1245"/>
      <c r="I3763" s="1245"/>
    </row>
    <row r="3764" spans="8:9">
      <c r="H3764" s="1245"/>
      <c r="I3764" s="1245"/>
    </row>
    <row r="3765" spans="8:9">
      <c r="H3765" s="1245"/>
      <c r="I3765" s="1245"/>
    </row>
    <row r="3766" spans="8:9">
      <c r="H3766" s="1245"/>
      <c r="I3766" s="1245"/>
    </row>
    <row r="3767" spans="8:9">
      <c r="H3767" s="1245"/>
      <c r="I3767" s="1245"/>
    </row>
    <row r="3768" spans="8:9">
      <c r="H3768" s="1245"/>
      <c r="I3768" s="1245"/>
    </row>
    <row r="3769" spans="8:9">
      <c r="H3769" s="1245"/>
      <c r="I3769" s="1245"/>
    </row>
    <row r="3770" spans="8:9">
      <c r="H3770" s="1245"/>
      <c r="I3770" s="1245"/>
    </row>
    <row r="3771" spans="8:9">
      <c r="H3771" s="1245"/>
      <c r="I3771" s="1245"/>
    </row>
    <row r="3772" spans="8:9">
      <c r="H3772" s="1245"/>
      <c r="I3772" s="1245"/>
    </row>
    <row r="3773" spans="8:9">
      <c r="H3773" s="1245"/>
      <c r="I3773" s="1245"/>
    </row>
    <row r="3774" spans="8:9">
      <c r="H3774" s="1245"/>
      <c r="I3774" s="1245"/>
    </row>
    <row r="3775" spans="8:9">
      <c r="H3775" s="1245"/>
      <c r="I3775" s="1245"/>
    </row>
    <row r="3776" spans="8:9">
      <c r="H3776" s="1245"/>
      <c r="I3776" s="1245"/>
    </row>
    <row r="3777" spans="8:9">
      <c r="H3777" s="1245"/>
      <c r="I3777" s="1245"/>
    </row>
    <row r="3778" spans="8:9">
      <c r="H3778" s="1245"/>
      <c r="I3778" s="1245"/>
    </row>
    <row r="3779" spans="8:9">
      <c r="H3779" s="1245"/>
      <c r="I3779" s="1245"/>
    </row>
    <row r="3780" spans="8:9">
      <c r="H3780" s="1245"/>
      <c r="I3780" s="1245"/>
    </row>
    <row r="3781" spans="8:9">
      <c r="H3781" s="1245"/>
      <c r="I3781" s="1245"/>
    </row>
    <row r="3782" spans="8:9">
      <c r="H3782" s="1245"/>
      <c r="I3782" s="1245"/>
    </row>
    <row r="3783" spans="8:9">
      <c r="H3783" s="1245"/>
      <c r="I3783" s="1245"/>
    </row>
    <row r="3784" spans="8:9">
      <c r="H3784" s="1245"/>
      <c r="I3784" s="1245"/>
    </row>
    <row r="3785" spans="8:9">
      <c r="H3785" s="1245"/>
      <c r="I3785" s="1245"/>
    </row>
    <row r="3786" spans="8:9">
      <c r="H3786" s="1245"/>
      <c r="I3786" s="1245"/>
    </row>
    <row r="3787" spans="8:9">
      <c r="H3787" s="1245"/>
      <c r="I3787" s="1245"/>
    </row>
    <row r="3788" spans="8:9">
      <c r="H3788" s="1245"/>
      <c r="I3788" s="1245"/>
    </row>
    <row r="3789" spans="8:9">
      <c r="H3789" s="1245"/>
      <c r="I3789" s="1245"/>
    </row>
    <row r="3790" spans="8:9">
      <c r="H3790" s="1245"/>
      <c r="I3790" s="1245"/>
    </row>
    <row r="3791" spans="8:9">
      <c r="H3791" s="1245"/>
      <c r="I3791" s="1245"/>
    </row>
    <row r="3792" spans="8:9">
      <c r="H3792" s="1245"/>
      <c r="I3792" s="1245"/>
    </row>
    <row r="3793" spans="8:9">
      <c r="H3793" s="1245"/>
      <c r="I3793" s="1245"/>
    </row>
    <row r="3794" spans="8:9">
      <c r="H3794" s="1245"/>
      <c r="I3794" s="1245"/>
    </row>
    <row r="3795" spans="8:9">
      <c r="H3795" s="1245"/>
      <c r="I3795" s="1245"/>
    </row>
    <row r="3796" spans="8:9">
      <c r="H3796" s="1245"/>
      <c r="I3796" s="1245"/>
    </row>
    <row r="3797" spans="8:9">
      <c r="H3797" s="1245"/>
      <c r="I3797" s="1245"/>
    </row>
    <row r="3798" spans="8:9">
      <c r="H3798" s="1245"/>
      <c r="I3798" s="1245"/>
    </row>
    <row r="3799" spans="8:9">
      <c r="H3799" s="1245"/>
      <c r="I3799" s="1245"/>
    </row>
    <row r="3800" spans="8:9">
      <c r="H3800" s="1245"/>
      <c r="I3800" s="1245"/>
    </row>
    <row r="3801" spans="8:9">
      <c r="H3801" s="1245"/>
      <c r="I3801" s="1245"/>
    </row>
    <row r="3802" spans="8:9">
      <c r="H3802" s="1245"/>
      <c r="I3802" s="1245"/>
    </row>
    <row r="3803" spans="8:9">
      <c r="H3803" s="1245"/>
      <c r="I3803" s="1245"/>
    </row>
    <row r="3804" spans="8:9">
      <c r="H3804" s="1245"/>
      <c r="I3804" s="1245"/>
    </row>
    <row r="3805" spans="8:9">
      <c r="H3805" s="1245"/>
      <c r="I3805" s="1245"/>
    </row>
    <row r="3806" spans="8:9">
      <c r="H3806" s="1245"/>
      <c r="I3806" s="1245"/>
    </row>
    <row r="3807" spans="8:9">
      <c r="H3807" s="1245"/>
      <c r="I3807" s="1245"/>
    </row>
    <row r="3808" spans="8:9">
      <c r="H3808" s="1245"/>
      <c r="I3808" s="1245"/>
    </row>
    <row r="3809" spans="8:9">
      <c r="H3809" s="1245"/>
      <c r="I3809" s="1245"/>
    </row>
    <row r="3810" spans="8:9">
      <c r="H3810" s="1245"/>
      <c r="I3810" s="1245"/>
    </row>
    <row r="3811" spans="8:9">
      <c r="H3811" s="1245"/>
      <c r="I3811" s="1245"/>
    </row>
    <row r="3812" spans="8:9">
      <c r="H3812" s="1245"/>
      <c r="I3812" s="1245"/>
    </row>
    <row r="3813" spans="8:9">
      <c r="H3813" s="1245"/>
      <c r="I3813" s="1245"/>
    </row>
    <row r="3814" spans="8:9">
      <c r="H3814" s="1245"/>
      <c r="I3814" s="1245"/>
    </row>
    <row r="3815" spans="8:9">
      <c r="H3815" s="1245"/>
      <c r="I3815" s="1245"/>
    </row>
    <row r="3816" spans="8:9">
      <c r="H3816" s="1245"/>
      <c r="I3816" s="1245"/>
    </row>
    <row r="3817" spans="8:9">
      <c r="H3817" s="1245"/>
      <c r="I3817" s="1245"/>
    </row>
    <row r="3818" spans="8:9">
      <c r="H3818" s="1245"/>
      <c r="I3818" s="1245"/>
    </row>
    <row r="3819" spans="8:9">
      <c r="H3819" s="1245"/>
      <c r="I3819" s="1245"/>
    </row>
    <row r="3820" spans="8:9">
      <c r="H3820" s="1245"/>
      <c r="I3820" s="1245"/>
    </row>
    <row r="3821" spans="8:9">
      <c r="H3821" s="1245"/>
      <c r="I3821" s="1245"/>
    </row>
    <row r="3822" spans="8:9">
      <c r="H3822" s="1245"/>
      <c r="I3822" s="1245"/>
    </row>
    <row r="3823" spans="8:9">
      <c r="H3823" s="1245"/>
      <c r="I3823" s="1245"/>
    </row>
    <row r="3824" spans="8:9">
      <c r="H3824" s="1245"/>
      <c r="I3824" s="1245"/>
    </row>
    <row r="3825" spans="8:9">
      <c r="H3825" s="1245"/>
      <c r="I3825" s="1245"/>
    </row>
    <row r="3826" spans="8:9">
      <c r="H3826" s="1245"/>
      <c r="I3826" s="1245"/>
    </row>
    <row r="3827" spans="8:9">
      <c r="H3827" s="1245"/>
      <c r="I3827" s="1245"/>
    </row>
    <row r="3828" spans="8:9">
      <c r="H3828" s="1245"/>
      <c r="I3828" s="1245"/>
    </row>
    <row r="3829" spans="8:9">
      <c r="H3829" s="1245"/>
      <c r="I3829" s="1245"/>
    </row>
    <row r="3830" spans="8:9">
      <c r="H3830" s="1245"/>
      <c r="I3830" s="1245"/>
    </row>
    <row r="3831" spans="8:9">
      <c r="H3831" s="1245"/>
      <c r="I3831" s="1245"/>
    </row>
    <row r="3832" spans="8:9">
      <c r="H3832" s="1245"/>
      <c r="I3832" s="1245"/>
    </row>
    <row r="3833" spans="8:9">
      <c r="H3833" s="1245"/>
      <c r="I3833" s="1245"/>
    </row>
    <row r="3834" spans="8:9">
      <c r="H3834" s="1245"/>
      <c r="I3834" s="1245"/>
    </row>
    <row r="3835" spans="8:9">
      <c r="H3835" s="1245"/>
      <c r="I3835" s="1245"/>
    </row>
    <row r="3836" spans="8:9">
      <c r="H3836" s="1245"/>
      <c r="I3836" s="1245"/>
    </row>
    <row r="3837" spans="8:9">
      <c r="H3837" s="1245"/>
      <c r="I3837" s="1245"/>
    </row>
    <row r="3838" spans="8:9">
      <c r="H3838" s="1245"/>
      <c r="I3838" s="1245"/>
    </row>
    <row r="3839" spans="8:9">
      <c r="H3839" s="1245"/>
      <c r="I3839" s="1245"/>
    </row>
    <row r="3840" spans="8:9">
      <c r="H3840" s="1245"/>
      <c r="I3840" s="1245"/>
    </row>
    <row r="3841" spans="8:9">
      <c r="H3841" s="1245"/>
      <c r="I3841" s="1245"/>
    </row>
    <row r="3842" spans="8:9">
      <c r="H3842" s="1245"/>
      <c r="I3842" s="1245"/>
    </row>
    <row r="3843" spans="8:9">
      <c r="H3843" s="1245"/>
      <c r="I3843" s="1245"/>
    </row>
    <row r="3844" spans="8:9">
      <c r="H3844" s="1245"/>
      <c r="I3844" s="1245"/>
    </row>
    <row r="3845" spans="8:9">
      <c r="H3845" s="1245"/>
      <c r="I3845" s="1245"/>
    </row>
    <row r="3846" spans="8:9">
      <c r="H3846" s="1245"/>
      <c r="I3846" s="1245"/>
    </row>
    <row r="3847" spans="8:9">
      <c r="H3847" s="1245"/>
      <c r="I3847" s="1245"/>
    </row>
    <row r="3848" spans="8:9">
      <c r="H3848" s="1245"/>
      <c r="I3848" s="1245"/>
    </row>
    <row r="3849" spans="8:9">
      <c r="H3849" s="1245"/>
      <c r="I3849" s="1245"/>
    </row>
    <row r="3850" spans="8:9">
      <c r="H3850" s="1245"/>
      <c r="I3850" s="1245"/>
    </row>
    <row r="3851" spans="8:9">
      <c r="H3851" s="1245"/>
      <c r="I3851" s="1245"/>
    </row>
    <row r="3852" spans="8:9">
      <c r="H3852" s="1245"/>
      <c r="I3852" s="1245"/>
    </row>
    <row r="3853" spans="8:9">
      <c r="H3853" s="1245"/>
      <c r="I3853" s="1245"/>
    </row>
    <row r="3854" spans="8:9">
      <c r="H3854" s="1245"/>
      <c r="I3854" s="1245"/>
    </row>
    <row r="3855" spans="8:9">
      <c r="H3855" s="1245"/>
      <c r="I3855" s="1245"/>
    </row>
    <row r="3856" spans="8:9">
      <c r="H3856" s="1245"/>
      <c r="I3856" s="1245"/>
    </row>
    <row r="3857" spans="8:9">
      <c r="H3857" s="1245"/>
      <c r="I3857" s="1245"/>
    </row>
    <row r="3858" spans="8:9">
      <c r="H3858" s="1245"/>
      <c r="I3858" s="1245"/>
    </row>
    <row r="3859" spans="8:9">
      <c r="H3859" s="1245"/>
      <c r="I3859" s="1245"/>
    </row>
    <row r="3860" spans="8:9">
      <c r="H3860" s="1245"/>
      <c r="I3860" s="1245"/>
    </row>
    <row r="3861" spans="8:9">
      <c r="H3861" s="1245"/>
      <c r="I3861" s="1245"/>
    </row>
    <row r="3862" spans="8:9">
      <c r="H3862" s="1245"/>
      <c r="I3862" s="1245"/>
    </row>
    <row r="3863" spans="8:9">
      <c r="H3863" s="1245"/>
      <c r="I3863" s="1245"/>
    </row>
    <row r="3864" spans="8:9">
      <c r="H3864" s="1245"/>
      <c r="I3864" s="1245"/>
    </row>
    <row r="3865" spans="8:9">
      <c r="H3865" s="1245"/>
      <c r="I3865" s="1245"/>
    </row>
    <row r="3866" spans="8:9">
      <c r="H3866" s="1245"/>
      <c r="I3866" s="1245"/>
    </row>
    <row r="3867" spans="8:9">
      <c r="H3867" s="1245"/>
      <c r="I3867" s="1245"/>
    </row>
    <row r="3868" spans="8:9">
      <c r="H3868" s="1245"/>
      <c r="I3868" s="1245"/>
    </row>
    <row r="3869" spans="8:9">
      <c r="H3869" s="1245"/>
      <c r="I3869" s="1245"/>
    </row>
    <row r="3870" spans="8:9">
      <c r="H3870" s="1245"/>
      <c r="I3870" s="1245"/>
    </row>
    <row r="3871" spans="8:9">
      <c r="H3871" s="1245"/>
      <c r="I3871" s="1245"/>
    </row>
    <row r="3872" spans="8:9">
      <c r="H3872" s="1245"/>
      <c r="I3872" s="1245"/>
    </row>
    <row r="3873" spans="8:9">
      <c r="H3873" s="1245"/>
      <c r="I3873" s="1245"/>
    </row>
    <row r="3874" spans="8:9">
      <c r="H3874" s="1245"/>
      <c r="I3874" s="1245"/>
    </row>
    <row r="3875" spans="8:9">
      <c r="H3875" s="1245"/>
      <c r="I3875" s="1245"/>
    </row>
    <row r="3876" spans="8:9">
      <c r="H3876" s="1245"/>
      <c r="I3876" s="1245"/>
    </row>
    <row r="3877" spans="8:9">
      <c r="H3877" s="1245"/>
      <c r="I3877" s="1245"/>
    </row>
    <row r="3878" spans="8:9">
      <c r="H3878" s="1245"/>
      <c r="I3878" s="1245"/>
    </row>
    <row r="3879" spans="8:9">
      <c r="H3879" s="1245"/>
      <c r="I3879" s="1245"/>
    </row>
    <row r="3880" spans="8:9">
      <c r="H3880" s="1245"/>
      <c r="I3880" s="1245"/>
    </row>
    <row r="3881" spans="8:9">
      <c r="H3881" s="1245"/>
      <c r="I3881" s="1245"/>
    </row>
    <row r="3882" spans="8:9">
      <c r="H3882" s="1245"/>
      <c r="I3882" s="1245"/>
    </row>
    <row r="3883" spans="8:9">
      <c r="H3883" s="1245"/>
      <c r="I3883" s="1245"/>
    </row>
    <row r="3884" spans="8:9">
      <c r="H3884" s="1245"/>
      <c r="I3884" s="1245"/>
    </row>
    <row r="3885" spans="8:9">
      <c r="H3885" s="1245"/>
      <c r="I3885" s="1245"/>
    </row>
    <row r="3886" spans="8:9">
      <c r="H3886" s="1245"/>
      <c r="I3886" s="1245"/>
    </row>
    <row r="3887" spans="8:9">
      <c r="H3887" s="1245"/>
      <c r="I3887" s="1245"/>
    </row>
    <row r="3888" spans="8:9">
      <c r="H3888" s="1245"/>
      <c r="I3888" s="1245"/>
    </row>
    <row r="3889" spans="8:9">
      <c r="H3889" s="1245"/>
      <c r="I3889" s="1245"/>
    </row>
    <row r="3890" spans="8:9">
      <c r="H3890" s="1245"/>
      <c r="I3890" s="1245"/>
    </row>
    <row r="3891" spans="8:9">
      <c r="H3891" s="1245"/>
      <c r="I3891" s="1245"/>
    </row>
    <row r="3892" spans="8:9">
      <c r="H3892" s="1245"/>
      <c r="I3892" s="1245"/>
    </row>
    <row r="3893" spans="8:9">
      <c r="H3893" s="1245"/>
      <c r="I3893" s="1245"/>
    </row>
    <row r="3894" spans="8:9">
      <c r="H3894" s="1245"/>
      <c r="I3894" s="1245"/>
    </row>
    <row r="3895" spans="8:9">
      <c r="H3895" s="1245"/>
      <c r="I3895" s="1245"/>
    </row>
    <row r="3896" spans="8:9">
      <c r="H3896" s="1245"/>
      <c r="I3896" s="1245"/>
    </row>
    <row r="3897" spans="8:9">
      <c r="H3897" s="1245"/>
      <c r="I3897" s="1245"/>
    </row>
    <row r="3898" spans="8:9">
      <c r="H3898" s="1245"/>
      <c r="I3898" s="1245"/>
    </row>
    <row r="3899" spans="8:9">
      <c r="H3899" s="1245"/>
      <c r="I3899" s="1245"/>
    </row>
    <row r="3900" spans="8:9">
      <c r="H3900" s="1245"/>
      <c r="I3900" s="1245"/>
    </row>
    <row r="3901" spans="8:9">
      <c r="H3901" s="1245"/>
      <c r="I3901" s="1245"/>
    </row>
    <row r="3902" spans="8:9">
      <c r="H3902" s="1245"/>
      <c r="I3902" s="1245"/>
    </row>
    <row r="3903" spans="8:9">
      <c r="H3903" s="1245"/>
      <c r="I3903" s="1245"/>
    </row>
    <row r="3904" spans="8:9">
      <c r="H3904" s="1245"/>
      <c r="I3904" s="1245"/>
    </row>
    <row r="3905" spans="8:9">
      <c r="H3905" s="1245"/>
      <c r="I3905" s="1245"/>
    </row>
    <row r="3906" spans="8:9">
      <c r="H3906" s="1245"/>
      <c r="I3906" s="1245"/>
    </row>
    <row r="3907" spans="8:9">
      <c r="H3907" s="1245"/>
      <c r="I3907" s="1245"/>
    </row>
    <row r="3908" spans="8:9">
      <c r="H3908" s="1245"/>
      <c r="I3908" s="1245"/>
    </row>
    <row r="3909" spans="8:9">
      <c r="H3909" s="1245"/>
      <c r="I3909" s="1245"/>
    </row>
    <row r="3910" spans="8:9">
      <c r="H3910" s="1245"/>
      <c r="I3910" s="1245"/>
    </row>
    <row r="3911" spans="8:9">
      <c r="H3911" s="1245"/>
      <c r="I3911" s="1245"/>
    </row>
    <row r="3912" spans="8:9">
      <c r="H3912" s="1245"/>
      <c r="I3912" s="1245"/>
    </row>
    <row r="3913" spans="8:9">
      <c r="H3913" s="1245"/>
      <c r="I3913" s="1245"/>
    </row>
    <row r="3914" spans="8:9">
      <c r="H3914" s="1245"/>
      <c r="I3914" s="1245"/>
    </row>
    <row r="3915" spans="8:9">
      <c r="H3915" s="1245"/>
      <c r="I3915" s="1245"/>
    </row>
    <row r="3916" spans="8:9">
      <c r="H3916" s="1245"/>
      <c r="I3916" s="1245"/>
    </row>
    <row r="3917" spans="8:9">
      <c r="H3917" s="1245"/>
      <c r="I3917" s="1245"/>
    </row>
    <row r="3918" spans="8:9">
      <c r="H3918" s="1245"/>
      <c r="I3918" s="1245"/>
    </row>
    <row r="3919" spans="8:9">
      <c r="H3919" s="1245"/>
      <c r="I3919" s="1245"/>
    </row>
    <row r="3920" spans="8:9">
      <c r="H3920" s="1245"/>
      <c r="I3920" s="1245"/>
    </row>
    <row r="3921" spans="8:9">
      <c r="H3921" s="1245"/>
      <c r="I3921" s="1245"/>
    </row>
    <row r="3922" spans="8:9">
      <c r="H3922" s="1245"/>
      <c r="I3922" s="1245"/>
    </row>
    <row r="3923" spans="8:9">
      <c r="H3923" s="1245"/>
      <c r="I3923" s="1245"/>
    </row>
    <row r="3924" spans="8:9">
      <c r="H3924" s="1245"/>
      <c r="I3924" s="1245"/>
    </row>
    <row r="3925" spans="8:9">
      <c r="H3925" s="1245"/>
      <c r="I3925" s="1245"/>
    </row>
    <row r="3926" spans="8:9">
      <c r="H3926" s="1245"/>
      <c r="I3926" s="1245"/>
    </row>
    <row r="3927" spans="8:9">
      <c r="H3927" s="1245"/>
      <c r="I3927" s="1245"/>
    </row>
    <row r="3928" spans="8:9">
      <c r="H3928" s="1245"/>
      <c r="I3928" s="1245"/>
    </row>
    <row r="3929" spans="8:9">
      <c r="H3929" s="1245"/>
      <c r="I3929" s="1245"/>
    </row>
    <row r="3930" spans="8:9">
      <c r="H3930" s="1245"/>
      <c r="I3930" s="1245"/>
    </row>
    <row r="3931" spans="8:9">
      <c r="H3931" s="1245"/>
      <c r="I3931" s="1245"/>
    </row>
    <row r="3932" spans="8:9">
      <c r="H3932" s="1245"/>
      <c r="I3932" s="1245"/>
    </row>
    <row r="3933" spans="8:9">
      <c r="H3933" s="1245"/>
      <c r="I3933" s="1245"/>
    </row>
    <row r="3934" spans="8:9">
      <c r="H3934" s="1245"/>
      <c r="I3934" s="1245"/>
    </row>
    <row r="3935" spans="8:9">
      <c r="H3935" s="1245"/>
      <c r="I3935" s="1245"/>
    </row>
    <row r="3936" spans="8:9">
      <c r="H3936" s="1245"/>
      <c r="I3936" s="1245"/>
    </row>
    <row r="3937" spans="8:9">
      <c r="H3937" s="1245"/>
      <c r="I3937" s="1245"/>
    </row>
    <row r="3938" spans="8:9">
      <c r="H3938" s="1245"/>
      <c r="I3938" s="1245"/>
    </row>
    <row r="3939" spans="8:9">
      <c r="H3939" s="1245"/>
      <c r="I3939" s="1245"/>
    </row>
    <row r="3940" spans="8:9">
      <c r="H3940" s="1245"/>
      <c r="I3940" s="1245"/>
    </row>
    <row r="3941" spans="8:9">
      <c r="H3941" s="1245"/>
      <c r="I3941" s="1245"/>
    </row>
    <row r="3942" spans="8:9">
      <c r="H3942" s="1245"/>
      <c r="I3942" s="1245"/>
    </row>
    <row r="3943" spans="8:9">
      <c r="H3943" s="1245"/>
      <c r="I3943" s="1245"/>
    </row>
    <row r="3944" spans="8:9">
      <c r="H3944" s="1245"/>
      <c r="I3944" s="1245"/>
    </row>
    <row r="3945" spans="8:9">
      <c r="H3945" s="1245"/>
      <c r="I3945" s="1245"/>
    </row>
    <row r="3946" spans="8:9">
      <c r="H3946" s="1245"/>
      <c r="I3946" s="1245"/>
    </row>
    <row r="3947" spans="8:9">
      <c r="H3947" s="1245"/>
      <c r="I3947" s="1245"/>
    </row>
    <row r="3948" spans="8:9">
      <c r="H3948" s="1245"/>
      <c r="I3948" s="1245"/>
    </row>
    <row r="3949" spans="8:9">
      <c r="H3949" s="1245"/>
      <c r="I3949" s="1245"/>
    </row>
    <row r="3950" spans="8:9">
      <c r="H3950" s="1245"/>
      <c r="I3950" s="1245"/>
    </row>
    <row r="3951" spans="8:9">
      <c r="H3951" s="1245"/>
      <c r="I3951" s="1245"/>
    </row>
    <row r="3952" spans="8:9">
      <c r="H3952" s="1245"/>
      <c r="I3952" s="1245"/>
    </row>
    <row r="3953" spans="8:9">
      <c r="H3953" s="1245"/>
      <c r="I3953" s="1245"/>
    </row>
    <row r="3954" spans="8:9">
      <c r="H3954" s="1245"/>
      <c r="I3954" s="1245"/>
    </row>
    <row r="3955" spans="8:9">
      <c r="H3955" s="1245"/>
      <c r="I3955" s="1245"/>
    </row>
    <row r="3956" spans="8:9">
      <c r="H3956" s="1245"/>
      <c r="I3956" s="1245"/>
    </row>
    <row r="3957" spans="8:9">
      <c r="H3957" s="1245"/>
      <c r="I3957" s="1245"/>
    </row>
    <row r="3958" spans="8:9">
      <c r="H3958" s="1245"/>
      <c r="I3958" s="1245"/>
    </row>
    <row r="3959" spans="8:9">
      <c r="H3959" s="1245"/>
      <c r="I3959" s="1245"/>
    </row>
    <row r="3960" spans="8:9">
      <c r="H3960" s="1245"/>
      <c r="I3960" s="1245"/>
    </row>
    <row r="3961" spans="8:9">
      <c r="H3961" s="1245"/>
      <c r="I3961" s="1245"/>
    </row>
    <row r="3962" spans="8:9">
      <c r="H3962" s="1245"/>
      <c r="I3962" s="1245"/>
    </row>
    <row r="3963" spans="8:9">
      <c r="H3963" s="1245"/>
      <c r="I3963" s="1245"/>
    </row>
    <row r="3964" spans="8:9">
      <c r="H3964" s="1245"/>
      <c r="I3964" s="1245"/>
    </row>
    <row r="3965" spans="8:9">
      <c r="H3965" s="1245"/>
      <c r="I3965" s="1245"/>
    </row>
    <row r="3966" spans="8:9">
      <c r="H3966" s="1245"/>
      <c r="I3966" s="1245"/>
    </row>
    <row r="3967" spans="8:9">
      <c r="H3967" s="1245"/>
      <c r="I3967" s="1245"/>
    </row>
    <row r="3968" spans="8:9">
      <c r="H3968" s="1245"/>
      <c r="I3968" s="1245"/>
    </row>
    <row r="3969" spans="8:9">
      <c r="H3969" s="1245"/>
      <c r="I3969" s="1245"/>
    </row>
    <row r="3970" spans="8:9">
      <c r="H3970" s="1245"/>
      <c r="I3970" s="1245"/>
    </row>
    <row r="3971" spans="8:9">
      <c r="H3971" s="1245"/>
      <c r="I3971" s="1245"/>
    </row>
    <row r="3972" spans="8:9">
      <c r="H3972" s="1245"/>
      <c r="I3972" s="1245"/>
    </row>
    <row r="3973" spans="8:9">
      <c r="H3973" s="1245"/>
      <c r="I3973" s="1245"/>
    </row>
    <row r="3974" spans="8:9">
      <c r="H3974" s="1245"/>
      <c r="I3974" s="1245"/>
    </row>
    <row r="3975" spans="8:9">
      <c r="H3975" s="1245"/>
      <c r="I3975" s="1245"/>
    </row>
    <row r="3976" spans="8:9">
      <c r="H3976" s="1245"/>
      <c r="I3976" s="1245"/>
    </row>
    <row r="3977" spans="8:9">
      <c r="H3977" s="1245"/>
      <c r="I3977" s="1245"/>
    </row>
    <row r="3978" spans="8:9">
      <c r="H3978" s="1245"/>
      <c r="I3978" s="1245"/>
    </row>
    <row r="3979" spans="8:9">
      <c r="H3979" s="1245"/>
      <c r="I3979" s="1245"/>
    </row>
    <row r="3980" spans="8:9">
      <c r="H3980" s="1245"/>
      <c r="I3980" s="1245"/>
    </row>
    <row r="3981" spans="8:9">
      <c r="H3981" s="1245"/>
      <c r="I3981" s="1245"/>
    </row>
    <row r="3982" spans="8:9">
      <c r="H3982" s="1245"/>
      <c r="I3982" s="1245"/>
    </row>
    <row r="3983" spans="8:9">
      <c r="H3983" s="1245"/>
      <c r="I3983" s="1245"/>
    </row>
    <row r="3984" spans="8:9">
      <c r="H3984" s="1245"/>
      <c r="I3984" s="1245"/>
    </row>
    <row r="3985" spans="8:9">
      <c r="H3985" s="1245"/>
      <c r="I3985" s="1245"/>
    </row>
    <row r="3986" spans="8:9">
      <c r="H3986" s="1245"/>
      <c r="I3986" s="1245"/>
    </row>
    <row r="3987" spans="8:9">
      <c r="H3987" s="1245"/>
      <c r="I3987" s="1245"/>
    </row>
    <row r="3988" spans="8:9">
      <c r="H3988" s="1245"/>
      <c r="I3988" s="1245"/>
    </row>
    <row r="3989" spans="8:9">
      <c r="H3989" s="1245"/>
      <c r="I3989" s="1245"/>
    </row>
    <row r="3990" spans="8:9">
      <c r="H3990" s="1245"/>
      <c r="I3990" s="1245"/>
    </row>
    <row r="3991" spans="8:9">
      <c r="H3991" s="1245"/>
      <c r="I3991" s="1245"/>
    </row>
    <row r="3992" spans="8:9">
      <c r="H3992" s="1245"/>
      <c r="I3992" s="1245"/>
    </row>
    <row r="3993" spans="8:9">
      <c r="H3993" s="1245"/>
      <c r="I3993" s="1245"/>
    </row>
    <row r="3994" spans="8:9">
      <c r="H3994" s="1245"/>
      <c r="I3994" s="1245"/>
    </row>
    <row r="3995" spans="8:9">
      <c r="H3995" s="1245"/>
      <c r="I3995" s="1245"/>
    </row>
    <row r="3996" spans="8:9">
      <c r="H3996" s="1245"/>
      <c r="I3996" s="1245"/>
    </row>
    <row r="3997" spans="8:9">
      <c r="H3997" s="1245"/>
      <c r="I3997" s="1245"/>
    </row>
    <row r="3998" spans="8:9">
      <c r="H3998" s="1245"/>
      <c r="I3998" s="1245"/>
    </row>
    <row r="3999" spans="8:9">
      <c r="H3999" s="1245"/>
      <c r="I3999" s="1245"/>
    </row>
    <row r="4000" spans="8:9">
      <c r="H4000" s="1245"/>
      <c r="I4000" s="1245"/>
    </row>
    <row r="4001" spans="8:9">
      <c r="H4001" s="1245"/>
      <c r="I4001" s="1245"/>
    </row>
    <row r="4002" spans="8:9">
      <c r="H4002" s="1245"/>
      <c r="I4002" s="1245"/>
    </row>
    <row r="4003" spans="8:9">
      <c r="H4003" s="1245"/>
      <c r="I4003" s="1245"/>
    </row>
    <row r="4004" spans="8:9">
      <c r="H4004" s="1245"/>
      <c r="I4004" s="1245"/>
    </row>
    <row r="4005" spans="8:9">
      <c r="H4005" s="1245"/>
      <c r="I4005" s="1245"/>
    </row>
    <row r="4006" spans="8:9">
      <c r="H4006" s="1245"/>
      <c r="I4006" s="1245"/>
    </row>
    <row r="4007" spans="8:9">
      <c r="H4007" s="1245"/>
      <c r="I4007" s="1245"/>
    </row>
    <row r="4008" spans="8:9">
      <c r="H4008" s="1245"/>
      <c r="I4008" s="1245"/>
    </row>
    <row r="4009" spans="8:9">
      <c r="H4009" s="1245"/>
      <c r="I4009" s="1245"/>
    </row>
    <row r="4010" spans="8:9">
      <c r="H4010" s="1245"/>
      <c r="I4010" s="1245"/>
    </row>
    <row r="4011" spans="8:9">
      <c r="H4011" s="1245"/>
      <c r="I4011" s="1245"/>
    </row>
    <row r="4012" spans="8:9">
      <c r="H4012" s="1245"/>
      <c r="I4012" s="1245"/>
    </row>
    <row r="4013" spans="8:9">
      <c r="H4013" s="1245"/>
      <c r="I4013" s="1245"/>
    </row>
    <row r="4014" spans="8:9">
      <c r="H4014" s="1245"/>
      <c r="I4014" s="1245"/>
    </row>
    <row r="4015" spans="8:9">
      <c r="H4015" s="1245"/>
      <c r="I4015" s="1245"/>
    </row>
    <row r="4016" spans="8:9">
      <c r="H4016" s="1245"/>
      <c r="I4016" s="1245"/>
    </row>
    <row r="4017" spans="8:9">
      <c r="H4017" s="1245"/>
      <c r="I4017" s="1245"/>
    </row>
    <row r="4018" spans="8:9">
      <c r="H4018" s="1245"/>
      <c r="I4018" s="1245"/>
    </row>
    <row r="4019" spans="8:9">
      <c r="H4019" s="1245"/>
      <c r="I4019" s="1245"/>
    </row>
    <row r="4020" spans="8:9">
      <c r="H4020" s="1245"/>
      <c r="I4020" s="1245"/>
    </row>
    <row r="4021" spans="8:9">
      <c r="H4021" s="1245"/>
      <c r="I4021" s="1245"/>
    </row>
    <row r="4022" spans="8:9">
      <c r="H4022" s="1245"/>
      <c r="I4022" s="1245"/>
    </row>
    <row r="4023" spans="8:9">
      <c r="H4023" s="1245"/>
      <c r="I4023" s="1245"/>
    </row>
    <row r="4024" spans="8:9">
      <c r="H4024" s="1245"/>
      <c r="I4024" s="1245"/>
    </row>
    <row r="4025" spans="8:9">
      <c r="H4025" s="1245"/>
      <c r="I4025" s="1245"/>
    </row>
    <row r="4026" spans="8:9">
      <c r="H4026" s="1245"/>
      <c r="I4026" s="1245"/>
    </row>
    <row r="4027" spans="8:9">
      <c r="H4027" s="1245"/>
      <c r="I4027" s="1245"/>
    </row>
    <row r="4028" spans="8:9">
      <c r="H4028" s="1245"/>
      <c r="I4028" s="1245"/>
    </row>
    <row r="4029" spans="8:9">
      <c r="H4029" s="1245"/>
      <c r="I4029" s="1245"/>
    </row>
    <row r="4030" spans="8:9">
      <c r="H4030" s="1245"/>
      <c r="I4030" s="1245"/>
    </row>
    <row r="4031" spans="8:9">
      <c r="H4031" s="1245"/>
      <c r="I4031" s="1245"/>
    </row>
    <row r="4032" spans="8:9">
      <c r="H4032" s="1245"/>
      <c r="I4032" s="1245"/>
    </row>
    <row r="4033" spans="8:9">
      <c r="H4033" s="1245"/>
      <c r="I4033" s="1245"/>
    </row>
    <row r="4034" spans="8:9">
      <c r="H4034" s="1245"/>
      <c r="I4034" s="1245"/>
    </row>
    <row r="4035" spans="8:9">
      <c r="H4035" s="1245"/>
      <c r="I4035" s="1245"/>
    </row>
    <row r="4036" spans="8:9">
      <c r="H4036" s="1245"/>
      <c r="I4036" s="1245"/>
    </row>
    <row r="4037" spans="8:9">
      <c r="H4037" s="1245"/>
      <c r="I4037" s="1245"/>
    </row>
    <row r="4038" spans="8:9">
      <c r="H4038" s="1245"/>
      <c r="I4038" s="1245"/>
    </row>
    <row r="4039" spans="8:9">
      <c r="H4039" s="1245"/>
      <c r="I4039" s="1245"/>
    </row>
    <row r="4040" spans="8:9">
      <c r="H4040" s="1245"/>
      <c r="I4040" s="1245"/>
    </row>
    <row r="4041" spans="8:9">
      <c r="H4041" s="1245"/>
      <c r="I4041" s="1245"/>
    </row>
    <row r="4042" spans="8:9">
      <c r="H4042" s="1245"/>
      <c r="I4042" s="1245"/>
    </row>
    <row r="4043" spans="8:9">
      <c r="H4043" s="1245"/>
      <c r="I4043" s="1245"/>
    </row>
    <row r="4044" spans="8:9">
      <c r="H4044" s="1245"/>
      <c r="I4044" s="1245"/>
    </row>
    <row r="4045" spans="8:9">
      <c r="H4045" s="1245"/>
      <c r="I4045" s="1245"/>
    </row>
    <row r="4046" spans="8:9">
      <c r="H4046" s="1245"/>
      <c r="I4046" s="1245"/>
    </row>
    <row r="4047" spans="8:9">
      <c r="H4047" s="1245"/>
      <c r="I4047" s="1245"/>
    </row>
    <row r="4048" spans="8:9">
      <c r="H4048" s="1245"/>
      <c r="I4048" s="1245"/>
    </row>
    <row r="4049" spans="8:9">
      <c r="H4049" s="1245"/>
      <c r="I4049" s="1245"/>
    </row>
    <row r="4050" spans="8:9">
      <c r="H4050" s="1245"/>
      <c r="I4050" s="1245"/>
    </row>
    <row r="4051" spans="8:9">
      <c r="H4051" s="1245"/>
      <c r="I4051" s="1245"/>
    </row>
    <row r="4052" spans="8:9">
      <c r="H4052" s="1245"/>
      <c r="I4052" s="1245"/>
    </row>
    <row r="4053" spans="8:9">
      <c r="H4053" s="1245"/>
      <c r="I4053" s="1245"/>
    </row>
    <row r="4054" spans="8:9">
      <c r="H4054" s="1245"/>
      <c r="I4054" s="1245"/>
    </row>
    <row r="4055" spans="8:9">
      <c r="H4055" s="1245"/>
      <c r="I4055" s="1245"/>
    </row>
    <row r="4056" spans="8:9">
      <c r="H4056" s="1245"/>
      <c r="I4056" s="1245"/>
    </row>
    <row r="4057" spans="8:9">
      <c r="H4057" s="1245"/>
      <c r="I4057" s="1245"/>
    </row>
    <row r="4058" spans="8:9">
      <c r="H4058" s="1245"/>
      <c r="I4058" s="1245"/>
    </row>
    <row r="4059" spans="8:9">
      <c r="H4059" s="1245"/>
      <c r="I4059" s="1245"/>
    </row>
    <row r="4060" spans="8:9">
      <c r="H4060" s="1245"/>
      <c r="I4060" s="1245"/>
    </row>
    <row r="4061" spans="8:9">
      <c r="H4061" s="1245"/>
      <c r="I4061" s="1245"/>
    </row>
    <row r="4062" spans="8:9">
      <c r="H4062" s="1245"/>
      <c r="I4062" s="1245"/>
    </row>
    <row r="4063" spans="8:9">
      <c r="H4063" s="1245"/>
      <c r="I4063" s="1245"/>
    </row>
    <row r="4064" spans="8:9">
      <c r="H4064" s="1245"/>
      <c r="I4064" s="1245"/>
    </row>
    <row r="4065" spans="8:9">
      <c r="H4065" s="1245"/>
      <c r="I4065" s="1245"/>
    </row>
    <row r="4066" spans="8:9">
      <c r="H4066" s="1245"/>
      <c r="I4066" s="1245"/>
    </row>
    <row r="4067" spans="8:9">
      <c r="H4067" s="1245"/>
      <c r="I4067" s="1245"/>
    </row>
    <row r="4068" spans="8:9">
      <c r="H4068" s="1245"/>
      <c r="I4068" s="1245"/>
    </row>
    <row r="4069" spans="8:9">
      <c r="H4069" s="1245"/>
      <c r="I4069" s="1245"/>
    </row>
    <row r="4070" spans="8:9">
      <c r="H4070" s="1245"/>
      <c r="I4070" s="1245"/>
    </row>
    <row r="4071" spans="8:9">
      <c r="H4071" s="1245"/>
      <c r="I4071" s="1245"/>
    </row>
    <row r="4072" spans="8:9">
      <c r="H4072" s="1245"/>
      <c r="I4072" s="1245"/>
    </row>
    <row r="4073" spans="8:9">
      <c r="H4073" s="1245"/>
      <c r="I4073" s="1245"/>
    </row>
    <row r="4074" spans="8:9">
      <c r="H4074" s="1245"/>
      <c r="I4074" s="1245"/>
    </row>
    <row r="4075" spans="8:9">
      <c r="H4075" s="1245"/>
      <c r="I4075" s="1245"/>
    </row>
    <row r="4076" spans="8:9">
      <c r="H4076" s="1245"/>
      <c r="I4076" s="1245"/>
    </row>
    <row r="4077" spans="8:9">
      <c r="H4077" s="1245"/>
      <c r="I4077" s="1245"/>
    </row>
    <row r="4078" spans="8:9">
      <c r="H4078" s="1245"/>
      <c r="I4078" s="1245"/>
    </row>
    <row r="4079" spans="8:9">
      <c r="H4079" s="1245"/>
      <c r="I4079" s="1245"/>
    </row>
    <row r="4080" spans="8:9">
      <c r="H4080" s="1245"/>
      <c r="I4080" s="1245"/>
    </row>
    <row r="4081" spans="8:9">
      <c r="H4081" s="1245"/>
      <c r="I4081" s="1245"/>
    </row>
    <row r="4082" spans="8:9">
      <c r="H4082" s="1245"/>
      <c r="I4082" s="1245"/>
    </row>
    <row r="4083" spans="8:9">
      <c r="H4083" s="1245"/>
      <c r="I4083" s="1245"/>
    </row>
    <row r="4084" spans="8:9">
      <c r="H4084" s="1245"/>
      <c r="I4084" s="1245"/>
    </row>
    <row r="4085" spans="8:9">
      <c r="H4085" s="1245"/>
      <c r="I4085" s="1245"/>
    </row>
    <row r="4086" spans="8:9">
      <c r="H4086" s="1245"/>
      <c r="I4086" s="1245"/>
    </row>
    <row r="4087" spans="8:9">
      <c r="H4087" s="1245"/>
      <c r="I4087" s="1245"/>
    </row>
    <row r="4088" spans="8:9">
      <c r="H4088" s="1245"/>
      <c r="I4088" s="1245"/>
    </row>
    <row r="4089" spans="8:9">
      <c r="H4089" s="1245"/>
      <c r="I4089" s="1245"/>
    </row>
    <row r="4090" spans="8:9">
      <c r="H4090" s="1245"/>
      <c r="I4090" s="1245"/>
    </row>
    <row r="4091" spans="8:9">
      <c r="H4091" s="1245"/>
      <c r="I4091" s="1245"/>
    </row>
    <row r="4092" spans="8:9">
      <c r="H4092" s="1245"/>
      <c r="I4092" s="1245"/>
    </row>
    <row r="4093" spans="8:9">
      <c r="H4093" s="1245"/>
      <c r="I4093" s="1245"/>
    </row>
    <row r="4094" spans="8:9">
      <c r="H4094" s="1245"/>
      <c r="I4094" s="1245"/>
    </row>
    <row r="4095" spans="8:9">
      <c r="H4095" s="1245"/>
      <c r="I4095" s="1245"/>
    </row>
    <row r="4096" spans="8:9">
      <c r="H4096" s="1245"/>
      <c r="I4096" s="1245"/>
    </row>
    <row r="4097" spans="8:9">
      <c r="H4097" s="1245"/>
      <c r="I4097" s="1245"/>
    </row>
    <row r="4098" spans="8:9">
      <c r="H4098" s="1245"/>
      <c r="I4098" s="1245"/>
    </row>
    <row r="4099" spans="8:9">
      <c r="H4099" s="1245"/>
      <c r="I4099" s="1245"/>
    </row>
    <row r="4100" spans="8:9">
      <c r="H4100" s="1245"/>
      <c r="I4100" s="1245"/>
    </row>
    <row r="4101" spans="8:9">
      <c r="H4101" s="1245"/>
      <c r="I4101" s="1245"/>
    </row>
    <row r="4102" spans="8:9">
      <c r="H4102" s="1245"/>
      <c r="I4102" s="1245"/>
    </row>
    <row r="4103" spans="8:9">
      <c r="H4103" s="1245"/>
      <c r="I4103" s="1245"/>
    </row>
    <row r="4104" spans="8:9">
      <c r="H4104" s="1245"/>
      <c r="I4104" s="1245"/>
    </row>
    <row r="4105" spans="8:9">
      <c r="H4105" s="1245"/>
      <c r="I4105" s="1245"/>
    </row>
    <row r="4106" spans="8:9">
      <c r="H4106" s="1245"/>
      <c r="I4106" s="1245"/>
    </row>
    <row r="4107" spans="8:9">
      <c r="H4107" s="1245"/>
      <c r="I4107" s="1245"/>
    </row>
    <row r="4108" spans="8:9">
      <c r="H4108" s="1245"/>
      <c r="I4108" s="1245"/>
    </row>
    <row r="4109" spans="8:9">
      <c r="H4109" s="1245"/>
      <c r="I4109" s="1245"/>
    </row>
    <row r="4110" spans="8:9">
      <c r="H4110" s="1245"/>
      <c r="I4110" s="1245"/>
    </row>
    <row r="4111" spans="8:9">
      <c r="H4111" s="1245"/>
      <c r="I4111" s="1245"/>
    </row>
    <row r="4112" spans="8:9">
      <c r="H4112" s="1245"/>
      <c r="I4112" s="1245"/>
    </row>
    <row r="4113" spans="8:9">
      <c r="H4113" s="1245"/>
      <c r="I4113" s="1245"/>
    </row>
    <row r="4114" spans="8:9">
      <c r="H4114" s="1245"/>
      <c r="I4114" s="1245"/>
    </row>
    <row r="4115" spans="8:9">
      <c r="H4115" s="1245"/>
      <c r="I4115" s="1245"/>
    </row>
    <row r="4116" spans="8:9">
      <c r="H4116" s="1245"/>
      <c r="I4116" s="1245"/>
    </row>
    <row r="4117" spans="8:9">
      <c r="H4117" s="1245"/>
      <c r="I4117" s="1245"/>
    </row>
    <row r="4118" spans="8:9">
      <c r="H4118" s="1245"/>
      <c r="I4118" s="1245"/>
    </row>
    <row r="4119" spans="8:9">
      <c r="H4119" s="1245"/>
      <c r="I4119" s="1245"/>
    </row>
    <row r="4120" spans="8:9">
      <c r="H4120" s="1245"/>
      <c r="I4120" s="1245"/>
    </row>
    <row r="4121" spans="8:9">
      <c r="H4121" s="1245"/>
      <c r="I4121" s="1245"/>
    </row>
    <row r="4122" spans="8:9">
      <c r="H4122" s="1245"/>
      <c r="I4122" s="1245"/>
    </row>
    <row r="4123" spans="8:9">
      <c r="H4123" s="1245"/>
      <c r="I4123" s="1245"/>
    </row>
    <row r="4124" spans="8:9">
      <c r="H4124" s="1245"/>
      <c r="I4124" s="1245"/>
    </row>
    <row r="4125" spans="8:9">
      <c r="H4125" s="1245"/>
      <c r="I4125" s="1245"/>
    </row>
    <row r="4126" spans="8:9">
      <c r="H4126" s="1245"/>
      <c r="I4126" s="1245"/>
    </row>
    <row r="4127" spans="8:9">
      <c r="H4127" s="1245"/>
      <c r="I4127" s="1245"/>
    </row>
    <row r="4128" spans="8:9">
      <c r="H4128" s="1245"/>
      <c r="I4128" s="1245"/>
    </row>
    <row r="4129" spans="8:9">
      <c r="H4129" s="1245"/>
      <c r="I4129" s="1245"/>
    </row>
    <row r="4130" spans="8:9">
      <c r="H4130" s="1245"/>
      <c r="I4130" s="1245"/>
    </row>
    <row r="4131" spans="8:9">
      <c r="H4131" s="1245"/>
      <c r="I4131" s="1245"/>
    </row>
    <row r="4132" spans="8:9">
      <c r="H4132" s="1245"/>
      <c r="I4132" s="1245"/>
    </row>
    <row r="4133" spans="8:9">
      <c r="H4133" s="1245"/>
      <c r="I4133" s="1245"/>
    </row>
    <row r="4134" spans="8:9">
      <c r="H4134" s="1245"/>
      <c r="I4134" s="1245"/>
    </row>
    <row r="4135" spans="8:9">
      <c r="H4135" s="1245"/>
      <c r="I4135" s="1245"/>
    </row>
    <row r="4136" spans="8:9">
      <c r="H4136" s="1245"/>
      <c r="I4136" s="1245"/>
    </row>
    <row r="4137" spans="8:9">
      <c r="H4137" s="1245"/>
      <c r="I4137" s="1245"/>
    </row>
    <row r="4138" spans="8:9">
      <c r="H4138" s="1245"/>
      <c r="I4138" s="1245"/>
    </row>
    <row r="4139" spans="8:9">
      <c r="H4139" s="1245"/>
      <c r="I4139" s="1245"/>
    </row>
    <row r="4140" spans="8:9">
      <c r="H4140" s="1245"/>
      <c r="I4140" s="1245"/>
    </row>
    <row r="4141" spans="8:9">
      <c r="H4141" s="1245"/>
      <c r="I4141" s="1245"/>
    </row>
    <row r="4142" spans="8:9">
      <c r="H4142" s="1245"/>
      <c r="I4142" s="1245"/>
    </row>
    <row r="4143" spans="8:9">
      <c r="H4143" s="1245"/>
      <c r="I4143" s="1245"/>
    </row>
    <row r="4144" spans="8:9">
      <c r="H4144" s="1245"/>
      <c r="I4144" s="1245"/>
    </row>
    <row r="4145" spans="8:9">
      <c r="H4145" s="1245"/>
      <c r="I4145" s="1245"/>
    </row>
    <row r="4146" spans="8:9">
      <c r="H4146" s="1245"/>
      <c r="I4146" s="1245"/>
    </row>
    <row r="4147" spans="8:9">
      <c r="H4147" s="1245"/>
      <c r="I4147" s="1245"/>
    </row>
    <row r="4148" spans="8:9">
      <c r="H4148" s="1245"/>
      <c r="I4148" s="1245"/>
    </row>
    <row r="4149" spans="8:9">
      <c r="H4149" s="1245"/>
      <c r="I4149" s="1245"/>
    </row>
    <row r="4150" spans="8:9">
      <c r="H4150" s="1245"/>
      <c r="I4150" s="1245"/>
    </row>
    <row r="4151" spans="8:9">
      <c r="H4151" s="1245"/>
      <c r="I4151" s="1245"/>
    </row>
    <row r="4152" spans="8:9">
      <c r="H4152" s="1245"/>
      <c r="I4152" s="1245"/>
    </row>
    <row r="4153" spans="8:9">
      <c r="H4153" s="1245"/>
      <c r="I4153" s="1245"/>
    </row>
    <row r="4154" spans="8:9">
      <c r="H4154" s="1245"/>
      <c r="I4154" s="1245"/>
    </row>
    <row r="4155" spans="8:9">
      <c r="H4155" s="1245"/>
      <c r="I4155" s="1245"/>
    </row>
    <row r="4156" spans="8:9">
      <c r="H4156" s="1245"/>
      <c r="I4156" s="1245"/>
    </row>
    <row r="4157" spans="8:9">
      <c r="H4157" s="1245"/>
      <c r="I4157" s="1245"/>
    </row>
    <row r="4158" spans="8:9">
      <c r="H4158" s="1245"/>
      <c r="I4158" s="1245"/>
    </row>
    <row r="4159" spans="8:9">
      <c r="H4159" s="1245"/>
      <c r="I4159" s="1245"/>
    </row>
    <row r="4160" spans="8:9">
      <c r="H4160" s="1245"/>
      <c r="I4160" s="1245"/>
    </row>
    <row r="4161" spans="8:9">
      <c r="H4161" s="1245"/>
      <c r="I4161" s="1245"/>
    </row>
    <row r="4162" spans="8:9">
      <c r="H4162" s="1245"/>
      <c r="I4162" s="1245"/>
    </row>
    <row r="4163" spans="8:9">
      <c r="H4163" s="1245"/>
      <c r="I4163" s="1245"/>
    </row>
    <row r="4164" spans="8:9">
      <c r="H4164" s="1245"/>
      <c r="I4164" s="1245"/>
    </row>
    <row r="4165" spans="8:9">
      <c r="H4165" s="1245"/>
      <c r="I4165" s="1245"/>
    </row>
    <row r="4166" spans="8:9">
      <c r="H4166" s="1245"/>
      <c r="I4166" s="1245"/>
    </row>
    <row r="4167" spans="8:9">
      <c r="H4167" s="1245"/>
      <c r="I4167" s="1245"/>
    </row>
    <row r="4168" spans="8:9">
      <c r="H4168" s="1245"/>
      <c r="I4168" s="1245"/>
    </row>
    <row r="4169" spans="8:9">
      <c r="H4169" s="1245"/>
      <c r="I4169" s="1245"/>
    </row>
    <row r="4170" spans="8:9">
      <c r="H4170" s="1245"/>
      <c r="I4170" s="1245"/>
    </row>
    <row r="4171" spans="8:9">
      <c r="H4171" s="1245"/>
      <c r="I4171" s="1245"/>
    </row>
    <row r="4172" spans="8:9">
      <c r="H4172" s="1245"/>
      <c r="I4172" s="1245"/>
    </row>
    <row r="4173" spans="8:9">
      <c r="H4173" s="1245"/>
      <c r="I4173" s="1245"/>
    </row>
    <row r="4174" spans="8:9">
      <c r="H4174" s="1245"/>
      <c r="I4174" s="1245"/>
    </row>
    <row r="4175" spans="8:9">
      <c r="H4175" s="1245"/>
      <c r="I4175" s="1245"/>
    </row>
    <row r="4176" spans="8:9">
      <c r="H4176" s="1245"/>
      <c r="I4176" s="1245"/>
    </row>
    <row r="4177" spans="8:9">
      <c r="H4177" s="1245"/>
      <c r="I4177" s="1245"/>
    </row>
    <row r="4178" spans="8:9">
      <c r="H4178" s="1245"/>
      <c r="I4178" s="1245"/>
    </row>
    <row r="4179" spans="8:9">
      <c r="H4179" s="1245"/>
      <c r="I4179" s="1245"/>
    </row>
    <row r="4180" spans="8:9">
      <c r="H4180" s="1245"/>
      <c r="I4180" s="1245"/>
    </row>
    <row r="4181" spans="8:9">
      <c r="H4181" s="1245"/>
      <c r="I4181" s="1245"/>
    </row>
    <row r="4182" spans="8:9">
      <c r="H4182" s="1245"/>
      <c r="I4182" s="1245"/>
    </row>
    <row r="4183" spans="8:9">
      <c r="H4183" s="1245"/>
      <c r="I4183" s="1245"/>
    </row>
    <row r="4184" spans="8:9">
      <c r="H4184" s="1245"/>
      <c r="I4184" s="1245"/>
    </row>
    <row r="4185" spans="8:9">
      <c r="H4185" s="1245"/>
      <c r="I4185" s="1245"/>
    </row>
    <row r="4186" spans="8:9">
      <c r="H4186" s="1245"/>
      <c r="I4186" s="1245"/>
    </row>
    <row r="4187" spans="8:9">
      <c r="H4187" s="1245"/>
      <c r="I4187" s="1245"/>
    </row>
    <row r="4188" spans="8:9">
      <c r="H4188" s="1245"/>
      <c r="I4188" s="1245"/>
    </row>
    <row r="4189" spans="8:9">
      <c r="H4189" s="1245"/>
      <c r="I4189" s="1245"/>
    </row>
    <row r="4190" spans="8:9">
      <c r="H4190" s="1245"/>
      <c r="I4190" s="1245"/>
    </row>
    <row r="4191" spans="8:9">
      <c r="H4191" s="1245"/>
      <c r="I4191" s="1245"/>
    </row>
    <row r="4192" spans="8:9">
      <c r="H4192" s="1245"/>
      <c r="I4192" s="1245"/>
    </row>
    <row r="4193" spans="8:9">
      <c r="H4193" s="1245"/>
      <c r="I4193" s="1245"/>
    </row>
    <row r="4194" spans="8:9">
      <c r="H4194" s="1245"/>
      <c r="I4194" s="1245"/>
    </row>
    <row r="4195" spans="8:9">
      <c r="H4195" s="1245"/>
      <c r="I4195" s="1245"/>
    </row>
    <row r="4196" spans="8:9">
      <c r="H4196" s="1245"/>
      <c r="I4196" s="1245"/>
    </row>
    <row r="4197" spans="8:9">
      <c r="H4197" s="1245"/>
      <c r="I4197" s="1245"/>
    </row>
    <row r="4198" spans="8:9">
      <c r="H4198" s="1245"/>
      <c r="I4198" s="1245"/>
    </row>
    <row r="4199" spans="8:9">
      <c r="H4199" s="1245"/>
      <c r="I4199" s="1245"/>
    </row>
    <row r="4200" spans="8:9">
      <c r="H4200" s="1245"/>
      <c r="I4200" s="1245"/>
    </row>
    <row r="4201" spans="8:9">
      <c r="H4201" s="1245"/>
      <c r="I4201" s="1245"/>
    </row>
    <row r="4202" spans="8:9">
      <c r="H4202" s="1245"/>
      <c r="I4202" s="1245"/>
    </row>
    <row r="4203" spans="8:9">
      <c r="H4203" s="1245"/>
      <c r="I4203" s="1245"/>
    </row>
    <row r="4204" spans="8:9">
      <c r="H4204" s="1245"/>
      <c r="I4204" s="1245"/>
    </row>
    <row r="4205" spans="8:9">
      <c r="H4205" s="1245"/>
      <c r="I4205" s="1245"/>
    </row>
    <row r="4206" spans="8:9">
      <c r="H4206" s="1245"/>
      <c r="I4206" s="1245"/>
    </row>
    <row r="4207" spans="8:9">
      <c r="H4207" s="1245"/>
      <c r="I4207" s="1245"/>
    </row>
    <row r="4208" spans="8:9">
      <c r="H4208" s="1245"/>
      <c r="I4208" s="1245"/>
    </row>
    <row r="4209" spans="8:9">
      <c r="H4209" s="1245"/>
      <c r="I4209" s="1245"/>
    </row>
    <row r="4210" spans="8:9">
      <c r="H4210" s="1245"/>
      <c r="I4210" s="1245"/>
    </row>
    <row r="4211" spans="8:9">
      <c r="H4211" s="1245"/>
      <c r="I4211" s="1245"/>
    </row>
    <row r="4212" spans="8:9">
      <c r="H4212" s="1245"/>
      <c r="I4212" s="1245"/>
    </row>
    <row r="4213" spans="8:9">
      <c r="H4213" s="1245"/>
      <c r="I4213" s="1245"/>
    </row>
    <row r="4214" spans="8:9">
      <c r="H4214" s="1245"/>
      <c r="I4214" s="1245"/>
    </row>
    <row r="4215" spans="8:9">
      <c r="H4215" s="1245"/>
      <c r="I4215" s="1245"/>
    </row>
    <row r="4216" spans="8:9">
      <c r="H4216" s="1245"/>
      <c r="I4216" s="1245"/>
    </row>
    <row r="4217" spans="8:9">
      <c r="H4217" s="1245"/>
      <c r="I4217" s="1245"/>
    </row>
    <row r="4218" spans="8:9">
      <c r="H4218" s="1245"/>
      <c r="I4218" s="1245"/>
    </row>
    <row r="4219" spans="8:9">
      <c r="H4219" s="1245"/>
      <c r="I4219" s="1245"/>
    </row>
    <row r="4220" spans="8:9">
      <c r="H4220" s="1245"/>
      <c r="I4220" s="1245"/>
    </row>
    <row r="4221" spans="8:9">
      <c r="H4221" s="1245"/>
      <c r="I4221" s="1245"/>
    </row>
    <row r="4222" spans="8:9">
      <c r="H4222" s="1245"/>
      <c r="I4222" s="1245"/>
    </row>
    <row r="4223" spans="8:9">
      <c r="H4223" s="1245"/>
      <c r="I4223" s="1245"/>
    </row>
    <row r="4224" spans="8:9">
      <c r="H4224" s="1245"/>
      <c r="I4224" s="1245"/>
    </row>
    <row r="4225" spans="8:9">
      <c r="H4225" s="1245"/>
      <c r="I4225" s="1245"/>
    </row>
    <row r="4226" spans="8:9">
      <c r="H4226" s="1245"/>
      <c r="I4226" s="1245"/>
    </row>
    <row r="4227" spans="8:9">
      <c r="H4227" s="1245"/>
      <c r="I4227" s="1245"/>
    </row>
    <row r="4228" spans="8:9">
      <c r="H4228" s="1245"/>
      <c r="I4228" s="1245"/>
    </row>
    <row r="4229" spans="8:9">
      <c r="H4229" s="1245"/>
      <c r="I4229" s="1245"/>
    </row>
    <row r="4230" spans="8:9">
      <c r="H4230" s="1245"/>
      <c r="I4230" s="1245"/>
    </row>
    <row r="4231" spans="8:9">
      <c r="H4231" s="1245"/>
      <c r="I4231" s="1245"/>
    </row>
    <row r="4232" spans="8:9">
      <c r="H4232" s="1245"/>
      <c r="I4232" s="1245"/>
    </row>
    <row r="4233" spans="8:9">
      <c r="H4233" s="1245"/>
      <c r="I4233" s="1245"/>
    </row>
    <row r="4234" spans="8:9">
      <c r="H4234" s="1245"/>
      <c r="I4234" s="1245"/>
    </row>
    <row r="4235" spans="8:9">
      <c r="H4235" s="1245"/>
      <c r="I4235" s="1245"/>
    </row>
    <row r="4236" spans="8:9">
      <c r="H4236" s="1245"/>
      <c r="I4236" s="1245"/>
    </row>
    <row r="4237" spans="8:9">
      <c r="H4237" s="1245"/>
      <c r="I4237" s="1245"/>
    </row>
    <row r="4238" spans="8:9">
      <c r="H4238" s="1245"/>
      <c r="I4238" s="1245"/>
    </row>
    <row r="4239" spans="8:9">
      <c r="H4239" s="1245"/>
      <c r="I4239" s="1245"/>
    </row>
    <row r="4240" spans="8:9">
      <c r="H4240" s="1245"/>
      <c r="I4240" s="1245"/>
    </row>
    <row r="4241" spans="8:9">
      <c r="H4241" s="1245"/>
      <c r="I4241" s="1245"/>
    </row>
    <row r="4242" spans="8:9">
      <c r="H4242" s="1245"/>
      <c r="I4242" s="1245"/>
    </row>
    <row r="4243" spans="8:9">
      <c r="H4243" s="1245"/>
      <c r="I4243" s="1245"/>
    </row>
    <row r="4244" spans="8:9">
      <c r="H4244" s="1245"/>
      <c r="I4244" s="1245"/>
    </row>
    <row r="4245" spans="8:9">
      <c r="H4245" s="1245"/>
      <c r="I4245" s="1245"/>
    </row>
    <row r="4246" spans="8:9">
      <c r="H4246" s="1245"/>
      <c r="I4246" s="1245"/>
    </row>
    <row r="4247" spans="8:9">
      <c r="H4247" s="1245"/>
      <c r="I4247" s="1245"/>
    </row>
    <row r="4248" spans="8:9">
      <c r="H4248" s="1245"/>
      <c r="I4248" s="1245"/>
    </row>
    <row r="4249" spans="8:9">
      <c r="H4249" s="1245"/>
      <c r="I4249" s="1245"/>
    </row>
    <row r="4250" spans="8:9">
      <c r="H4250" s="1245"/>
      <c r="I4250" s="1245"/>
    </row>
    <row r="4251" spans="8:9">
      <c r="H4251" s="1245"/>
      <c r="I4251" s="1245"/>
    </row>
    <row r="4252" spans="8:9">
      <c r="H4252" s="1245"/>
      <c r="I4252" s="1245"/>
    </row>
    <row r="4253" spans="8:9">
      <c r="H4253" s="1245"/>
      <c r="I4253" s="1245"/>
    </row>
    <row r="4254" spans="8:9">
      <c r="H4254" s="1245"/>
      <c r="I4254" s="1245"/>
    </row>
    <row r="4255" spans="8:9">
      <c r="H4255" s="1245"/>
      <c r="I4255" s="1245"/>
    </row>
    <row r="4256" spans="8:9">
      <c r="H4256" s="1245"/>
      <c r="I4256" s="1245"/>
    </row>
    <row r="4257" spans="8:9">
      <c r="H4257" s="1245"/>
      <c r="I4257" s="1245"/>
    </row>
    <row r="4258" spans="8:9">
      <c r="H4258" s="1245"/>
      <c r="I4258" s="1245"/>
    </row>
    <row r="4259" spans="8:9">
      <c r="H4259" s="1245"/>
      <c r="I4259" s="1245"/>
    </row>
    <row r="4260" spans="8:9">
      <c r="H4260" s="1245"/>
      <c r="I4260" s="1245"/>
    </row>
    <row r="4261" spans="8:9">
      <c r="H4261" s="1245"/>
      <c r="I4261" s="1245"/>
    </row>
    <row r="4262" spans="8:9">
      <c r="H4262" s="1245"/>
      <c r="I4262" s="1245"/>
    </row>
    <row r="4263" spans="8:9">
      <c r="H4263" s="1245"/>
      <c r="I4263" s="1245"/>
    </row>
    <row r="4264" spans="8:9">
      <c r="H4264" s="1245"/>
      <c r="I4264" s="1245"/>
    </row>
    <row r="4265" spans="8:9">
      <c r="H4265" s="1245"/>
      <c r="I4265" s="1245"/>
    </row>
    <row r="4266" spans="8:9">
      <c r="H4266" s="1245"/>
      <c r="I4266" s="1245"/>
    </row>
    <row r="4267" spans="8:9">
      <c r="H4267" s="1245"/>
      <c r="I4267" s="1245"/>
    </row>
    <row r="4268" spans="8:9">
      <c r="H4268" s="1245"/>
      <c r="I4268" s="1245"/>
    </row>
    <row r="4269" spans="8:9">
      <c r="H4269" s="1245"/>
      <c r="I4269" s="1245"/>
    </row>
    <row r="4270" spans="8:9">
      <c r="H4270" s="1245"/>
      <c r="I4270" s="1245"/>
    </row>
    <row r="4271" spans="8:9">
      <c r="H4271" s="1245"/>
      <c r="I4271" s="1245"/>
    </row>
    <row r="4272" spans="8:9">
      <c r="H4272" s="1245"/>
      <c r="I4272" s="1245"/>
    </row>
    <row r="4273" spans="8:9">
      <c r="H4273" s="1245"/>
      <c r="I4273" s="1245"/>
    </row>
    <row r="4274" spans="8:9">
      <c r="H4274" s="1245"/>
      <c r="I4274" s="1245"/>
    </row>
    <row r="4275" spans="8:9">
      <c r="H4275" s="1245"/>
      <c r="I4275" s="1245"/>
    </row>
    <row r="4276" spans="8:9">
      <c r="H4276" s="1245"/>
      <c r="I4276" s="1245"/>
    </row>
    <row r="4277" spans="8:9">
      <c r="H4277" s="1245"/>
      <c r="I4277" s="1245"/>
    </row>
    <row r="4278" spans="8:9">
      <c r="H4278" s="1245"/>
      <c r="I4278" s="1245"/>
    </row>
    <row r="4279" spans="8:9">
      <c r="H4279" s="1245"/>
      <c r="I4279" s="1245"/>
    </row>
    <row r="4280" spans="8:9">
      <c r="H4280" s="1245"/>
      <c r="I4280" s="1245"/>
    </row>
    <row r="4281" spans="8:9">
      <c r="H4281" s="1245"/>
      <c r="I4281" s="1245"/>
    </row>
    <row r="4282" spans="8:9">
      <c r="H4282" s="1245"/>
      <c r="I4282" s="1245"/>
    </row>
    <row r="4283" spans="8:9">
      <c r="H4283" s="1245"/>
      <c r="I4283" s="1245"/>
    </row>
    <row r="4284" spans="8:9">
      <c r="H4284" s="1245"/>
      <c r="I4284" s="1245"/>
    </row>
    <row r="4285" spans="8:9">
      <c r="H4285" s="1245"/>
      <c r="I4285" s="1245"/>
    </row>
    <row r="4286" spans="8:9">
      <c r="H4286" s="1245"/>
      <c r="I4286" s="1245"/>
    </row>
    <row r="4287" spans="8:9">
      <c r="H4287" s="1245"/>
      <c r="I4287" s="1245"/>
    </row>
    <row r="4288" spans="8:9">
      <c r="H4288" s="1245"/>
      <c r="I4288" s="1245"/>
    </row>
    <row r="4289" spans="8:9">
      <c r="H4289" s="1245"/>
      <c r="I4289" s="1245"/>
    </row>
    <row r="4290" spans="8:9">
      <c r="H4290" s="1245"/>
      <c r="I4290" s="1245"/>
    </row>
    <row r="4291" spans="8:9">
      <c r="H4291" s="1245"/>
      <c r="I4291" s="1245"/>
    </row>
    <row r="4292" spans="8:9">
      <c r="H4292" s="1245"/>
      <c r="I4292" s="1245"/>
    </row>
    <row r="4293" spans="8:9">
      <c r="H4293" s="1245"/>
      <c r="I4293" s="1245"/>
    </row>
    <row r="4294" spans="8:9">
      <c r="H4294" s="1245"/>
      <c r="I4294" s="1245"/>
    </row>
    <row r="4295" spans="8:9">
      <c r="H4295" s="1245"/>
      <c r="I4295" s="1245"/>
    </row>
    <row r="4296" spans="8:9">
      <c r="H4296" s="1245"/>
      <c r="I4296" s="1245"/>
    </row>
    <row r="4297" spans="8:9">
      <c r="H4297" s="1245"/>
      <c r="I4297" s="1245"/>
    </row>
    <row r="4298" spans="8:9">
      <c r="H4298" s="1245"/>
      <c r="I4298" s="1245"/>
    </row>
    <row r="4299" spans="8:9">
      <c r="H4299" s="1245"/>
      <c r="I4299" s="1245"/>
    </row>
    <row r="4300" spans="8:9">
      <c r="H4300" s="1245"/>
      <c r="I4300" s="1245"/>
    </row>
    <row r="4301" spans="8:9">
      <c r="H4301" s="1245"/>
      <c r="I4301" s="1245"/>
    </row>
    <row r="4302" spans="8:9">
      <c r="H4302" s="1245"/>
      <c r="I4302" s="1245"/>
    </row>
    <row r="4303" spans="8:9">
      <c r="H4303" s="1245"/>
      <c r="I4303" s="1245"/>
    </row>
    <row r="4304" spans="8:9">
      <c r="H4304" s="1245"/>
      <c r="I4304" s="1245"/>
    </row>
    <row r="4305" spans="8:9">
      <c r="H4305" s="1245"/>
      <c r="I4305" s="1245"/>
    </row>
    <row r="4306" spans="8:9">
      <c r="H4306" s="1245"/>
      <c r="I4306" s="1245"/>
    </row>
    <row r="4307" spans="8:9">
      <c r="H4307" s="1245"/>
      <c r="I4307" s="1245"/>
    </row>
    <row r="4308" spans="8:9">
      <c r="H4308" s="1245"/>
      <c r="I4308" s="1245"/>
    </row>
    <row r="4309" spans="8:9">
      <c r="H4309" s="1245"/>
      <c r="I4309" s="1245"/>
    </row>
    <row r="4310" spans="8:9">
      <c r="H4310" s="1245"/>
      <c r="I4310" s="1245"/>
    </row>
    <row r="4311" spans="8:9">
      <c r="H4311" s="1245"/>
      <c r="I4311" s="1245"/>
    </row>
    <row r="4312" spans="8:9">
      <c r="H4312" s="1245"/>
      <c r="I4312" s="1245"/>
    </row>
    <row r="4313" spans="8:9">
      <c r="H4313" s="1245"/>
      <c r="I4313" s="1245"/>
    </row>
    <row r="4314" spans="8:9">
      <c r="H4314" s="1245"/>
      <c r="I4314" s="1245"/>
    </row>
    <row r="4315" spans="8:9">
      <c r="H4315" s="1245"/>
      <c r="I4315" s="1245"/>
    </row>
    <row r="4316" spans="8:9">
      <c r="H4316" s="1245"/>
      <c r="I4316" s="1245"/>
    </row>
    <row r="4317" spans="8:9">
      <c r="H4317" s="1245"/>
      <c r="I4317" s="1245"/>
    </row>
    <row r="4318" spans="8:9">
      <c r="H4318" s="1245"/>
      <c r="I4318" s="1245"/>
    </row>
    <row r="4319" spans="8:9">
      <c r="H4319" s="1245"/>
      <c r="I4319" s="1245"/>
    </row>
    <row r="4320" spans="8:9">
      <c r="H4320" s="1245"/>
      <c r="I4320" s="1245"/>
    </row>
    <row r="4321" spans="8:9">
      <c r="H4321" s="1245"/>
      <c r="I4321" s="1245"/>
    </row>
    <row r="4322" spans="8:9">
      <c r="H4322" s="1245"/>
      <c r="I4322" s="1245"/>
    </row>
    <row r="4323" spans="8:9">
      <c r="H4323" s="1245"/>
      <c r="I4323" s="1245"/>
    </row>
    <row r="4324" spans="8:9">
      <c r="H4324" s="1245"/>
      <c r="I4324" s="1245"/>
    </row>
    <row r="4325" spans="8:9">
      <c r="H4325" s="1245"/>
      <c r="I4325" s="1245"/>
    </row>
    <row r="4326" spans="8:9">
      <c r="H4326" s="1245"/>
      <c r="I4326" s="1245"/>
    </row>
    <row r="4327" spans="8:9">
      <c r="H4327" s="1245"/>
      <c r="I4327" s="1245"/>
    </row>
    <row r="4328" spans="8:9">
      <c r="H4328" s="1245"/>
      <c r="I4328" s="1245"/>
    </row>
    <row r="4329" spans="8:9">
      <c r="H4329" s="1245"/>
      <c r="I4329" s="1245"/>
    </row>
    <row r="4330" spans="8:9">
      <c r="H4330" s="1245"/>
      <c r="I4330" s="1245"/>
    </row>
    <row r="4331" spans="8:9">
      <c r="H4331" s="1245"/>
      <c r="I4331" s="1245"/>
    </row>
    <row r="4332" spans="8:9">
      <c r="H4332" s="1245"/>
      <c r="I4332" s="1245"/>
    </row>
    <row r="4333" spans="8:9">
      <c r="H4333" s="1245"/>
      <c r="I4333" s="1245"/>
    </row>
    <row r="4334" spans="8:9">
      <c r="H4334" s="1245"/>
      <c r="I4334" s="1245"/>
    </row>
    <row r="4335" spans="8:9">
      <c r="H4335" s="1245"/>
      <c r="I4335" s="1245"/>
    </row>
    <row r="4336" spans="8:9">
      <c r="H4336" s="1245"/>
      <c r="I4336" s="1245"/>
    </row>
    <row r="4337" spans="8:9">
      <c r="H4337" s="1245"/>
      <c r="I4337" s="1245"/>
    </row>
    <row r="4338" spans="8:9">
      <c r="H4338" s="1245"/>
      <c r="I4338" s="1245"/>
    </row>
    <row r="4339" spans="8:9">
      <c r="H4339" s="1245"/>
      <c r="I4339" s="1245"/>
    </row>
    <row r="4340" spans="8:9">
      <c r="H4340" s="1245"/>
      <c r="I4340" s="1245"/>
    </row>
    <row r="4341" spans="8:9">
      <c r="H4341" s="1245"/>
      <c r="I4341" s="1245"/>
    </row>
    <row r="4342" spans="8:9">
      <c r="H4342" s="1245"/>
      <c r="I4342" s="1245"/>
    </row>
    <row r="4343" spans="8:9">
      <c r="H4343" s="1245"/>
      <c r="I4343" s="1245"/>
    </row>
    <row r="4344" spans="8:9">
      <c r="H4344" s="1245"/>
      <c r="I4344" s="1245"/>
    </row>
    <row r="4345" spans="8:9">
      <c r="H4345" s="1245"/>
      <c r="I4345" s="1245"/>
    </row>
    <row r="4346" spans="8:9">
      <c r="H4346" s="1245"/>
      <c r="I4346" s="1245"/>
    </row>
    <row r="4347" spans="8:9">
      <c r="H4347" s="1245"/>
      <c r="I4347" s="1245"/>
    </row>
    <row r="4348" spans="8:9">
      <c r="H4348" s="1245"/>
      <c r="I4348" s="1245"/>
    </row>
    <row r="4349" spans="8:9">
      <c r="H4349" s="1245"/>
      <c r="I4349" s="1245"/>
    </row>
    <row r="4350" spans="8:9">
      <c r="H4350" s="1245"/>
      <c r="I4350" s="1245"/>
    </row>
    <row r="4351" spans="8:9">
      <c r="H4351" s="1245"/>
      <c r="I4351" s="1245"/>
    </row>
    <row r="4352" spans="8:9">
      <c r="H4352" s="1245"/>
      <c r="I4352" s="1245"/>
    </row>
    <row r="4353" spans="8:9">
      <c r="H4353" s="1245"/>
      <c r="I4353" s="1245"/>
    </row>
    <row r="4354" spans="8:9">
      <c r="H4354" s="1245"/>
      <c r="I4354" s="1245"/>
    </row>
    <row r="4355" spans="8:9">
      <c r="H4355" s="1245"/>
      <c r="I4355" s="1245"/>
    </row>
    <row r="4356" spans="8:9">
      <c r="H4356" s="1245"/>
      <c r="I4356" s="1245"/>
    </row>
    <row r="4357" spans="8:9">
      <c r="H4357" s="1245"/>
      <c r="I4357" s="1245"/>
    </row>
    <row r="4358" spans="8:9">
      <c r="H4358" s="1245"/>
      <c r="I4358" s="1245"/>
    </row>
    <row r="4359" spans="8:9">
      <c r="H4359" s="1245"/>
      <c r="I4359" s="1245"/>
    </row>
    <row r="4360" spans="8:9">
      <c r="H4360" s="1245"/>
      <c r="I4360" s="1245"/>
    </row>
    <row r="4361" spans="8:9">
      <c r="H4361" s="1245"/>
      <c r="I4361" s="1245"/>
    </row>
    <row r="4362" spans="8:9">
      <c r="H4362" s="1245"/>
      <c r="I4362" s="1245"/>
    </row>
    <row r="4363" spans="8:9">
      <c r="H4363" s="1245"/>
      <c r="I4363" s="1245"/>
    </row>
    <row r="4364" spans="8:9">
      <c r="H4364" s="1245"/>
      <c r="I4364" s="1245"/>
    </row>
    <row r="4365" spans="8:9">
      <c r="H4365" s="1245"/>
      <c r="I4365" s="1245"/>
    </row>
    <row r="4366" spans="8:9">
      <c r="H4366" s="1245"/>
      <c r="I4366" s="1245"/>
    </row>
    <row r="4367" spans="8:9">
      <c r="H4367" s="1245"/>
      <c r="I4367" s="1245"/>
    </row>
    <row r="4368" spans="8:9">
      <c r="H4368" s="1245"/>
      <c r="I4368" s="1245"/>
    </row>
    <row r="4369" spans="8:9">
      <c r="H4369" s="1245"/>
      <c r="I4369" s="1245"/>
    </row>
    <row r="4370" spans="8:9">
      <c r="H4370" s="1245"/>
      <c r="I4370" s="1245"/>
    </row>
    <row r="4371" spans="8:9">
      <c r="H4371" s="1245"/>
      <c r="I4371" s="1245"/>
    </row>
    <row r="4372" spans="8:9">
      <c r="H4372" s="1245"/>
      <c r="I4372" s="1245"/>
    </row>
    <row r="4373" spans="8:9">
      <c r="H4373" s="1245"/>
      <c r="I4373" s="1245"/>
    </row>
    <row r="4374" spans="8:9">
      <c r="H4374" s="1245"/>
      <c r="I4374" s="1245"/>
    </row>
    <row r="4375" spans="8:9">
      <c r="H4375" s="1245"/>
      <c r="I4375" s="1245"/>
    </row>
    <row r="4376" spans="8:9">
      <c r="H4376" s="1245"/>
      <c r="I4376" s="1245"/>
    </row>
    <row r="4377" spans="8:9">
      <c r="H4377" s="1245"/>
      <c r="I4377" s="1245"/>
    </row>
    <row r="4378" spans="8:9">
      <c r="H4378" s="1245"/>
      <c r="I4378" s="1245"/>
    </row>
    <row r="4379" spans="8:9">
      <c r="H4379" s="1245"/>
      <c r="I4379" s="1245"/>
    </row>
    <row r="4380" spans="8:9">
      <c r="H4380" s="1245"/>
      <c r="I4380" s="1245"/>
    </row>
    <row r="4381" spans="8:9">
      <c r="H4381" s="1245"/>
      <c r="I4381" s="1245"/>
    </row>
    <row r="4382" spans="8:9">
      <c r="H4382" s="1245"/>
      <c r="I4382" s="1245"/>
    </row>
    <row r="4383" spans="8:9">
      <c r="H4383" s="1245"/>
      <c r="I4383" s="1245"/>
    </row>
    <row r="4384" spans="8:9">
      <c r="H4384" s="1245"/>
      <c r="I4384" s="1245"/>
    </row>
    <row r="4385" spans="8:9">
      <c r="H4385" s="1245"/>
      <c r="I4385" s="1245"/>
    </row>
    <row r="4386" spans="8:9">
      <c r="H4386" s="1245"/>
      <c r="I4386" s="1245"/>
    </row>
    <row r="4387" spans="8:9">
      <c r="H4387" s="1245"/>
      <c r="I4387" s="1245"/>
    </row>
    <row r="4388" spans="8:9">
      <c r="H4388" s="1245"/>
      <c r="I4388" s="1245"/>
    </row>
    <row r="4389" spans="8:9">
      <c r="H4389" s="1245"/>
      <c r="I4389" s="1245"/>
    </row>
    <row r="4390" spans="8:9">
      <c r="H4390" s="1245"/>
      <c r="I4390" s="1245"/>
    </row>
    <row r="4391" spans="8:9">
      <c r="H4391" s="1245"/>
      <c r="I4391" s="1245"/>
    </row>
    <row r="4392" spans="8:9">
      <c r="H4392" s="1245"/>
      <c r="I4392" s="1245"/>
    </row>
    <row r="4393" spans="8:9">
      <c r="H4393" s="1245"/>
      <c r="I4393" s="1245"/>
    </row>
    <row r="4394" spans="8:9">
      <c r="H4394" s="1245"/>
      <c r="I4394" s="1245"/>
    </row>
    <row r="4395" spans="8:9">
      <c r="H4395" s="1245"/>
      <c r="I4395" s="1245"/>
    </row>
    <row r="4396" spans="8:9">
      <c r="H4396" s="1245"/>
      <c r="I4396" s="1245"/>
    </row>
    <row r="4397" spans="8:9">
      <c r="H4397" s="1245"/>
      <c r="I4397" s="1245"/>
    </row>
    <row r="4398" spans="8:9">
      <c r="H4398" s="1245"/>
      <c r="I4398" s="1245"/>
    </row>
    <row r="4399" spans="8:9">
      <c r="H4399" s="1245"/>
      <c r="I4399" s="1245"/>
    </row>
    <row r="4400" spans="8:9">
      <c r="H4400" s="1245"/>
      <c r="I4400" s="1245"/>
    </row>
    <row r="4401" spans="8:9">
      <c r="H4401" s="1245"/>
      <c r="I4401" s="1245"/>
    </row>
    <row r="4402" spans="8:9">
      <c r="H4402" s="1245"/>
      <c r="I4402" s="1245"/>
    </row>
    <row r="4403" spans="8:9">
      <c r="H4403" s="1245"/>
      <c r="I4403" s="1245"/>
    </row>
    <row r="4404" spans="8:9">
      <c r="H4404" s="1245"/>
      <c r="I4404" s="1245"/>
    </row>
    <row r="4405" spans="8:9">
      <c r="H4405" s="1245"/>
      <c r="I4405" s="1245"/>
    </row>
    <row r="4406" spans="8:9">
      <c r="H4406" s="1245"/>
      <c r="I4406" s="1245"/>
    </row>
    <row r="4407" spans="8:9">
      <c r="H4407" s="1245"/>
      <c r="I4407" s="1245"/>
    </row>
    <row r="4408" spans="8:9">
      <c r="H4408" s="1245"/>
      <c r="I4408" s="1245"/>
    </row>
    <row r="4409" spans="8:9">
      <c r="H4409" s="1245"/>
      <c r="I4409" s="1245"/>
    </row>
    <row r="4410" spans="8:9">
      <c r="H4410" s="1245"/>
      <c r="I4410" s="1245"/>
    </row>
    <row r="4411" spans="8:9">
      <c r="H4411" s="1245"/>
      <c r="I4411" s="1245"/>
    </row>
    <row r="4412" spans="8:9">
      <c r="H4412" s="1245"/>
      <c r="I4412" s="1245"/>
    </row>
    <row r="4413" spans="8:9">
      <c r="H4413" s="1245"/>
      <c r="I4413" s="1245"/>
    </row>
    <row r="4414" spans="8:9">
      <c r="H4414" s="1245"/>
      <c r="I4414" s="1245"/>
    </row>
    <row r="4415" spans="8:9">
      <c r="H4415" s="1245"/>
      <c r="I4415" s="1245"/>
    </row>
    <row r="4416" spans="8:9">
      <c r="H4416" s="1245"/>
      <c r="I4416" s="1245"/>
    </row>
    <row r="4417" spans="8:9">
      <c r="H4417" s="1245"/>
      <c r="I4417" s="1245"/>
    </row>
    <row r="4418" spans="8:9">
      <c r="H4418" s="1245"/>
      <c r="I4418" s="1245"/>
    </row>
    <row r="4419" spans="8:9">
      <c r="H4419" s="1245"/>
      <c r="I4419" s="1245"/>
    </row>
    <row r="4420" spans="8:9">
      <c r="H4420" s="1245"/>
      <c r="I4420" s="1245"/>
    </row>
    <row r="4421" spans="8:9">
      <c r="H4421" s="1245"/>
      <c r="I4421" s="1245"/>
    </row>
    <row r="4422" spans="8:9">
      <c r="H4422" s="1245"/>
      <c r="I4422" s="1245"/>
    </row>
    <row r="4423" spans="8:9">
      <c r="H4423" s="1245"/>
      <c r="I4423" s="1245"/>
    </row>
    <row r="4424" spans="8:9">
      <c r="H4424" s="1245"/>
      <c r="I4424" s="1245"/>
    </row>
    <row r="4425" spans="8:9">
      <c r="H4425" s="1245"/>
      <c r="I4425" s="1245"/>
    </row>
    <row r="4426" spans="8:9">
      <c r="H4426" s="1245"/>
      <c r="I4426" s="1245"/>
    </row>
    <row r="4427" spans="8:9">
      <c r="H4427" s="1245"/>
      <c r="I4427" s="1245"/>
    </row>
    <row r="4428" spans="8:9">
      <c r="H4428" s="1245"/>
      <c r="I4428" s="1245"/>
    </row>
    <row r="4429" spans="8:9">
      <c r="H4429" s="1245"/>
      <c r="I4429" s="1245"/>
    </row>
    <row r="4430" spans="8:9">
      <c r="H4430" s="1245"/>
      <c r="I4430" s="1245"/>
    </row>
    <row r="4431" spans="8:9">
      <c r="H4431" s="1245"/>
      <c r="I4431" s="1245"/>
    </row>
    <row r="4432" spans="8:9">
      <c r="H4432" s="1245"/>
      <c r="I4432" s="1245"/>
    </row>
    <row r="4433" spans="8:9">
      <c r="H4433" s="1245"/>
      <c r="I4433" s="1245"/>
    </row>
    <row r="4434" spans="8:9">
      <c r="H4434" s="1245"/>
      <c r="I4434" s="1245"/>
    </row>
    <row r="4435" spans="8:9">
      <c r="H4435" s="1245"/>
      <c r="I4435" s="1245"/>
    </row>
    <row r="4436" spans="8:9">
      <c r="H4436" s="1245"/>
      <c r="I4436" s="1245"/>
    </row>
    <row r="4437" spans="8:9">
      <c r="H4437" s="1245"/>
      <c r="I4437" s="1245"/>
    </row>
    <row r="4438" spans="8:9">
      <c r="H4438" s="1245"/>
      <c r="I4438" s="1245"/>
    </row>
    <row r="4439" spans="8:9">
      <c r="H4439" s="1245"/>
      <c r="I4439" s="1245"/>
    </row>
    <row r="4440" spans="8:9">
      <c r="H4440" s="1245"/>
      <c r="I4440" s="1245"/>
    </row>
    <row r="4441" spans="8:9">
      <c r="H4441" s="1245"/>
      <c r="I4441" s="1245"/>
    </row>
    <row r="4442" spans="8:9">
      <c r="H4442" s="1245"/>
      <c r="I4442" s="1245"/>
    </row>
    <row r="4443" spans="8:9">
      <c r="H4443" s="1245"/>
      <c r="I4443" s="1245"/>
    </row>
    <row r="4444" spans="8:9">
      <c r="H4444" s="1245"/>
      <c r="I4444" s="1245"/>
    </row>
    <row r="4445" spans="8:9">
      <c r="H4445" s="1245"/>
      <c r="I4445" s="1245"/>
    </row>
    <row r="4446" spans="8:9">
      <c r="H4446" s="1245"/>
      <c r="I4446" s="1245"/>
    </row>
    <row r="4447" spans="8:9">
      <c r="H4447" s="1245"/>
      <c r="I4447" s="1245"/>
    </row>
    <row r="4448" spans="8:9">
      <c r="H4448" s="1245"/>
      <c r="I4448" s="1245"/>
    </row>
    <row r="4449" spans="8:9">
      <c r="H4449" s="1245"/>
      <c r="I4449" s="1245"/>
    </row>
    <row r="4450" spans="8:9">
      <c r="H4450" s="1245"/>
      <c r="I4450" s="1245"/>
    </row>
    <row r="4451" spans="8:9">
      <c r="H4451" s="1245"/>
      <c r="I4451" s="1245"/>
    </row>
    <row r="4452" spans="8:9">
      <c r="H4452" s="1245"/>
      <c r="I4452" s="1245"/>
    </row>
    <row r="4453" spans="8:9">
      <c r="H4453" s="1245"/>
      <c r="I4453" s="1245"/>
    </row>
    <row r="4454" spans="8:9">
      <c r="H4454" s="1245"/>
      <c r="I4454" s="1245"/>
    </row>
    <row r="4455" spans="8:9">
      <c r="H4455" s="1245"/>
      <c r="I4455" s="1245"/>
    </row>
    <row r="4456" spans="8:9">
      <c r="H4456" s="1245"/>
      <c r="I4456" s="1245"/>
    </row>
    <row r="4457" spans="8:9">
      <c r="H4457" s="1245"/>
      <c r="I4457" s="1245"/>
    </row>
    <row r="4458" spans="8:9">
      <c r="H4458" s="1245"/>
      <c r="I4458" s="1245"/>
    </row>
    <row r="4459" spans="8:9">
      <c r="H4459" s="1245"/>
      <c r="I4459" s="1245"/>
    </row>
    <row r="4460" spans="8:9">
      <c r="H4460" s="1245"/>
      <c r="I4460" s="1245"/>
    </row>
    <row r="4461" spans="8:9">
      <c r="H4461" s="1245"/>
      <c r="I4461" s="1245"/>
    </row>
    <row r="4462" spans="8:9">
      <c r="H4462" s="1245"/>
      <c r="I4462" s="1245"/>
    </row>
    <row r="4463" spans="8:9">
      <c r="H4463" s="1245"/>
      <c r="I4463" s="1245"/>
    </row>
    <row r="4464" spans="8:9">
      <c r="H4464" s="1245"/>
      <c r="I4464" s="1245"/>
    </row>
    <row r="4465" spans="8:9">
      <c r="H4465" s="1245"/>
      <c r="I4465" s="1245"/>
    </row>
    <row r="4466" spans="8:9">
      <c r="H4466" s="1245"/>
      <c r="I4466" s="1245"/>
    </row>
    <row r="4467" spans="8:9">
      <c r="H4467" s="1245"/>
      <c r="I4467" s="1245"/>
    </row>
    <row r="4468" spans="8:9">
      <c r="H4468" s="1245"/>
      <c r="I4468" s="1245"/>
    </row>
    <row r="4469" spans="8:9">
      <c r="H4469" s="1245"/>
      <c r="I4469" s="1245"/>
    </row>
    <row r="4470" spans="8:9">
      <c r="H4470" s="1245"/>
      <c r="I4470" s="1245"/>
    </row>
    <row r="4471" spans="8:9">
      <c r="H4471" s="1245"/>
      <c r="I4471" s="1245"/>
    </row>
    <row r="4472" spans="8:9">
      <c r="H4472" s="1245"/>
      <c r="I4472" s="1245"/>
    </row>
    <row r="4473" spans="8:9">
      <c r="H4473" s="1245"/>
      <c r="I4473" s="1245"/>
    </row>
    <row r="4474" spans="8:9">
      <c r="H4474" s="1245"/>
      <c r="I4474" s="1245"/>
    </row>
    <row r="4475" spans="8:9">
      <c r="H4475" s="1245"/>
      <c r="I4475" s="1245"/>
    </row>
    <row r="4476" spans="8:9">
      <c r="H4476" s="1245"/>
      <c r="I4476" s="1245"/>
    </row>
    <row r="4477" spans="8:9">
      <c r="H4477" s="1245"/>
      <c r="I4477" s="1245"/>
    </row>
    <row r="4478" spans="8:9">
      <c r="H4478" s="1245"/>
      <c r="I4478" s="1245"/>
    </row>
    <row r="4479" spans="8:9">
      <c r="H4479" s="1245"/>
      <c r="I4479" s="1245"/>
    </row>
    <row r="4480" spans="8:9">
      <c r="H4480" s="1245"/>
      <c r="I4480" s="1245"/>
    </row>
    <row r="4481" spans="8:9">
      <c r="H4481" s="1245"/>
      <c r="I4481" s="1245"/>
    </row>
    <row r="4482" spans="8:9">
      <c r="H4482" s="1245"/>
      <c r="I4482" s="1245"/>
    </row>
    <row r="4483" spans="8:9">
      <c r="H4483" s="1245"/>
      <c r="I4483" s="1245"/>
    </row>
    <row r="4484" spans="8:9">
      <c r="H4484" s="1245"/>
      <c r="I4484" s="1245"/>
    </row>
    <row r="4485" spans="8:9">
      <c r="H4485" s="1245"/>
      <c r="I4485" s="1245"/>
    </row>
    <row r="4486" spans="8:9">
      <c r="H4486" s="1245"/>
      <c r="I4486" s="1245"/>
    </row>
    <row r="4487" spans="8:9">
      <c r="H4487" s="1245"/>
      <c r="I4487" s="1245"/>
    </row>
    <row r="4488" spans="8:9">
      <c r="H4488" s="1245"/>
      <c r="I4488" s="1245"/>
    </row>
    <row r="4489" spans="8:9">
      <c r="H4489" s="1245"/>
      <c r="I4489" s="1245"/>
    </row>
    <row r="4490" spans="8:9">
      <c r="H4490" s="1245"/>
      <c r="I4490" s="1245"/>
    </row>
    <row r="4491" spans="8:9">
      <c r="H4491" s="1245"/>
      <c r="I4491" s="1245"/>
    </row>
    <row r="4492" spans="8:9">
      <c r="H4492" s="1245"/>
      <c r="I4492" s="1245"/>
    </row>
    <row r="4493" spans="8:9">
      <c r="H4493" s="1245"/>
      <c r="I4493" s="1245"/>
    </row>
    <row r="4494" spans="8:9">
      <c r="H4494" s="1245"/>
      <c r="I4494" s="1245"/>
    </row>
    <row r="4495" spans="8:9">
      <c r="H4495" s="1245"/>
      <c r="I4495" s="1245"/>
    </row>
    <row r="4496" spans="8:9">
      <c r="H4496" s="1245"/>
      <c r="I4496" s="1245"/>
    </row>
    <row r="4497" spans="8:9">
      <c r="H4497" s="1245"/>
      <c r="I4497" s="1245"/>
    </row>
    <row r="4498" spans="8:9">
      <c r="H4498" s="1245"/>
      <c r="I4498" s="1245"/>
    </row>
    <row r="4499" spans="8:9">
      <c r="H4499" s="1245"/>
      <c r="I4499" s="1245"/>
    </row>
    <row r="4500" spans="8:9">
      <c r="H4500" s="1245"/>
      <c r="I4500" s="1245"/>
    </row>
    <row r="4501" spans="8:9">
      <c r="H4501" s="1245"/>
      <c r="I4501" s="1245"/>
    </row>
    <row r="4502" spans="8:9">
      <c r="H4502" s="1245"/>
      <c r="I4502" s="1245"/>
    </row>
    <row r="4503" spans="8:9">
      <c r="H4503" s="1245"/>
      <c r="I4503" s="1245"/>
    </row>
    <row r="4504" spans="8:9">
      <c r="H4504" s="1245"/>
      <c r="I4504" s="1245"/>
    </row>
    <row r="4505" spans="8:9">
      <c r="H4505" s="1245"/>
      <c r="I4505" s="1245"/>
    </row>
    <row r="4506" spans="8:9">
      <c r="H4506" s="1245"/>
      <c r="I4506" s="1245"/>
    </row>
    <row r="4507" spans="8:9">
      <c r="H4507" s="1245"/>
      <c r="I4507" s="1245"/>
    </row>
    <row r="4508" spans="8:9">
      <c r="H4508" s="1245"/>
      <c r="I4508" s="1245"/>
    </row>
    <row r="4509" spans="8:9">
      <c r="H4509" s="1245"/>
      <c r="I4509" s="1245"/>
    </row>
    <row r="4510" spans="8:9">
      <c r="H4510" s="1245"/>
      <c r="I4510" s="1245"/>
    </row>
    <row r="4511" spans="8:9">
      <c r="H4511" s="1245"/>
      <c r="I4511" s="1245"/>
    </row>
    <row r="4512" spans="8:9">
      <c r="H4512" s="1245"/>
      <c r="I4512" s="1245"/>
    </row>
    <row r="4513" spans="8:9">
      <c r="H4513" s="1245"/>
      <c r="I4513" s="1245"/>
    </row>
    <row r="4514" spans="8:9">
      <c r="H4514" s="1245"/>
      <c r="I4514" s="1245"/>
    </row>
    <row r="4515" spans="8:9">
      <c r="H4515" s="1245"/>
      <c r="I4515" s="1245"/>
    </row>
    <row r="4516" spans="8:9">
      <c r="H4516" s="1245"/>
      <c r="I4516" s="1245"/>
    </row>
    <row r="4517" spans="8:9">
      <c r="H4517" s="1245"/>
      <c r="I4517" s="1245"/>
    </row>
    <row r="4518" spans="8:9">
      <c r="H4518" s="1245"/>
      <c r="I4518" s="1245"/>
    </row>
    <row r="4519" spans="8:9">
      <c r="H4519" s="1245"/>
      <c r="I4519" s="1245"/>
    </row>
    <row r="4520" spans="8:9">
      <c r="H4520" s="1245"/>
      <c r="I4520" s="1245"/>
    </row>
    <row r="4521" spans="8:9">
      <c r="H4521" s="1245"/>
      <c r="I4521" s="1245"/>
    </row>
    <row r="4522" spans="8:9">
      <c r="H4522" s="1245"/>
      <c r="I4522" s="1245"/>
    </row>
    <row r="4523" spans="8:9">
      <c r="H4523" s="1245"/>
      <c r="I4523" s="1245"/>
    </row>
    <row r="4524" spans="8:9">
      <c r="H4524" s="1245"/>
      <c r="I4524" s="1245"/>
    </row>
    <row r="4525" spans="8:9">
      <c r="H4525" s="1245"/>
      <c r="I4525" s="1245"/>
    </row>
    <row r="4526" spans="8:9">
      <c r="H4526" s="1245"/>
      <c r="I4526" s="1245"/>
    </row>
    <row r="4527" spans="8:9">
      <c r="H4527" s="1245"/>
      <c r="I4527" s="1245"/>
    </row>
    <row r="4528" spans="8:9">
      <c r="H4528" s="1245"/>
      <c r="I4528" s="1245"/>
    </row>
    <row r="4529" spans="8:9">
      <c r="H4529" s="1245"/>
      <c r="I4529" s="1245"/>
    </row>
    <row r="4530" spans="8:9">
      <c r="H4530" s="1245"/>
      <c r="I4530" s="1245"/>
    </row>
    <row r="4531" spans="8:9">
      <c r="H4531" s="1245"/>
      <c r="I4531" s="1245"/>
    </row>
    <row r="4532" spans="8:9">
      <c r="H4532" s="1245"/>
      <c r="I4532" s="1245"/>
    </row>
    <row r="4533" spans="8:9">
      <c r="H4533" s="1245"/>
      <c r="I4533" s="1245"/>
    </row>
    <row r="4534" spans="8:9">
      <c r="H4534" s="1245"/>
      <c r="I4534" s="1245"/>
    </row>
    <row r="4535" spans="8:9">
      <c r="H4535" s="1245"/>
      <c r="I4535" s="1245"/>
    </row>
    <row r="4536" spans="8:9">
      <c r="H4536" s="1245"/>
      <c r="I4536" s="1245"/>
    </row>
    <row r="4537" spans="8:9">
      <c r="H4537" s="1245"/>
      <c r="I4537" s="1245"/>
    </row>
    <row r="4538" spans="8:9">
      <c r="H4538" s="1245"/>
      <c r="I4538" s="1245"/>
    </row>
    <row r="4539" spans="8:9">
      <c r="H4539" s="1245"/>
      <c r="I4539" s="1245"/>
    </row>
    <row r="4540" spans="8:9">
      <c r="H4540" s="1245"/>
      <c r="I4540" s="1245"/>
    </row>
    <row r="4541" spans="8:9">
      <c r="H4541" s="1245"/>
      <c r="I4541" s="1245"/>
    </row>
    <row r="4542" spans="8:9">
      <c r="H4542" s="1245"/>
      <c r="I4542" s="1245"/>
    </row>
    <row r="4543" spans="8:9">
      <c r="H4543" s="1245"/>
      <c r="I4543" s="1245"/>
    </row>
    <row r="4544" spans="8:9">
      <c r="H4544" s="1245"/>
      <c r="I4544" s="1245"/>
    </row>
    <row r="4545" spans="8:9">
      <c r="H4545" s="1245"/>
      <c r="I4545" s="1245"/>
    </row>
    <row r="4546" spans="8:9">
      <c r="H4546" s="1245"/>
      <c r="I4546" s="1245"/>
    </row>
    <row r="4547" spans="8:9">
      <c r="H4547" s="1245"/>
      <c r="I4547" s="1245"/>
    </row>
    <row r="4548" spans="8:9">
      <c r="H4548" s="1245"/>
      <c r="I4548" s="1245"/>
    </row>
    <row r="4549" spans="8:9">
      <c r="H4549" s="1245"/>
      <c r="I4549" s="1245"/>
    </row>
    <row r="4550" spans="8:9">
      <c r="H4550" s="1245"/>
      <c r="I4550" s="1245"/>
    </row>
    <row r="4551" spans="8:9">
      <c r="H4551" s="1245"/>
      <c r="I4551" s="1245"/>
    </row>
    <row r="4552" spans="8:9">
      <c r="H4552" s="1245"/>
      <c r="I4552" s="1245"/>
    </row>
    <row r="4553" spans="8:9">
      <c r="H4553" s="1245"/>
      <c r="I4553" s="1245"/>
    </row>
    <row r="4554" spans="8:9">
      <c r="H4554" s="1245"/>
      <c r="I4554" s="1245"/>
    </row>
    <row r="4555" spans="8:9">
      <c r="H4555" s="1245"/>
      <c r="I4555" s="1245"/>
    </row>
    <row r="4556" spans="8:9">
      <c r="H4556" s="1245"/>
      <c r="I4556" s="1245"/>
    </row>
    <row r="4557" spans="8:9">
      <c r="H4557" s="1245"/>
      <c r="I4557" s="1245"/>
    </row>
    <row r="4558" spans="8:9">
      <c r="H4558" s="1245"/>
      <c r="I4558" s="1245"/>
    </row>
    <row r="4559" spans="8:9">
      <c r="H4559" s="1245"/>
      <c r="I4559" s="1245"/>
    </row>
    <row r="4560" spans="8:9">
      <c r="H4560" s="1245"/>
      <c r="I4560" s="1245"/>
    </row>
    <row r="4561" spans="8:9">
      <c r="H4561" s="1245"/>
      <c r="I4561" s="1245"/>
    </row>
    <row r="4562" spans="8:9">
      <c r="H4562" s="1245"/>
      <c r="I4562" s="1245"/>
    </row>
    <row r="4563" spans="8:9">
      <c r="H4563" s="1245"/>
      <c r="I4563" s="1245"/>
    </row>
    <row r="4564" spans="8:9">
      <c r="H4564" s="1245"/>
      <c r="I4564" s="1245"/>
    </row>
    <row r="4565" spans="8:9">
      <c r="H4565" s="1245"/>
      <c r="I4565" s="1245"/>
    </row>
    <row r="4566" spans="8:9">
      <c r="H4566" s="1245"/>
      <c r="I4566" s="1245"/>
    </row>
    <row r="4567" spans="8:9">
      <c r="H4567" s="1245"/>
      <c r="I4567" s="1245"/>
    </row>
    <row r="4568" spans="8:9">
      <c r="H4568" s="1245"/>
      <c r="I4568" s="1245"/>
    </row>
    <row r="4569" spans="8:9">
      <c r="H4569" s="1245"/>
      <c r="I4569" s="1245"/>
    </row>
    <row r="4570" spans="8:9">
      <c r="H4570" s="1245"/>
      <c r="I4570" s="1245"/>
    </row>
    <row r="4571" spans="8:9">
      <c r="H4571" s="1245"/>
      <c r="I4571" s="1245"/>
    </row>
    <row r="4572" spans="8:9">
      <c r="H4572" s="1245"/>
      <c r="I4572" s="1245"/>
    </row>
    <row r="4573" spans="8:9">
      <c r="H4573" s="1245"/>
      <c r="I4573" s="1245"/>
    </row>
    <row r="4574" spans="8:9">
      <c r="H4574" s="1245"/>
      <c r="I4574" s="1245"/>
    </row>
    <row r="4575" spans="8:9">
      <c r="H4575" s="1245"/>
      <c r="I4575" s="1245"/>
    </row>
    <row r="4576" spans="8:9">
      <c r="H4576" s="1245"/>
      <c r="I4576" s="1245"/>
    </row>
    <row r="4577" spans="8:9">
      <c r="H4577" s="1245"/>
      <c r="I4577" s="1245"/>
    </row>
    <row r="4578" spans="8:9">
      <c r="H4578" s="1245"/>
      <c r="I4578" s="1245"/>
    </row>
    <row r="4579" spans="8:9">
      <c r="H4579" s="1245"/>
      <c r="I4579" s="1245"/>
    </row>
    <row r="4580" spans="8:9">
      <c r="H4580" s="1245"/>
      <c r="I4580" s="1245"/>
    </row>
    <row r="4581" spans="8:9">
      <c r="H4581" s="1245"/>
      <c r="I4581" s="1245"/>
    </row>
    <row r="4582" spans="8:9">
      <c r="H4582" s="1245"/>
      <c r="I4582" s="1245"/>
    </row>
    <row r="4583" spans="8:9">
      <c r="H4583" s="1245"/>
      <c r="I4583" s="1245"/>
    </row>
    <row r="4584" spans="8:9">
      <c r="H4584" s="1245"/>
      <c r="I4584" s="1245"/>
    </row>
    <row r="4585" spans="8:9">
      <c r="H4585" s="1245"/>
      <c r="I4585" s="1245"/>
    </row>
    <row r="4586" spans="8:9">
      <c r="H4586" s="1245"/>
      <c r="I4586" s="1245"/>
    </row>
    <row r="4587" spans="8:9">
      <c r="H4587" s="1245"/>
      <c r="I4587" s="1245"/>
    </row>
    <row r="4588" spans="8:9">
      <c r="H4588" s="1245"/>
      <c r="I4588" s="1245"/>
    </row>
    <row r="4589" spans="8:9">
      <c r="H4589" s="1245"/>
      <c r="I4589" s="1245"/>
    </row>
    <row r="4590" spans="8:9">
      <c r="H4590" s="1245"/>
      <c r="I4590" s="1245"/>
    </row>
    <row r="4591" spans="8:9">
      <c r="H4591" s="1245"/>
      <c r="I4591" s="1245"/>
    </row>
    <row r="4592" spans="8:9">
      <c r="H4592" s="1245"/>
      <c r="I4592" s="1245"/>
    </row>
    <row r="4593" spans="8:9">
      <c r="H4593" s="1245"/>
      <c r="I4593" s="1245"/>
    </row>
    <row r="4594" spans="8:9">
      <c r="H4594" s="1245"/>
      <c r="I4594" s="1245"/>
    </row>
    <row r="4595" spans="8:9">
      <c r="H4595" s="1245"/>
      <c r="I4595" s="1245"/>
    </row>
    <row r="4596" spans="8:9">
      <c r="H4596" s="1245"/>
      <c r="I4596" s="1245"/>
    </row>
    <row r="4597" spans="8:9">
      <c r="H4597" s="1245"/>
      <c r="I4597" s="1245"/>
    </row>
    <row r="4598" spans="8:9">
      <c r="H4598" s="1245"/>
      <c r="I4598" s="1245"/>
    </row>
    <row r="4599" spans="8:9">
      <c r="H4599" s="1245"/>
      <c r="I4599" s="1245"/>
    </row>
    <row r="4600" spans="8:9">
      <c r="H4600" s="1245"/>
      <c r="I4600" s="1245"/>
    </row>
    <row r="4601" spans="8:9">
      <c r="H4601" s="1245"/>
      <c r="I4601" s="1245"/>
    </row>
    <row r="4602" spans="8:9">
      <c r="H4602" s="1245"/>
      <c r="I4602" s="1245"/>
    </row>
    <row r="4603" spans="8:9">
      <c r="H4603" s="1245"/>
      <c r="I4603" s="1245"/>
    </row>
    <row r="4604" spans="8:9">
      <c r="H4604" s="1245"/>
      <c r="I4604" s="1245"/>
    </row>
    <row r="4605" spans="8:9">
      <c r="H4605" s="1245"/>
      <c r="I4605" s="1245"/>
    </row>
    <row r="4606" spans="8:9">
      <c r="H4606" s="1245"/>
      <c r="I4606" s="1245"/>
    </row>
    <row r="4607" spans="8:9">
      <c r="H4607" s="1245"/>
      <c r="I4607" s="1245"/>
    </row>
    <row r="4608" spans="8:9">
      <c r="H4608" s="1245"/>
      <c r="I4608" s="1245"/>
    </row>
    <row r="4609" spans="8:9">
      <c r="H4609" s="1245"/>
      <c r="I4609" s="1245"/>
    </row>
    <row r="4610" spans="8:9">
      <c r="H4610" s="1245"/>
      <c r="I4610" s="1245"/>
    </row>
    <row r="4611" spans="8:9">
      <c r="H4611" s="1245"/>
      <c r="I4611" s="1245"/>
    </row>
    <row r="4612" spans="8:9">
      <c r="H4612" s="1245"/>
      <c r="I4612" s="1245"/>
    </row>
    <row r="4613" spans="8:9">
      <c r="H4613" s="1245"/>
      <c r="I4613" s="1245"/>
    </row>
    <row r="4614" spans="8:9">
      <c r="H4614" s="1245"/>
      <c r="I4614" s="1245"/>
    </row>
    <row r="4615" spans="8:9">
      <c r="H4615" s="1245"/>
      <c r="I4615" s="1245"/>
    </row>
    <row r="4616" spans="8:9">
      <c r="H4616" s="1245"/>
      <c r="I4616" s="1245"/>
    </row>
    <row r="4617" spans="8:9">
      <c r="H4617" s="1245"/>
      <c r="I4617" s="1245"/>
    </row>
    <row r="4618" spans="8:9">
      <c r="H4618" s="1245"/>
      <c r="I4618" s="1245"/>
    </row>
    <row r="4619" spans="8:9">
      <c r="H4619" s="1245"/>
      <c r="I4619" s="1245"/>
    </row>
    <row r="4620" spans="8:9">
      <c r="H4620" s="1245"/>
      <c r="I4620" s="1245"/>
    </row>
    <row r="4621" spans="8:9">
      <c r="H4621" s="1245"/>
      <c r="I4621" s="1245"/>
    </row>
    <row r="4622" spans="8:9">
      <c r="H4622" s="1245"/>
      <c r="I4622" s="1245"/>
    </row>
    <row r="4623" spans="8:9">
      <c r="H4623" s="1245"/>
      <c r="I4623" s="1245"/>
    </row>
    <row r="4624" spans="8:9">
      <c r="H4624" s="1245"/>
      <c r="I4624" s="1245"/>
    </row>
    <row r="4625" spans="8:9">
      <c r="H4625" s="1245"/>
      <c r="I4625" s="1245"/>
    </row>
    <row r="4626" spans="8:9">
      <c r="H4626" s="1245"/>
      <c r="I4626" s="1245"/>
    </row>
    <row r="4627" spans="8:9">
      <c r="H4627" s="1245"/>
      <c r="I4627" s="1245"/>
    </row>
    <row r="4628" spans="8:9">
      <c r="H4628" s="1245"/>
      <c r="I4628" s="1245"/>
    </row>
    <row r="4629" spans="8:9">
      <c r="H4629" s="1245"/>
      <c r="I4629" s="1245"/>
    </row>
    <row r="4630" spans="8:9">
      <c r="H4630" s="1245"/>
      <c r="I4630" s="1245"/>
    </row>
    <row r="4631" spans="8:9">
      <c r="H4631" s="1245"/>
      <c r="I4631" s="1245"/>
    </row>
    <row r="4632" spans="8:9">
      <c r="H4632" s="1245"/>
      <c r="I4632" s="1245"/>
    </row>
    <row r="4633" spans="8:9">
      <c r="H4633" s="1245"/>
      <c r="I4633" s="1245"/>
    </row>
    <row r="4634" spans="8:9">
      <c r="H4634" s="1245"/>
      <c r="I4634" s="1245"/>
    </row>
    <row r="4635" spans="8:9">
      <c r="H4635" s="1245"/>
      <c r="I4635" s="1245"/>
    </row>
    <row r="4636" spans="8:9">
      <c r="H4636" s="1245"/>
      <c r="I4636" s="1245"/>
    </row>
    <row r="4637" spans="8:9">
      <c r="H4637" s="1245"/>
      <c r="I4637" s="1245"/>
    </row>
    <row r="4638" spans="8:9">
      <c r="H4638" s="1245"/>
      <c r="I4638" s="1245"/>
    </row>
    <row r="4639" spans="8:9">
      <c r="H4639" s="1245"/>
      <c r="I4639" s="1245"/>
    </row>
    <row r="4640" spans="8:9">
      <c r="H4640" s="1245"/>
      <c r="I4640" s="1245"/>
    </row>
    <row r="4641" spans="8:9">
      <c r="H4641" s="1245"/>
      <c r="I4641" s="1245"/>
    </row>
    <row r="4642" spans="8:9">
      <c r="H4642" s="1245"/>
      <c r="I4642" s="1245"/>
    </row>
    <row r="4643" spans="8:9">
      <c r="H4643" s="1245"/>
      <c r="I4643" s="1245"/>
    </row>
    <row r="4644" spans="8:9">
      <c r="H4644" s="1245"/>
      <c r="I4644" s="1245"/>
    </row>
    <row r="4645" spans="8:9">
      <c r="H4645" s="1245"/>
      <c r="I4645" s="1245"/>
    </row>
    <row r="4646" spans="8:9">
      <c r="H4646" s="1245"/>
      <c r="I4646" s="1245"/>
    </row>
    <row r="4647" spans="8:9">
      <c r="H4647" s="1245"/>
      <c r="I4647" s="1245"/>
    </row>
    <row r="4648" spans="8:9">
      <c r="H4648" s="1245"/>
      <c r="I4648" s="1245"/>
    </row>
    <row r="4649" spans="8:9">
      <c r="H4649" s="1245"/>
      <c r="I4649" s="1245"/>
    </row>
    <row r="4650" spans="8:9">
      <c r="H4650" s="1245"/>
      <c r="I4650" s="1245"/>
    </row>
    <row r="4651" spans="8:9">
      <c r="H4651" s="1245"/>
      <c r="I4651" s="1245"/>
    </row>
    <row r="4652" spans="8:9">
      <c r="H4652" s="1245"/>
      <c r="I4652" s="1245"/>
    </row>
    <row r="4653" spans="8:9">
      <c r="H4653" s="1245"/>
      <c r="I4653" s="1245"/>
    </row>
    <row r="4654" spans="8:9">
      <c r="H4654" s="1245"/>
      <c r="I4654" s="1245"/>
    </row>
    <row r="4655" spans="8:9">
      <c r="H4655" s="1245"/>
      <c r="I4655" s="1245"/>
    </row>
    <row r="4656" spans="8:9">
      <c r="H4656" s="1245"/>
      <c r="I4656" s="1245"/>
    </row>
    <row r="4657" spans="8:9">
      <c r="H4657" s="1245"/>
      <c r="I4657" s="1245"/>
    </row>
    <row r="4658" spans="8:9">
      <c r="H4658" s="1245"/>
      <c r="I4658" s="1245"/>
    </row>
    <row r="4659" spans="8:9">
      <c r="H4659" s="1245"/>
      <c r="I4659" s="1245"/>
    </row>
    <row r="4660" spans="8:9">
      <c r="H4660" s="1245"/>
      <c r="I4660" s="1245"/>
    </row>
    <row r="4661" spans="8:9">
      <c r="H4661" s="1245"/>
      <c r="I4661" s="1245"/>
    </row>
    <row r="4662" spans="8:9">
      <c r="H4662" s="1245"/>
      <c r="I4662" s="1245"/>
    </row>
    <row r="4663" spans="8:9">
      <c r="H4663" s="1245"/>
      <c r="I4663" s="1245"/>
    </row>
    <row r="4664" spans="8:9">
      <c r="H4664" s="1245"/>
      <c r="I4664" s="1245"/>
    </row>
    <row r="4665" spans="8:9">
      <c r="H4665" s="1245"/>
      <c r="I4665" s="1245"/>
    </row>
    <row r="4666" spans="8:9">
      <c r="H4666" s="1245"/>
      <c r="I4666" s="1245"/>
    </row>
    <row r="4667" spans="8:9">
      <c r="H4667" s="1245"/>
      <c r="I4667" s="1245"/>
    </row>
    <row r="4668" spans="8:9">
      <c r="H4668" s="1245"/>
      <c r="I4668" s="1245"/>
    </row>
    <row r="4669" spans="8:9">
      <c r="H4669" s="1245"/>
      <c r="I4669" s="1245"/>
    </row>
    <row r="4670" spans="8:9">
      <c r="H4670" s="1245"/>
      <c r="I4670" s="1245"/>
    </row>
    <row r="4671" spans="8:9">
      <c r="H4671" s="1245"/>
      <c r="I4671" s="1245"/>
    </row>
    <row r="4672" spans="8:9">
      <c r="H4672" s="1245"/>
      <c r="I4672" s="1245"/>
    </row>
    <row r="4673" spans="8:9">
      <c r="H4673" s="1245"/>
      <c r="I4673" s="1245"/>
    </row>
    <row r="4674" spans="8:9">
      <c r="H4674" s="1245"/>
      <c r="I4674" s="1245"/>
    </row>
    <row r="4675" spans="8:9">
      <c r="H4675" s="1245"/>
      <c r="I4675" s="1245"/>
    </row>
    <row r="4676" spans="8:9">
      <c r="H4676" s="1245"/>
      <c r="I4676" s="1245"/>
    </row>
    <row r="4677" spans="8:9">
      <c r="H4677" s="1245"/>
      <c r="I4677" s="1245"/>
    </row>
    <row r="4678" spans="8:9">
      <c r="H4678" s="1245"/>
      <c r="I4678" s="1245"/>
    </row>
    <row r="4679" spans="8:9">
      <c r="H4679" s="1245"/>
      <c r="I4679" s="1245"/>
    </row>
    <row r="4680" spans="8:9">
      <c r="H4680" s="1245"/>
      <c r="I4680" s="1245"/>
    </row>
    <row r="4681" spans="8:9">
      <c r="H4681" s="1245"/>
      <c r="I4681" s="1245"/>
    </row>
    <row r="4682" spans="8:9">
      <c r="H4682" s="1245"/>
      <c r="I4682" s="1245"/>
    </row>
    <row r="4683" spans="8:9">
      <c r="H4683" s="1245"/>
      <c r="I4683" s="1245"/>
    </row>
    <row r="4684" spans="8:9">
      <c r="H4684" s="1245"/>
      <c r="I4684" s="1245"/>
    </row>
    <row r="4685" spans="8:9">
      <c r="H4685" s="1245"/>
      <c r="I4685" s="1245"/>
    </row>
    <row r="4686" spans="8:9">
      <c r="H4686" s="1245"/>
      <c r="I4686" s="1245"/>
    </row>
    <row r="4687" spans="8:9">
      <c r="H4687" s="1245"/>
      <c r="I4687" s="1245"/>
    </row>
    <row r="4688" spans="8:9">
      <c r="H4688" s="1245"/>
      <c r="I4688" s="1245"/>
    </row>
    <row r="4689" spans="8:9">
      <c r="H4689" s="1245"/>
      <c r="I4689" s="1245"/>
    </row>
    <row r="4690" spans="8:9">
      <c r="H4690" s="1245"/>
      <c r="I4690" s="1245"/>
    </row>
    <row r="4691" spans="8:9">
      <c r="H4691" s="1245"/>
      <c r="I4691" s="1245"/>
    </row>
    <row r="4692" spans="8:9">
      <c r="H4692" s="1245"/>
      <c r="I4692" s="1245"/>
    </row>
    <row r="4693" spans="8:9">
      <c r="H4693" s="1245"/>
      <c r="I4693" s="1245"/>
    </row>
    <row r="4694" spans="8:9">
      <c r="H4694" s="1245"/>
      <c r="I4694" s="1245"/>
    </row>
    <row r="4695" spans="8:9">
      <c r="H4695" s="1245"/>
      <c r="I4695" s="1245"/>
    </row>
    <row r="4696" spans="8:9">
      <c r="H4696" s="1245"/>
      <c r="I4696" s="1245"/>
    </row>
    <row r="4697" spans="8:9">
      <c r="H4697" s="1245"/>
      <c r="I4697" s="1245"/>
    </row>
    <row r="4698" spans="8:9">
      <c r="H4698" s="1245"/>
      <c r="I4698" s="1245"/>
    </row>
    <row r="4699" spans="8:9">
      <c r="H4699" s="1245"/>
      <c r="I4699" s="1245"/>
    </row>
    <row r="4700" spans="8:9">
      <c r="H4700" s="1245"/>
      <c r="I4700" s="1245"/>
    </row>
    <row r="4701" spans="8:9">
      <c r="H4701" s="1245"/>
      <c r="I4701" s="1245"/>
    </row>
    <row r="4702" spans="8:9">
      <c r="H4702" s="1245"/>
      <c r="I4702" s="1245"/>
    </row>
    <row r="4703" spans="8:9">
      <c r="H4703" s="1245"/>
      <c r="I4703" s="1245"/>
    </row>
    <row r="4704" spans="8:9">
      <c r="H4704" s="1245"/>
      <c r="I4704" s="1245"/>
    </row>
    <row r="4705" spans="8:9">
      <c r="H4705" s="1245"/>
      <c r="I4705" s="1245"/>
    </row>
    <row r="4706" spans="8:9">
      <c r="H4706" s="1245"/>
      <c r="I4706" s="1245"/>
    </row>
    <row r="4707" spans="8:9">
      <c r="H4707" s="1245"/>
      <c r="I4707" s="1245"/>
    </row>
    <row r="4708" spans="8:9">
      <c r="H4708" s="1245"/>
      <c r="I4708" s="1245"/>
    </row>
    <row r="4709" spans="8:9">
      <c r="H4709" s="1245"/>
      <c r="I4709" s="1245"/>
    </row>
    <row r="4710" spans="8:9">
      <c r="H4710" s="1245"/>
      <c r="I4710" s="1245"/>
    </row>
    <row r="4711" spans="8:9">
      <c r="H4711" s="1245"/>
      <c r="I4711" s="1245"/>
    </row>
    <row r="4712" spans="8:9">
      <c r="H4712" s="1245"/>
      <c r="I4712" s="1245"/>
    </row>
    <row r="4713" spans="8:9">
      <c r="H4713" s="1245"/>
      <c r="I4713" s="1245"/>
    </row>
    <row r="4714" spans="8:9">
      <c r="H4714" s="1245"/>
      <c r="I4714" s="1245"/>
    </row>
    <row r="4715" spans="8:9">
      <c r="H4715" s="1245"/>
      <c r="I4715" s="1245"/>
    </row>
    <row r="4716" spans="8:9">
      <c r="H4716" s="1245"/>
      <c r="I4716" s="1245"/>
    </row>
    <row r="4717" spans="8:9">
      <c r="H4717" s="1245"/>
      <c r="I4717" s="1245"/>
    </row>
    <row r="4718" spans="8:9">
      <c r="H4718" s="1245"/>
      <c r="I4718" s="1245"/>
    </row>
    <row r="4719" spans="8:9">
      <c r="H4719" s="1245"/>
      <c r="I4719" s="1245"/>
    </row>
    <row r="4720" spans="8:9">
      <c r="H4720" s="1245"/>
      <c r="I4720" s="1245"/>
    </row>
    <row r="4721" spans="8:9">
      <c r="H4721" s="1245"/>
      <c r="I4721" s="1245"/>
    </row>
    <row r="4722" spans="8:9">
      <c r="H4722" s="1245"/>
      <c r="I4722" s="1245"/>
    </row>
    <row r="4723" spans="8:9">
      <c r="H4723" s="1245"/>
      <c r="I4723" s="1245"/>
    </row>
    <row r="4724" spans="8:9">
      <c r="H4724" s="1245"/>
      <c r="I4724" s="1245"/>
    </row>
    <row r="4725" spans="8:9">
      <c r="H4725" s="1245"/>
      <c r="I4725" s="1245"/>
    </row>
    <row r="4726" spans="8:9">
      <c r="H4726" s="1245"/>
      <c r="I4726" s="1245"/>
    </row>
    <row r="4727" spans="8:9">
      <c r="H4727" s="1245"/>
      <c r="I4727" s="1245"/>
    </row>
    <row r="4728" spans="8:9">
      <c r="H4728" s="1245"/>
      <c r="I4728" s="1245"/>
    </row>
    <row r="4729" spans="8:9">
      <c r="H4729" s="1245"/>
      <c r="I4729" s="1245"/>
    </row>
    <row r="4730" spans="8:9">
      <c r="H4730" s="1245"/>
      <c r="I4730" s="1245"/>
    </row>
    <row r="4731" spans="8:9">
      <c r="H4731" s="1245"/>
      <c r="I4731" s="1245"/>
    </row>
    <row r="4732" spans="8:9">
      <c r="H4732" s="1245"/>
      <c r="I4732" s="1245"/>
    </row>
    <row r="4733" spans="8:9">
      <c r="H4733" s="1245"/>
      <c r="I4733" s="1245"/>
    </row>
    <row r="4734" spans="8:9">
      <c r="H4734" s="1245"/>
      <c r="I4734" s="1245"/>
    </row>
    <row r="4735" spans="8:9">
      <c r="H4735" s="1245"/>
      <c r="I4735" s="1245"/>
    </row>
    <row r="4736" spans="8:9">
      <c r="H4736" s="1245"/>
      <c r="I4736" s="1245"/>
    </row>
    <row r="4737" spans="8:9">
      <c r="H4737" s="1245"/>
      <c r="I4737" s="1245"/>
    </row>
    <row r="4738" spans="8:9">
      <c r="H4738" s="1245"/>
      <c r="I4738" s="1245"/>
    </row>
    <row r="4739" spans="8:9">
      <c r="H4739" s="1245"/>
      <c r="I4739" s="1245"/>
    </row>
    <row r="4740" spans="8:9">
      <c r="H4740" s="1245"/>
      <c r="I4740" s="1245"/>
    </row>
    <row r="4741" spans="8:9">
      <c r="H4741" s="1245"/>
      <c r="I4741" s="1245"/>
    </row>
    <row r="4742" spans="8:9">
      <c r="H4742" s="1245"/>
      <c r="I4742" s="1245"/>
    </row>
    <row r="4743" spans="8:9">
      <c r="H4743" s="1245"/>
      <c r="I4743" s="1245"/>
    </row>
    <row r="4744" spans="8:9">
      <c r="H4744" s="1245"/>
      <c r="I4744" s="1245"/>
    </row>
    <row r="4745" spans="8:9">
      <c r="H4745" s="1245"/>
      <c r="I4745" s="1245"/>
    </row>
    <row r="4746" spans="8:9">
      <c r="H4746" s="1245"/>
      <c r="I4746" s="1245"/>
    </row>
    <row r="4747" spans="8:9">
      <c r="H4747" s="1245"/>
      <c r="I4747" s="1245"/>
    </row>
    <row r="4748" spans="8:9">
      <c r="H4748" s="1245"/>
      <c r="I4748" s="1245"/>
    </row>
    <row r="4749" spans="8:9">
      <c r="H4749" s="1245"/>
      <c r="I4749" s="1245"/>
    </row>
    <row r="4750" spans="8:9">
      <c r="H4750" s="1245"/>
      <c r="I4750" s="1245"/>
    </row>
    <row r="4751" spans="8:9">
      <c r="H4751" s="1245"/>
      <c r="I4751" s="1245"/>
    </row>
    <row r="4752" spans="8:9">
      <c r="H4752" s="1245"/>
      <c r="I4752" s="1245"/>
    </row>
    <row r="4753" spans="8:9">
      <c r="H4753" s="1245"/>
      <c r="I4753" s="1245"/>
    </row>
    <row r="4754" spans="8:9">
      <c r="H4754" s="1245"/>
      <c r="I4754" s="1245"/>
    </row>
    <row r="4755" spans="8:9">
      <c r="H4755" s="1245"/>
      <c r="I4755" s="1245"/>
    </row>
    <row r="4756" spans="8:9">
      <c r="H4756" s="1245"/>
      <c r="I4756" s="1245"/>
    </row>
    <row r="4757" spans="8:9">
      <c r="H4757" s="1245"/>
      <c r="I4757" s="1245"/>
    </row>
    <row r="4758" spans="8:9">
      <c r="H4758" s="1245"/>
      <c r="I4758" s="1245"/>
    </row>
    <row r="4759" spans="8:9">
      <c r="H4759" s="1245"/>
      <c r="I4759" s="1245"/>
    </row>
    <row r="4760" spans="8:9">
      <c r="H4760" s="1245"/>
      <c r="I4760" s="1245"/>
    </row>
    <row r="4761" spans="8:9">
      <c r="H4761" s="1245"/>
      <c r="I4761" s="1245"/>
    </row>
    <row r="4762" spans="8:9">
      <c r="H4762" s="1245"/>
      <c r="I4762" s="1245"/>
    </row>
    <row r="4763" spans="8:9">
      <c r="H4763" s="1245"/>
      <c r="I4763" s="1245"/>
    </row>
    <row r="4764" spans="8:9">
      <c r="H4764" s="1245"/>
      <c r="I4764" s="1245"/>
    </row>
    <row r="4765" spans="8:9">
      <c r="H4765" s="1245"/>
      <c r="I4765" s="1245"/>
    </row>
    <row r="4766" spans="8:9">
      <c r="H4766" s="1245"/>
      <c r="I4766" s="1245"/>
    </row>
    <row r="4767" spans="8:9">
      <c r="H4767" s="1245"/>
      <c r="I4767" s="1245"/>
    </row>
    <row r="4768" spans="8:9">
      <c r="H4768" s="1245"/>
      <c r="I4768" s="1245"/>
    </row>
    <row r="4769" spans="8:9">
      <c r="H4769" s="1245"/>
      <c r="I4769" s="1245"/>
    </row>
    <row r="4770" spans="8:9">
      <c r="H4770" s="1245"/>
      <c r="I4770" s="1245"/>
    </row>
    <row r="4771" spans="8:9">
      <c r="H4771" s="1245"/>
      <c r="I4771" s="1245"/>
    </row>
    <row r="4772" spans="8:9">
      <c r="H4772" s="1245"/>
      <c r="I4772" s="1245"/>
    </row>
    <row r="4773" spans="8:9">
      <c r="H4773" s="1245"/>
      <c r="I4773" s="1245"/>
    </row>
    <row r="4774" spans="8:9">
      <c r="H4774" s="1245"/>
      <c r="I4774" s="1245"/>
    </row>
    <row r="4775" spans="8:9">
      <c r="H4775" s="1245"/>
      <c r="I4775" s="1245"/>
    </row>
    <row r="4776" spans="8:9">
      <c r="H4776" s="1245"/>
      <c r="I4776" s="1245"/>
    </row>
    <row r="4777" spans="8:9">
      <c r="H4777" s="1245"/>
      <c r="I4777" s="1245"/>
    </row>
    <row r="4778" spans="8:9">
      <c r="H4778" s="1245"/>
      <c r="I4778" s="1245"/>
    </row>
    <row r="4779" spans="8:9">
      <c r="H4779" s="1245"/>
      <c r="I4779" s="1245"/>
    </row>
    <row r="4780" spans="8:9">
      <c r="H4780" s="1245"/>
      <c r="I4780" s="1245"/>
    </row>
    <row r="4781" spans="8:9">
      <c r="H4781" s="1245"/>
      <c r="I4781" s="1245"/>
    </row>
    <row r="4782" spans="8:9">
      <c r="H4782" s="1245"/>
      <c r="I4782" s="1245"/>
    </row>
    <row r="4783" spans="8:9">
      <c r="H4783" s="1245"/>
      <c r="I4783" s="1245"/>
    </row>
    <row r="4784" spans="8:9">
      <c r="H4784" s="1245"/>
      <c r="I4784" s="1245"/>
    </row>
    <row r="4785" spans="8:9">
      <c r="H4785" s="1245"/>
      <c r="I4785" s="1245"/>
    </row>
    <row r="4786" spans="8:9">
      <c r="H4786" s="1245"/>
      <c r="I4786" s="1245"/>
    </row>
    <row r="4787" spans="8:9">
      <c r="H4787" s="1245"/>
      <c r="I4787" s="1245"/>
    </row>
    <row r="4788" spans="8:9">
      <c r="H4788" s="1245"/>
      <c r="I4788" s="1245"/>
    </row>
    <row r="4789" spans="8:9">
      <c r="H4789" s="1245"/>
      <c r="I4789" s="1245"/>
    </row>
    <row r="4790" spans="8:9">
      <c r="H4790" s="1245"/>
      <c r="I4790" s="1245"/>
    </row>
    <row r="4791" spans="8:9">
      <c r="H4791" s="1245"/>
      <c r="I4791" s="1245"/>
    </row>
    <row r="4792" spans="8:9">
      <c r="H4792" s="1245"/>
      <c r="I4792" s="1245"/>
    </row>
    <row r="4793" spans="8:9">
      <c r="H4793" s="1245"/>
      <c r="I4793" s="1245"/>
    </row>
    <row r="4794" spans="8:9">
      <c r="H4794" s="1245"/>
      <c r="I4794" s="1245"/>
    </row>
    <row r="4795" spans="8:9">
      <c r="H4795" s="1245"/>
      <c r="I4795" s="1245"/>
    </row>
    <row r="4796" spans="8:9">
      <c r="H4796" s="1245"/>
      <c r="I4796" s="1245"/>
    </row>
    <row r="4797" spans="8:9">
      <c r="H4797" s="1245"/>
      <c r="I4797" s="1245"/>
    </row>
    <row r="4798" spans="8:9">
      <c r="H4798" s="1245"/>
      <c r="I4798" s="1245"/>
    </row>
    <row r="4799" spans="8:9">
      <c r="H4799" s="1245"/>
      <c r="I4799" s="1245"/>
    </row>
    <row r="4800" spans="8:9">
      <c r="H4800" s="1245"/>
      <c r="I4800" s="1245"/>
    </row>
    <row r="4801" spans="8:9">
      <c r="H4801" s="1245"/>
      <c r="I4801" s="1245"/>
    </row>
    <row r="4802" spans="8:9">
      <c r="H4802" s="1245"/>
      <c r="I4802" s="1245"/>
    </row>
    <row r="4803" spans="8:9">
      <c r="H4803" s="1245"/>
      <c r="I4803" s="1245"/>
    </row>
    <row r="4804" spans="8:9">
      <c r="H4804" s="1245"/>
      <c r="I4804" s="1245"/>
    </row>
    <row r="4805" spans="8:9">
      <c r="H4805" s="1245"/>
      <c r="I4805" s="1245"/>
    </row>
    <row r="4806" spans="8:9">
      <c r="H4806" s="1245"/>
      <c r="I4806" s="1245"/>
    </row>
    <row r="4807" spans="8:9">
      <c r="H4807" s="1245"/>
      <c r="I4807" s="1245"/>
    </row>
    <row r="4808" spans="8:9">
      <c r="H4808" s="1245"/>
      <c r="I4808" s="1245"/>
    </row>
    <row r="4809" spans="8:9">
      <c r="H4809" s="1245"/>
      <c r="I4809" s="1245"/>
    </row>
    <row r="4810" spans="8:9">
      <c r="H4810" s="1245"/>
      <c r="I4810" s="1245"/>
    </row>
    <row r="4811" spans="8:9">
      <c r="H4811" s="1245"/>
      <c r="I4811" s="1245"/>
    </row>
    <row r="4812" spans="8:9">
      <c r="H4812" s="1245"/>
      <c r="I4812" s="1245"/>
    </row>
    <row r="4813" spans="8:9">
      <c r="H4813" s="1245"/>
      <c r="I4813" s="1245"/>
    </row>
    <row r="4814" spans="8:9">
      <c r="H4814" s="1245"/>
      <c r="I4814" s="1245"/>
    </row>
    <row r="4815" spans="8:9">
      <c r="H4815" s="1245"/>
      <c r="I4815" s="1245"/>
    </row>
    <row r="4816" spans="8:9">
      <c r="H4816" s="1245"/>
      <c r="I4816" s="1245"/>
    </row>
    <row r="4817" spans="8:9">
      <c r="H4817" s="1245"/>
      <c r="I4817" s="1245"/>
    </row>
    <row r="4818" spans="8:9">
      <c r="H4818" s="1245"/>
      <c r="I4818" s="1245"/>
    </row>
    <row r="4819" spans="8:9">
      <c r="H4819" s="1245"/>
      <c r="I4819" s="1245"/>
    </row>
    <row r="4820" spans="8:9">
      <c r="H4820" s="1245"/>
      <c r="I4820" s="1245"/>
    </row>
    <row r="4821" spans="8:9">
      <c r="H4821" s="1245"/>
      <c r="I4821" s="1245"/>
    </row>
    <row r="4822" spans="8:9">
      <c r="H4822" s="1245"/>
      <c r="I4822" s="1245"/>
    </row>
    <row r="4823" spans="8:9">
      <c r="H4823" s="1245"/>
      <c r="I4823" s="1245"/>
    </row>
    <row r="4824" spans="8:9">
      <c r="H4824" s="1245"/>
      <c r="I4824" s="1245"/>
    </row>
    <row r="4825" spans="8:9">
      <c r="H4825" s="1245"/>
      <c r="I4825" s="1245"/>
    </row>
    <row r="4826" spans="8:9">
      <c r="H4826" s="1245"/>
      <c r="I4826" s="1245"/>
    </row>
    <row r="4827" spans="8:9">
      <c r="H4827" s="1245"/>
      <c r="I4827" s="1245"/>
    </row>
    <row r="4828" spans="8:9">
      <c r="H4828" s="1245"/>
      <c r="I4828" s="1245"/>
    </row>
    <row r="4829" spans="8:9">
      <c r="H4829" s="1245"/>
      <c r="I4829" s="1245"/>
    </row>
    <row r="4830" spans="8:9">
      <c r="H4830" s="1245"/>
      <c r="I4830" s="1245"/>
    </row>
    <row r="4831" spans="8:9">
      <c r="H4831" s="1245"/>
      <c r="I4831" s="1245"/>
    </row>
    <row r="4832" spans="8:9">
      <c r="H4832" s="1245"/>
      <c r="I4832" s="1245"/>
    </row>
    <row r="4833" spans="8:9">
      <c r="H4833" s="1245"/>
      <c r="I4833" s="1245"/>
    </row>
    <row r="4834" spans="8:9">
      <c r="H4834" s="1245"/>
      <c r="I4834" s="1245"/>
    </row>
    <row r="4835" spans="8:9">
      <c r="H4835" s="1245"/>
      <c r="I4835" s="1245"/>
    </row>
    <row r="4836" spans="8:9">
      <c r="H4836" s="1245"/>
      <c r="I4836" s="1245"/>
    </row>
    <row r="4837" spans="8:9">
      <c r="H4837" s="1245"/>
      <c r="I4837" s="1245"/>
    </row>
    <row r="4838" spans="8:9">
      <c r="H4838" s="1245"/>
      <c r="I4838" s="1245"/>
    </row>
    <row r="4839" spans="8:9">
      <c r="H4839" s="1245"/>
      <c r="I4839" s="1245"/>
    </row>
    <row r="4840" spans="8:9">
      <c r="H4840" s="1245"/>
      <c r="I4840" s="1245"/>
    </row>
    <row r="4841" spans="8:9">
      <c r="H4841" s="1245"/>
      <c r="I4841" s="1245"/>
    </row>
    <row r="4842" spans="8:9">
      <c r="H4842" s="1245"/>
      <c r="I4842" s="1245"/>
    </row>
    <row r="4843" spans="8:9">
      <c r="H4843" s="1245"/>
      <c r="I4843" s="1245"/>
    </row>
    <row r="4844" spans="8:9">
      <c r="H4844" s="1245"/>
      <c r="I4844" s="1245"/>
    </row>
    <row r="4845" spans="8:9">
      <c r="H4845" s="1245"/>
      <c r="I4845" s="1245"/>
    </row>
    <row r="4846" spans="8:9">
      <c r="H4846" s="1245"/>
      <c r="I4846" s="1245"/>
    </row>
    <row r="4847" spans="8:9">
      <c r="H4847" s="1245"/>
      <c r="I4847" s="1245"/>
    </row>
    <row r="4848" spans="8:9">
      <c r="H4848" s="1245"/>
      <c r="I4848" s="1245"/>
    </row>
    <row r="4849" spans="8:9">
      <c r="H4849" s="1245"/>
      <c r="I4849" s="1245"/>
    </row>
    <row r="4850" spans="8:9">
      <c r="H4850" s="1245"/>
      <c r="I4850" s="1245"/>
    </row>
    <row r="4851" spans="8:9">
      <c r="H4851" s="1245"/>
      <c r="I4851" s="1245"/>
    </row>
    <row r="4852" spans="8:9">
      <c r="H4852" s="1245"/>
      <c r="I4852" s="1245"/>
    </row>
    <row r="4853" spans="8:9">
      <c r="H4853" s="1245"/>
      <c r="I4853" s="1245"/>
    </row>
    <row r="4854" spans="8:9">
      <c r="H4854" s="1245"/>
      <c r="I4854" s="1245"/>
    </row>
    <row r="4855" spans="8:9">
      <c r="H4855" s="1245"/>
      <c r="I4855" s="1245"/>
    </row>
    <row r="4856" spans="8:9">
      <c r="H4856" s="1245"/>
      <c r="I4856" s="1245"/>
    </row>
    <row r="4857" spans="8:9">
      <c r="H4857" s="1245"/>
      <c r="I4857" s="1245"/>
    </row>
    <row r="4858" spans="8:9">
      <c r="H4858" s="1245"/>
      <c r="I4858" s="1245"/>
    </row>
    <row r="4859" spans="8:9">
      <c r="H4859" s="1245"/>
      <c r="I4859" s="1245"/>
    </row>
    <row r="4860" spans="8:9">
      <c r="H4860" s="1245"/>
      <c r="I4860" s="1245"/>
    </row>
    <row r="4861" spans="8:9">
      <c r="H4861" s="1245"/>
      <c r="I4861" s="1245"/>
    </row>
    <row r="4862" spans="8:9">
      <c r="H4862" s="1245"/>
      <c r="I4862" s="1245"/>
    </row>
    <row r="4863" spans="8:9">
      <c r="H4863" s="1245"/>
      <c r="I4863" s="1245"/>
    </row>
    <row r="4864" spans="8:9">
      <c r="H4864" s="1245"/>
      <c r="I4864" s="1245"/>
    </row>
    <row r="4865" spans="8:9">
      <c r="H4865" s="1245"/>
      <c r="I4865" s="1245"/>
    </row>
    <row r="4866" spans="8:9">
      <c r="H4866" s="1245"/>
      <c r="I4866" s="1245"/>
    </row>
    <row r="4867" spans="8:9">
      <c r="H4867" s="1245"/>
      <c r="I4867" s="1245"/>
    </row>
    <row r="4868" spans="8:9">
      <c r="H4868" s="1245"/>
      <c r="I4868" s="1245"/>
    </row>
    <row r="4869" spans="8:9">
      <c r="H4869" s="1245"/>
      <c r="I4869" s="1245"/>
    </row>
    <row r="4870" spans="8:9">
      <c r="H4870" s="1245"/>
      <c r="I4870" s="1245"/>
    </row>
    <row r="4871" spans="8:9">
      <c r="H4871" s="1245"/>
      <c r="I4871" s="1245"/>
    </row>
    <row r="4872" spans="8:9">
      <c r="H4872" s="1245"/>
      <c r="I4872" s="1245"/>
    </row>
    <row r="4873" spans="8:9">
      <c r="H4873" s="1245"/>
      <c r="I4873" s="1245"/>
    </row>
    <row r="4874" spans="8:9">
      <c r="H4874" s="1245"/>
      <c r="I4874" s="1245"/>
    </row>
    <row r="4875" spans="8:9">
      <c r="H4875" s="1245"/>
      <c r="I4875" s="1245"/>
    </row>
    <row r="4876" spans="8:9">
      <c r="H4876" s="1245"/>
      <c r="I4876" s="1245"/>
    </row>
    <row r="4877" spans="8:9">
      <c r="H4877" s="1245"/>
      <c r="I4877" s="1245"/>
    </row>
    <row r="4878" spans="8:9">
      <c r="H4878" s="1245"/>
      <c r="I4878" s="1245"/>
    </row>
    <row r="4879" spans="8:9">
      <c r="H4879" s="1245"/>
      <c r="I4879" s="1245"/>
    </row>
    <row r="4880" spans="8:9">
      <c r="H4880" s="1245"/>
      <c r="I4880" s="1245"/>
    </row>
    <row r="4881" spans="8:9">
      <c r="H4881" s="1245"/>
      <c r="I4881" s="1245"/>
    </row>
    <row r="4882" spans="8:9">
      <c r="H4882" s="1245"/>
      <c r="I4882" s="1245"/>
    </row>
    <row r="4883" spans="8:9">
      <c r="H4883" s="1245"/>
      <c r="I4883" s="1245"/>
    </row>
    <row r="4884" spans="8:9">
      <c r="H4884" s="1245"/>
      <c r="I4884" s="1245"/>
    </row>
    <row r="4885" spans="8:9">
      <c r="H4885" s="1245"/>
      <c r="I4885" s="1245"/>
    </row>
    <row r="4886" spans="8:9">
      <c r="H4886" s="1245"/>
      <c r="I4886" s="1245"/>
    </row>
    <row r="4887" spans="8:9">
      <c r="H4887" s="1245"/>
      <c r="I4887" s="1245"/>
    </row>
    <row r="4888" spans="8:9">
      <c r="H4888" s="1245"/>
      <c r="I4888" s="1245"/>
    </row>
    <row r="4889" spans="8:9">
      <c r="H4889" s="1245"/>
      <c r="I4889" s="1245"/>
    </row>
    <row r="4890" spans="8:9">
      <c r="H4890" s="1245"/>
      <c r="I4890" s="1245"/>
    </row>
    <row r="4891" spans="8:9">
      <c r="H4891" s="1245"/>
      <c r="I4891" s="1245"/>
    </row>
    <row r="4892" spans="8:9">
      <c r="H4892" s="1245"/>
      <c r="I4892" s="1245"/>
    </row>
    <row r="4893" spans="8:9">
      <c r="H4893" s="1245"/>
      <c r="I4893" s="1245"/>
    </row>
    <row r="4894" spans="8:9">
      <c r="H4894" s="1245"/>
      <c r="I4894" s="1245"/>
    </row>
    <row r="4895" spans="8:9">
      <c r="H4895" s="1245"/>
      <c r="I4895" s="1245"/>
    </row>
    <row r="4896" spans="8:9">
      <c r="H4896" s="1245"/>
      <c r="I4896" s="1245"/>
    </row>
    <row r="4897" spans="8:9">
      <c r="H4897" s="1245"/>
      <c r="I4897" s="1245"/>
    </row>
    <row r="4898" spans="8:9">
      <c r="H4898" s="1245"/>
      <c r="I4898" s="1245"/>
    </row>
    <row r="4899" spans="8:9">
      <c r="H4899" s="1245"/>
      <c r="I4899" s="1245"/>
    </row>
    <row r="4900" spans="8:9">
      <c r="H4900" s="1245"/>
      <c r="I4900" s="1245"/>
    </row>
    <row r="4901" spans="8:9">
      <c r="H4901" s="1245"/>
      <c r="I4901" s="1245"/>
    </row>
    <row r="4902" spans="8:9">
      <c r="H4902" s="1245"/>
      <c r="I4902" s="1245"/>
    </row>
    <row r="4903" spans="8:9">
      <c r="H4903" s="1245"/>
      <c r="I4903" s="1245"/>
    </row>
    <row r="4904" spans="8:9">
      <c r="H4904" s="1245"/>
      <c r="I4904" s="1245"/>
    </row>
    <row r="4905" spans="8:9">
      <c r="H4905" s="1245"/>
      <c r="I4905" s="1245"/>
    </row>
    <row r="4906" spans="8:9">
      <c r="H4906" s="1245"/>
      <c r="I4906" s="1245"/>
    </row>
    <row r="4907" spans="8:9">
      <c r="H4907" s="1245"/>
      <c r="I4907" s="1245"/>
    </row>
    <row r="4908" spans="8:9">
      <c r="H4908" s="1245"/>
      <c r="I4908" s="1245"/>
    </row>
    <row r="4909" spans="8:9">
      <c r="H4909" s="1245"/>
      <c r="I4909" s="1245"/>
    </row>
    <row r="4910" spans="8:9">
      <c r="H4910" s="1245"/>
      <c r="I4910" s="1245"/>
    </row>
    <row r="4911" spans="8:9">
      <c r="H4911" s="1245"/>
      <c r="I4911" s="1245"/>
    </row>
    <row r="4912" spans="8:9">
      <c r="H4912" s="1245"/>
      <c r="I4912" s="1245"/>
    </row>
    <row r="4913" spans="8:9">
      <c r="H4913" s="1245"/>
      <c r="I4913" s="1245"/>
    </row>
    <row r="4914" spans="8:9">
      <c r="H4914" s="1245"/>
      <c r="I4914" s="1245"/>
    </row>
    <row r="4915" spans="8:9">
      <c r="H4915" s="1245"/>
      <c r="I4915" s="1245"/>
    </row>
    <row r="4916" spans="8:9">
      <c r="H4916" s="1245"/>
      <c r="I4916" s="1245"/>
    </row>
    <row r="4917" spans="8:9">
      <c r="H4917" s="1245"/>
      <c r="I4917" s="1245"/>
    </row>
    <row r="4918" spans="8:9">
      <c r="H4918" s="1245"/>
      <c r="I4918" s="1245"/>
    </row>
    <row r="4919" spans="8:9">
      <c r="H4919" s="1245"/>
      <c r="I4919" s="1245"/>
    </row>
    <row r="4920" spans="8:9">
      <c r="H4920" s="1245"/>
      <c r="I4920" s="1245"/>
    </row>
    <row r="4921" spans="8:9">
      <c r="H4921" s="1245"/>
      <c r="I4921" s="1245"/>
    </row>
    <row r="4922" spans="8:9">
      <c r="H4922" s="1245"/>
      <c r="I4922" s="1245"/>
    </row>
    <row r="4923" spans="8:9">
      <c r="H4923" s="1245"/>
      <c r="I4923" s="1245"/>
    </row>
    <row r="4924" spans="8:9">
      <c r="H4924" s="1245"/>
      <c r="I4924" s="1245"/>
    </row>
    <row r="4925" spans="8:9">
      <c r="H4925" s="1245"/>
      <c r="I4925" s="1245"/>
    </row>
    <row r="4926" spans="8:9">
      <c r="H4926" s="1245"/>
      <c r="I4926" s="1245"/>
    </row>
    <row r="4927" spans="8:9">
      <c r="H4927" s="1245"/>
      <c r="I4927" s="1245"/>
    </row>
    <row r="4928" spans="8:9">
      <c r="H4928" s="1245"/>
      <c r="I4928" s="1245"/>
    </row>
    <row r="4929" spans="8:9">
      <c r="H4929" s="1245"/>
      <c r="I4929" s="1245"/>
    </row>
    <row r="4930" spans="8:9">
      <c r="H4930" s="1245"/>
      <c r="I4930" s="1245"/>
    </row>
    <row r="4931" spans="8:9">
      <c r="H4931" s="1245"/>
      <c r="I4931" s="1245"/>
    </row>
    <row r="4932" spans="8:9">
      <c r="H4932" s="1245"/>
      <c r="I4932" s="1245"/>
    </row>
    <row r="4933" spans="8:9">
      <c r="H4933" s="1245"/>
      <c r="I4933" s="1245"/>
    </row>
    <row r="4934" spans="8:9">
      <c r="H4934" s="1245"/>
      <c r="I4934" s="1245"/>
    </row>
    <row r="4935" spans="8:9">
      <c r="H4935" s="1245"/>
      <c r="I4935" s="1245"/>
    </row>
    <row r="4936" spans="8:9">
      <c r="H4936" s="1245"/>
      <c r="I4936" s="1245"/>
    </row>
    <row r="4937" spans="8:9">
      <c r="H4937" s="1245"/>
      <c r="I4937" s="1245"/>
    </row>
    <row r="4938" spans="8:9">
      <c r="H4938" s="1245"/>
      <c r="I4938" s="1245"/>
    </row>
    <row r="4939" spans="8:9">
      <c r="H4939" s="1245"/>
      <c r="I4939" s="1245"/>
    </row>
    <row r="4940" spans="8:9">
      <c r="H4940" s="1245"/>
      <c r="I4940" s="1245"/>
    </row>
    <row r="4941" spans="8:9">
      <c r="H4941" s="1245"/>
      <c r="I4941" s="1245"/>
    </row>
    <row r="4942" spans="8:9">
      <c r="H4942" s="1245"/>
      <c r="I4942" s="1245"/>
    </row>
    <row r="4943" spans="8:9">
      <c r="H4943" s="1245"/>
      <c r="I4943" s="1245"/>
    </row>
    <row r="4944" spans="8:9">
      <c r="H4944" s="1245"/>
      <c r="I4944" s="1245"/>
    </row>
    <row r="4945" spans="8:9">
      <c r="H4945" s="1245"/>
      <c r="I4945" s="1245"/>
    </row>
    <row r="4946" spans="8:9">
      <c r="H4946" s="1245"/>
      <c r="I4946" s="1245"/>
    </row>
    <row r="4947" spans="8:9">
      <c r="H4947" s="1245"/>
      <c r="I4947" s="1245"/>
    </row>
    <row r="4948" spans="8:9">
      <c r="H4948" s="1245"/>
      <c r="I4948" s="1245"/>
    </row>
    <row r="4949" spans="8:9">
      <c r="H4949" s="1245"/>
      <c r="I4949" s="1245"/>
    </row>
    <row r="4950" spans="8:9">
      <c r="H4950" s="1245"/>
      <c r="I4950" s="1245"/>
    </row>
    <row r="4951" spans="8:9">
      <c r="H4951" s="1245"/>
      <c r="I4951" s="1245"/>
    </row>
    <row r="4952" spans="8:9">
      <c r="H4952" s="1245"/>
      <c r="I4952" s="1245"/>
    </row>
    <row r="4953" spans="8:9">
      <c r="H4953" s="1245"/>
      <c r="I4953" s="1245"/>
    </row>
    <row r="4954" spans="8:9">
      <c r="H4954" s="1245"/>
      <c r="I4954" s="1245"/>
    </row>
    <row r="4955" spans="8:9">
      <c r="H4955" s="1245"/>
      <c r="I4955" s="1245"/>
    </row>
    <row r="4956" spans="8:9">
      <c r="H4956" s="1245"/>
      <c r="I4956" s="1245"/>
    </row>
    <row r="4957" spans="8:9">
      <c r="H4957" s="1245"/>
      <c r="I4957" s="1245"/>
    </row>
    <row r="4958" spans="8:9">
      <c r="H4958" s="1245"/>
      <c r="I4958" s="1245"/>
    </row>
    <row r="4959" spans="8:9">
      <c r="H4959" s="1245"/>
      <c r="I4959" s="1245"/>
    </row>
    <row r="4960" spans="8:9">
      <c r="H4960" s="1245"/>
      <c r="I4960" s="1245"/>
    </row>
    <row r="4961" spans="8:9">
      <c r="H4961" s="1245"/>
      <c r="I4961" s="1245"/>
    </row>
    <row r="4962" spans="8:9">
      <c r="H4962" s="1245"/>
      <c r="I4962" s="1245"/>
    </row>
    <row r="4963" spans="8:9">
      <c r="H4963" s="1245"/>
      <c r="I4963" s="1245"/>
    </row>
    <row r="4964" spans="8:9">
      <c r="H4964" s="1245"/>
      <c r="I4964" s="1245"/>
    </row>
    <row r="4965" spans="8:9">
      <c r="H4965" s="1245"/>
      <c r="I4965" s="1245"/>
    </row>
    <row r="4966" spans="8:9">
      <c r="H4966" s="1245"/>
      <c r="I4966" s="1245"/>
    </row>
    <row r="4967" spans="8:9">
      <c r="H4967" s="1245"/>
      <c r="I4967" s="1245"/>
    </row>
    <row r="4968" spans="8:9">
      <c r="H4968" s="1245"/>
      <c r="I4968" s="1245"/>
    </row>
    <row r="4969" spans="8:9">
      <c r="H4969" s="1245"/>
      <c r="I4969" s="1245"/>
    </row>
    <row r="4970" spans="8:9">
      <c r="H4970" s="1245"/>
      <c r="I4970" s="1245"/>
    </row>
    <row r="4971" spans="8:9">
      <c r="H4971" s="1245"/>
      <c r="I4971" s="1245"/>
    </row>
    <row r="4972" spans="8:9">
      <c r="H4972" s="1245"/>
      <c r="I4972" s="1245"/>
    </row>
    <row r="4973" spans="8:9">
      <c r="H4973" s="1245"/>
      <c r="I4973" s="1245"/>
    </row>
    <row r="4974" spans="8:9">
      <c r="H4974" s="1245"/>
      <c r="I4974" s="1245"/>
    </row>
    <row r="4975" spans="8:9">
      <c r="H4975" s="1245"/>
      <c r="I4975" s="1245"/>
    </row>
    <row r="4976" spans="8:9">
      <c r="H4976" s="1245"/>
      <c r="I4976" s="1245"/>
    </row>
    <row r="4977" spans="8:9">
      <c r="H4977" s="1245"/>
      <c r="I4977" s="1245"/>
    </row>
    <row r="4978" spans="8:9">
      <c r="H4978" s="1245"/>
      <c r="I4978" s="1245"/>
    </row>
    <row r="4979" spans="8:9">
      <c r="H4979" s="1245"/>
      <c r="I4979" s="1245"/>
    </row>
    <row r="4980" spans="8:9">
      <c r="H4980" s="1245"/>
      <c r="I4980" s="1245"/>
    </row>
    <row r="4981" spans="8:9">
      <c r="H4981" s="1245"/>
      <c r="I4981" s="1245"/>
    </row>
    <row r="4982" spans="8:9">
      <c r="H4982" s="1245"/>
      <c r="I4982" s="1245"/>
    </row>
    <row r="4983" spans="8:9">
      <c r="H4983" s="1245"/>
      <c r="I4983" s="1245"/>
    </row>
    <row r="4984" spans="8:9">
      <c r="H4984" s="1245"/>
      <c r="I4984" s="1245"/>
    </row>
    <row r="4985" spans="8:9">
      <c r="H4985" s="1245"/>
      <c r="I4985" s="1245"/>
    </row>
    <row r="4986" spans="8:9">
      <c r="H4986" s="1245"/>
      <c r="I4986" s="1245"/>
    </row>
    <row r="4987" spans="8:9">
      <c r="H4987" s="1245"/>
      <c r="I4987" s="1245"/>
    </row>
    <row r="4988" spans="8:9">
      <c r="H4988" s="1245"/>
      <c r="I4988" s="1245"/>
    </row>
    <row r="4989" spans="8:9">
      <c r="H4989" s="1245"/>
      <c r="I4989" s="1245"/>
    </row>
    <row r="4990" spans="8:9">
      <c r="H4990" s="1245"/>
      <c r="I4990" s="1245"/>
    </row>
    <row r="4991" spans="8:9">
      <c r="H4991" s="1245"/>
      <c r="I4991" s="1245"/>
    </row>
    <row r="4992" spans="8:9">
      <c r="H4992" s="1245"/>
      <c r="I4992" s="1245"/>
    </row>
    <row r="4993" spans="8:9">
      <c r="H4993" s="1245"/>
      <c r="I4993" s="1245"/>
    </row>
    <row r="4994" spans="8:9">
      <c r="H4994" s="1245"/>
      <c r="I4994" s="1245"/>
    </row>
    <row r="4995" spans="8:9">
      <c r="H4995" s="1245"/>
      <c r="I4995" s="1245"/>
    </row>
    <row r="4996" spans="8:9">
      <c r="H4996" s="1245"/>
      <c r="I4996" s="1245"/>
    </row>
    <row r="4997" spans="8:9">
      <c r="H4997" s="1245"/>
      <c r="I4997" s="1245"/>
    </row>
    <row r="4998" spans="8:9">
      <c r="H4998" s="1245"/>
      <c r="I4998" s="1245"/>
    </row>
    <row r="4999" spans="8:9">
      <c r="H4999" s="1245"/>
      <c r="I4999" s="1245"/>
    </row>
    <row r="5000" spans="8:9">
      <c r="H5000" s="1245"/>
      <c r="I5000" s="1245"/>
    </row>
    <row r="5001" spans="8:9">
      <c r="H5001" s="1245"/>
      <c r="I5001" s="1245"/>
    </row>
    <row r="5002" spans="8:9">
      <c r="H5002" s="1245"/>
      <c r="I5002" s="1245"/>
    </row>
    <row r="5003" spans="8:9">
      <c r="H5003" s="1245"/>
      <c r="I5003" s="1245"/>
    </row>
    <row r="5004" spans="8:9">
      <c r="H5004" s="1245"/>
      <c r="I5004" s="1245"/>
    </row>
    <row r="5005" spans="8:9">
      <c r="H5005" s="1245"/>
      <c r="I5005" s="1245"/>
    </row>
    <row r="5006" spans="8:9">
      <c r="H5006" s="1245"/>
      <c r="I5006" s="1245"/>
    </row>
    <row r="5007" spans="8:9">
      <c r="H5007" s="1245"/>
      <c r="I5007" s="1245"/>
    </row>
    <row r="5008" spans="8:9">
      <c r="H5008" s="1245"/>
      <c r="I5008" s="1245"/>
    </row>
    <row r="5009" spans="8:9">
      <c r="H5009" s="1245"/>
      <c r="I5009" s="1245"/>
    </row>
    <row r="5010" spans="8:9">
      <c r="H5010" s="1245"/>
      <c r="I5010" s="1245"/>
    </row>
    <row r="5011" spans="8:9">
      <c r="H5011" s="1245"/>
      <c r="I5011" s="1245"/>
    </row>
    <row r="5012" spans="8:9">
      <c r="H5012" s="1245"/>
      <c r="I5012" s="1245"/>
    </row>
    <row r="5013" spans="8:9">
      <c r="H5013" s="1245"/>
      <c r="I5013" s="1245"/>
    </row>
    <row r="5014" spans="8:9">
      <c r="H5014" s="1245"/>
      <c r="I5014" s="1245"/>
    </row>
    <row r="5015" spans="8:9">
      <c r="H5015" s="1245"/>
      <c r="I5015" s="1245"/>
    </row>
    <row r="5016" spans="8:9">
      <c r="H5016" s="1245"/>
      <c r="I5016" s="1245"/>
    </row>
    <row r="5017" spans="8:9">
      <c r="H5017" s="1245"/>
      <c r="I5017" s="1245"/>
    </row>
    <row r="5018" spans="8:9">
      <c r="H5018" s="1245"/>
      <c r="I5018" s="1245"/>
    </row>
    <row r="5019" spans="8:9">
      <c r="H5019" s="1245"/>
      <c r="I5019" s="1245"/>
    </row>
    <row r="5020" spans="8:9">
      <c r="H5020" s="1245"/>
      <c r="I5020" s="1245"/>
    </row>
    <row r="5021" spans="8:9">
      <c r="H5021" s="1245"/>
      <c r="I5021" s="1245"/>
    </row>
    <row r="5022" spans="8:9">
      <c r="H5022" s="1245"/>
      <c r="I5022" s="1245"/>
    </row>
    <row r="5023" spans="8:9">
      <c r="H5023" s="1245"/>
      <c r="I5023" s="1245"/>
    </row>
    <row r="5024" spans="8:9">
      <c r="H5024" s="1245"/>
      <c r="I5024" s="1245"/>
    </row>
    <row r="5025" spans="8:9">
      <c r="H5025" s="1245"/>
      <c r="I5025" s="1245"/>
    </row>
    <row r="5026" spans="8:9">
      <c r="H5026" s="1245"/>
      <c r="I5026" s="1245"/>
    </row>
    <row r="5027" spans="8:9">
      <c r="H5027" s="1245"/>
      <c r="I5027" s="1245"/>
    </row>
    <row r="5028" spans="8:9">
      <c r="H5028" s="1245"/>
      <c r="I5028" s="1245"/>
    </row>
    <row r="5029" spans="8:9">
      <c r="H5029" s="1245"/>
      <c r="I5029" s="1245"/>
    </row>
    <row r="5030" spans="8:9">
      <c r="H5030" s="1245"/>
      <c r="I5030" s="1245"/>
    </row>
    <row r="5031" spans="8:9">
      <c r="H5031" s="1245"/>
      <c r="I5031" s="1245"/>
    </row>
    <row r="5032" spans="8:9">
      <c r="H5032" s="1245"/>
      <c r="I5032" s="1245"/>
    </row>
    <row r="5033" spans="8:9">
      <c r="H5033" s="1245"/>
      <c r="I5033" s="1245"/>
    </row>
    <row r="5034" spans="8:9">
      <c r="H5034" s="1245"/>
      <c r="I5034" s="1245"/>
    </row>
    <row r="5035" spans="8:9">
      <c r="H5035" s="1245"/>
      <c r="I5035" s="1245"/>
    </row>
    <row r="5036" spans="8:9">
      <c r="H5036" s="1245"/>
      <c r="I5036" s="1245"/>
    </row>
    <row r="5037" spans="8:9">
      <c r="H5037" s="1245"/>
      <c r="I5037" s="1245"/>
    </row>
    <row r="5038" spans="8:9">
      <c r="H5038" s="1245"/>
      <c r="I5038" s="1245"/>
    </row>
    <row r="5039" spans="8:9">
      <c r="H5039" s="1245"/>
      <c r="I5039" s="1245"/>
    </row>
    <row r="5040" spans="8:9">
      <c r="H5040" s="1245"/>
      <c r="I5040" s="1245"/>
    </row>
    <row r="5041" spans="8:9">
      <c r="H5041" s="1245"/>
      <c r="I5041" s="1245"/>
    </row>
    <row r="5042" spans="8:9">
      <c r="H5042" s="1245"/>
      <c r="I5042" s="1245"/>
    </row>
    <row r="5043" spans="8:9">
      <c r="H5043" s="1245"/>
      <c r="I5043" s="1245"/>
    </row>
    <row r="5044" spans="8:9">
      <c r="H5044" s="1245"/>
      <c r="I5044" s="1245"/>
    </row>
    <row r="5045" spans="8:9">
      <c r="H5045" s="1245"/>
      <c r="I5045" s="1245"/>
    </row>
    <row r="5046" spans="8:9">
      <c r="H5046" s="1245"/>
      <c r="I5046" s="1245"/>
    </row>
    <row r="5047" spans="8:9">
      <c r="H5047" s="1245"/>
      <c r="I5047" s="1245"/>
    </row>
    <row r="5048" spans="8:9">
      <c r="H5048" s="1245"/>
      <c r="I5048" s="1245"/>
    </row>
    <row r="5049" spans="8:9">
      <c r="H5049" s="1245"/>
      <c r="I5049" s="1245"/>
    </row>
    <row r="5050" spans="8:9">
      <c r="H5050" s="1245"/>
      <c r="I5050" s="1245"/>
    </row>
    <row r="5051" spans="8:9">
      <c r="H5051" s="1245"/>
      <c r="I5051" s="1245"/>
    </row>
    <row r="5052" spans="8:9">
      <c r="H5052" s="1245"/>
      <c r="I5052" s="1245"/>
    </row>
    <row r="5053" spans="8:9">
      <c r="H5053" s="1245"/>
      <c r="I5053" s="1245"/>
    </row>
    <row r="5054" spans="8:9">
      <c r="H5054" s="1245"/>
      <c r="I5054" s="1245"/>
    </row>
    <row r="5055" spans="8:9">
      <c r="H5055" s="1245"/>
      <c r="I5055" s="1245"/>
    </row>
    <row r="5056" spans="8:9">
      <c r="H5056" s="1245"/>
      <c r="I5056" s="1245"/>
    </row>
    <row r="5057" spans="8:9">
      <c r="H5057" s="1245"/>
      <c r="I5057" s="1245"/>
    </row>
    <row r="5058" spans="8:9">
      <c r="H5058" s="1245"/>
      <c r="I5058" s="1245"/>
    </row>
    <row r="5059" spans="8:9">
      <c r="H5059" s="1245"/>
      <c r="I5059" s="1245"/>
    </row>
    <row r="5060" spans="8:9">
      <c r="H5060" s="1245"/>
      <c r="I5060" s="1245"/>
    </row>
    <row r="5061" spans="8:9">
      <c r="H5061" s="1245"/>
      <c r="I5061" s="1245"/>
    </row>
    <row r="5062" spans="8:9">
      <c r="H5062" s="1245"/>
      <c r="I5062" s="1245"/>
    </row>
    <row r="5063" spans="8:9">
      <c r="H5063" s="1245"/>
      <c r="I5063" s="1245"/>
    </row>
    <row r="5064" spans="8:9">
      <c r="H5064" s="1245"/>
      <c r="I5064" s="1245"/>
    </row>
    <row r="5065" spans="8:9">
      <c r="H5065" s="1245"/>
      <c r="I5065" s="1245"/>
    </row>
    <row r="5066" spans="8:9">
      <c r="H5066" s="1245"/>
      <c r="I5066" s="1245"/>
    </row>
    <row r="5067" spans="8:9">
      <c r="H5067" s="1245"/>
      <c r="I5067" s="1245"/>
    </row>
    <row r="5068" spans="8:9">
      <c r="H5068" s="1245"/>
      <c r="I5068" s="1245"/>
    </row>
    <row r="5069" spans="8:9">
      <c r="H5069" s="1245"/>
      <c r="I5069" s="1245"/>
    </row>
    <row r="5070" spans="8:9">
      <c r="H5070" s="1245"/>
      <c r="I5070" s="1245"/>
    </row>
    <row r="5071" spans="8:9">
      <c r="H5071" s="1245"/>
      <c r="I5071" s="1245"/>
    </row>
    <row r="5072" spans="8:9">
      <c r="H5072" s="1245"/>
      <c r="I5072" s="1245"/>
    </row>
    <row r="5073" spans="8:9">
      <c r="H5073" s="1245"/>
      <c r="I5073" s="1245"/>
    </row>
    <row r="5074" spans="8:9">
      <c r="H5074" s="1245"/>
      <c r="I5074" s="1245"/>
    </row>
    <row r="5075" spans="8:9">
      <c r="H5075" s="1245"/>
      <c r="I5075" s="1245"/>
    </row>
    <row r="5076" spans="8:9">
      <c r="H5076" s="1245"/>
      <c r="I5076" s="1245"/>
    </row>
    <row r="5077" spans="8:9">
      <c r="H5077" s="1245"/>
      <c r="I5077" s="1245"/>
    </row>
    <row r="5078" spans="8:9">
      <c r="H5078" s="1245"/>
      <c r="I5078" s="1245"/>
    </row>
    <row r="5079" spans="8:9">
      <c r="H5079" s="1245"/>
      <c r="I5079" s="1245"/>
    </row>
    <row r="5080" spans="8:9">
      <c r="H5080" s="1245"/>
      <c r="I5080" s="1245"/>
    </row>
    <row r="5081" spans="8:9">
      <c r="H5081" s="1245"/>
      <c r="I5081" s="1245"/>
    </row>
    <row r="5082" spans="8:9">
      <c r="H5082" s="1245"/>
      <c r="I5082" s="1245"/>
    </row>
    <row r="5083" spans="8:9">
      <c r="H5083" s="1245"/>
      <c r="I5083" s="1245"/>
    </row>
    <row r="5084" spans="8:9">
      <c r="H5084" s="1245"/>
      <c r="I5084" s="1245"/>
    </row>
    <row r="5085" spans="8:9">
      <c r="H5085" s="1245"/>
      <c r="I5085" s="1245"/>
    </row>
    <row r="5086" spans="8:9">
      <c r="H5086" s="1245"/>
      <c r="I5086" s="1245"/>
    </row>
    <row r="5087" spans="8:9">
      <c r="H5087" s="1245"/>
      <c r="I5087" s="1245"/>
    </row>
    <row r="5088" spans="8:9">
      <c r="H5088" s="1245"/>
      <c r="I5088" s="1245"/>
    </row>
    <row r="5089" spans="8:9">
      <c r="H5089" s="1245"/>
      <c r="I5089" s="1245"/>
    </row>
    <row r="5090" spans="8:9">
      <c r="H5090" s="1245"/>
      <c r="I5090" s="1245"/>
    </row>
    <row r="5091" spans="8:9">
      <c r="H5091" s="1245"/>
      <c r="I5091" s="1245"/>
    </row>
    <row r="5092" spans="8:9">
      <c r="H5092" s="1245"/>
      <c r="I5092" s="1245"/>
    </row>
    <row r="5093" spans="8:9">
      <c r="H5093" s="1245"/>
      <c r="I5093" s="1245"/>
    </row>
    <row r="5094" spans="8:9">
      <c r="H5094" s="1245"/>
      <c r="I5094" s="1245"/>
    </row>
    <row r="5095" spans="8:9">
      <c r="H5095" s="1245"/>
      <c r="I5095" s="1245"/>
    </row>
    <row r="5096" spans="8:9">
      <c r="H5096" s="1245"/>
      <c r="I5096" s="1245"/>
    </row>
    <row r="5097" spans="8:9">
      <c r="H5097" s="1245"/>
      <c r="I5097" s="1245"/>
    </row>
    <row r="5098" spans="8:9">
      <c r="H5098" s="1245"/>
      <c r="I5098" s="1245"/>
    </row>
    <row r="5099" spans="8:9">
      <c r="H5099" s="1245"/>
      <c r="I5099" s="1245"/>
    </row>
    <row r="5100" spans="8:9">
      <c r="H5100" s="1245"/>
      <c r="I5100" s="1245"/>
    </row>
    <row r="5101" spans="8:9">
      <c r="H5101" s="1245"/>
      <c r="I5101" s="1245"/>
    </row>
    <row r="5102" spans="8:9">
      <c r="H5102" s="1245"/>
      <c r="I5102" s="1245"/>
    </row>
    <row r="5103" spans="8:9">
      <c r="H5103" s="1245"/>
      <c r="I5103" s="1245"/>
    </row>
    <row r="5104" spans="8:9">
      <c r="H5104" s="1245"/>
      <c r="I5104" s="1245"/>
    </row>
    <row r="5105" spans="8:9">
      <c r="H5105" s="1245"/>
      <c r="I5105" s="1245"/>
    </row>
    <row r="5106" spans="8:9">
      <c r="H5106" s="1245"/>
      <c r="I5106" s="1245"/>
    </row>
    <row r="5107" spans="8:9">
      <c r="H5107" s="1245"/>
      <c r="I5107" s="1245"/>
    </row>
    <row r="5108" spans="8:9">
      <c r="H5108" s="1245"/>
      <c r="I5108" s="1245"/>
    </row>
    <row r="5109" spans="8:9">
      <c r="H5109" s="1245"/>
      <c r="I5109" s="1245"/>
    </row>
    <row r="5110" spans="8:9">
      <c r="H5110" s="1245"/>
      <c r="I5110" s="1245"/>
    </row>
    <row r="5111" spans="8:9">
      <c r="H5111" s="1245"/>
      <c r="I5111" s="1245"/>
    </row>
    <row r="5112" spans="8:9">
      <c r="H5112" s="1245"/>
      <c r="I5112" s="1245"/>
    </row>
    <row r="5113" spans="8:9">
      <c r="H5113" s="1245"/>
      <c r="I5113" s="1245"/>
    </row>
    <row r="5114" spans="8:9">
      <c r="H5114" s="1245"/>
      <c r="I5114" s="1245"/>
    </row>
    <row r="5115" spans="8:9">
      <c r="H5115" s="1245"/>
      <c r="I5115" s="1245"/>
    </row>
    <row r="5116" spans="8:9">
      <c r="H5116" s="1245"/>
      <c r="I5116" s="1245"/>
    </row>
    <row r="5117" spans="8:9">
      <c r="H5117" s="1245"/>
      <c r="I5117" s="1245"/>
    </row>
    <row r="5118" spans="8:9">
      <c r="H5118" s="1245"/>
      <c r="I5118" s="1245"/>
    </row>
    <row r="5119" spans="8:9">
      <c r="H5119" s="1245"/>
      <c r="I5119" s="1245"/>
    </row>
    <row r="5120" spans="8:9">
      <c r="H5120" s="1245"/>
      <c r="I5120" s="1245"/>
    </row>
    <row r="5121" spans="8:9">
      <c r="H5121" s="1245"/>
      <c r="I5121" s="1245"/>
    </row>
    <row r="5122" spans="8:9">
      <c r="H5122" s="1245"/>
      <c r="I5122" s="1245"/>
    </row>
    <row r="5123" spans="8:9">
      <c r="H5123" s="1245"/>
      <c r="I5123" s="1245"/>
    </row>
    <row r="5124" spans="8:9">
      <c r="H5124" s="1245"/>
      <c r="I5124" s="1245"/>
    </row>
    <row r="5125" spans="8:9">
      <c r="H5125" s="1245"/>
      <c r="I5125" s="1245"/>
    </row>
    <row r="5126" spans="8:9">
      <c r="H5126" s="1245"/>
      <c r="I5126" s="1245"/>
    </row>
    <row r="5127" spans="8:9">
      <c r="H5127" s="1245"/>
      <c r="I5127" s="1245"/>
    </row>
    <row r="5128" spans="8:9">
      <c r="H5128" s="1245"/>
      <c r="I5128" s="1245"/>
    </row>
    <row r="5129" spans="8:9">
      <c r="H5129" s="1245"/>
      <c r="I5129" s="1245"/>
    </row>
    <row r="5130" spans="8:9">
      <c r="H5130" s="1245"/>
      <c r="I5130" s="1245"/>
    </row>
    <row r="5131" spans="8:9">
      <c r="H5131" s="1245"/>
      <c r="I5131" s="1245"/>
    </row>
    <row r="5132" spans="8:9">
      <c r="H5132" s="1245"/>
      <c r="I5132" s="1245"/>
    </row>
    <row r="5133" spans="8:9">
      <c r="H5133" s="1245"/>
      <c r="I5133" s="1245"/>
    </row>
    <row r="5134" spans="8:9">
      <c r="H5134" s="1245"/>
      <c r="I5134" s="1245"/>
    </row>
    <row r="5135" spans="8:9">
      <c r="H5135" s="1245"/>
      <c r="I5135" s="1245"/>
    </row>
    <row r="5136" spans="8:9">
      <c r="H5136" s="1245"/>
      <c r="I5136" s="1245"/>
    </row>
    <row r="5137" spans="8:9">
      <c r="H5137" s="1245"/>
      <c r="I5137" s="1245"/>
    </row>
    <row r="5138" spans="8:9">
      <c r="H5138" s="1245"/>
      <c r="I5138" s="1245"/>
    </row>
    <row r="5139" spans="8:9">
      <c r="H5139" s="1245"/>
      <c r="I5139" s="1245"/>
    </row>
    <row r="5140" spans="8:9">
      <c r="H5140" s="1245"/>
      <c r="I5140" s="1245"/>
    </row>
    <row r="5141" spans="8:9">
      <c r="H5141" s="1245"/>
      <c r="I5141" s="1245"/>
    </row>
    <row r="5142" spans="8:9">
      <c r="H5142" s="1245"/>
      <c r="I5142" s="1245"/>
    </row>
    <row r="5143" spans="8:9">
      <c r="H5143" s="1245"/>
      <c r="I5143" s="1245"/>
    </row>
    <row r="5144" spans="8:9">
      <c r="H5144" s="1245"/>
      <c r="I5144" s="1245"/>
    </row>
    <row r="5145" spans="8:9">
      <c r="H5145" s="1245"/>
      <c r="I5145" s="1245"/>
    </row>
    <row r="5146" spans="8:9">
      <c r="H5146" s="1245"/>
      <c r="I5146" s="1245"/>
    </row>
    <row r="5147" spans="8:9">
      <c r="H5147" s="1245"/>
      <c r="I5147" s="1245"/>
    </row>
    <row r="5148" spans="8:9">
      <c r="H5148" s="1245"/>
      <c r="I5148" s="1245"/>
    </row>
    <row r="5149" spans="8:9">
      <c r="H5149" s="1245"/>
      <c r="I5149" s="1245"/>
    </row>
    <row r="5150" spans="8:9">
      <c r="H5150" s="1245"/>
      <c r="I5150" s="1245"/>
    </row>
    <row r="5151" spans="8:9">
      <c r="H5151" s="1245"/>
      <c r="I5151" s="1245"/>
    </row>
    <row r="5152" spans="8:9">
      <c r="H5152" s="1245"/>
      <c r="I5152" s="1245"/>
    </row>
    <row r="5153" spans="8:9">
      <c r="H5153" s="1245"/>
      <c r="I5153" s="1245"/>
    </row>
    <row r="5154" spans="8:9">
      <c r="H5154" s="1245"/>
      <c r="I5154" s="1245"/>
    </row>
    <row r="5155" spans="8:9">
      <c r="H5155" s="1245"/>
      <c r="I5155" s="1245"/>
    </row>
    <row r="5156" spans="8:9">
      <c r="H5156" s="1245"/>
      <c r="I5156" s="1245"/>
    </row>
    <row r="5157" spans="8:9">
      <c r="H5157" s="1245"/>
      <c r="I5157" s="1245"/>
    </row>
    <row r="5158" spans="8:9">
      <c r="H5158" s="1245"/>
      <c r="I5158" s="1245"/>
    </row>
    <row r="5159" spans="8:9">
      <c r="H5159" s="1245"/>
      <c r="I5159" s="1245"/>
    </row>
    <row r="5160" spans="8:9">
      <c r="H5160" s="1245"/>
      <c r="I5160" s="1245"/>
    </row>
    <row r="5161" spans="8:9">
      <c r="H5161" s="1245"/>
      <c r="I5161" s="1245"/>
    </row>
    <row r="5162" spans="8:9">
      <c r="H5162" s="1245"/>
      <c r="I5162" s="1245"/>
    </row>
    <row r="5163" spans="8:9">
      <c r="H5163" s="1245"/>
      <c r="I5163" s="1245"/>
    </row>
    <row r="5164" spans="8:9">
      <c r="H5164" s="1245"/>
      <c r="I5164" s="1245"/>
    </row>
    <row r="5165" spans="8:9">
      <c r="H5165" s="1245"/>
      <c r="I5165" s="1245"/>
    </row>
    <row r="5166" spans="8:9">
      <c r="H5166" s="1245"/>
      <c r="I5166" s="1245"/>
    </row>
    <row r="5167" spans="8:9">
      <c r="H5167" s="1245"/>
      <c r="I5167" s="1245"/>
    </row>
    <row r="5168" spans="8:9">
      <c r="H5168" s="1245"/>
      <c r="I5168" s="1245"/>
    </row>
    <row r="5169" spans="8:9">
      <c r="H5169" s="1245"/>
      <c r="I5169" s="1245"/>
    </row>
    <row r="5170" spans="8:9">
      <c r="H5170" s="1245"/>
      <c r="I5170" s="1245"/>
    </row>
    <row r="5171" spans="8:9">
      <c r="H5171" s="1245"/>
      <c r="I5171" s="1245"/>
    </row>
    <row r="5172" spans="8:9">
      <c r="H5172" s="1245"/>
      <c r="I5172" s="1245"/>
    </row>
    <row r="5173" spans="8:9">
      <c r="H5173" s="1245"/>
      <c r="I5173" s="1245"/>
    </row>
    <row r="5174" spans="8:9">
      <c r="H5174" s="1245"/>
      <c r="I5174" s="1245"/>
    </row>
    <row r="5175" spans="8:9">
      <c r="H5175" s="1245"/>
      <c r="I5175" s="1245"/>
    </row>
    <row r="5176" spans="8:9">
      <c r="H5176" s="1245"/>
      <c r="I5176" s="1245"/>
    </row>
    <row r="5177" spans="8:9">
      <c r="H5177" s="1245"/>
      <c r="I5177" s="1245"/>
    </row>
    <row r="5178" spans="8:9">
      <c r="H5178" s="1245"/>
      <c r="I5178" s="1245"/>
    </row>
    <row r="5179" spans="8:9">
      <c r="H5179" s="1245"/>
      <c r="I5179" s="1245"/>
    </row>
    <row r="5180" spans="8:9">
      <c r="H5180" s="1245"/>
      <c r="I5180" s="1245"/>
    </row>
    <row r="5181" spans="8:9">
      <c r="H5181" s="1245"/>
      <c r="I5181" s="1245"/>
    </row>
    <row r="5182" spans="8:9">
      <c r="H5182" s="1245"/>
      <c r="I5182" s="1245"/>
    </row>
    <row r="5183" spans="8:9">
      <c r="H5183" s="1245"/>
      <c r="I5183" s="1245"/>
    </row>
    <row r="5184" spans="8:9">
      <c r="H5184" s="1245"/>
      <c r="I5184" s="1245"/>
    </row>
    <row r="5185" spans="8:9">
      <c r="H5185" s="1245"/>
      <c r="I5185" s="1245"/>
    </row>
    <row r="5186" spans="8:9">
      <c r="H5186" s="1245"/>
      <c r="I5186" s="1245"/>
    </row>
    <row r="5187" spans="8:9">
      <c r="H5187" s="1245"/>
      <c r="I5187" s="1245"/>
    </row>
    <row r="5188" spans="8:9">
      <c r="H5188" s="1245"/>
      <c r="I5188" s="1245"/>
    </row>
    <row r="5189" spans="8:9">
      <c r="H5189" s="1245"/>
      <c r="I5189" s="1245"/>
    </row>
    <row r="5190" spans="8:9">
      <c r="H5190" s="1245"/>
      <c r="I5190" s="1245"/>
    </row>
    <row r="5191" spans="8:9">
      <c r="H5191" s="1245"/>
      <c r="I5191" s="1245"/>
    </row>
    <row r="5192" spans="8:9">
      <c r="H5192" s="1245"/>
      <c r="I5192" s="1245"/>
    </row>
    <row r="5193" spans="8:9">
      <c r="H5193" s="1245"/>
      <c r="I5193" s="1245"/>
    </row>
    <row r="5194" spans="8:9">
      <c r="H5194" s="1245"/>
      <c r="I5194" s="1245"/>
    </row>
    <row r="5195" spans="8:9">
      <c r="H5195" s="1245"/>
      <c r="I5195" s="1245"/>
    </row>
    <row r="5196" spans="8:9">
      <c r="H5196" s="1245"/>
      <c r="I5196" s="1245"/>
    </row>
    <row r="5197" spans="8:9">
      <c r="H5197" s="1245"/>
      <c r="I5197" s="1245"/>
    </row>
    <row r="5198" spans="8:9">
      <c r="H5198" s="1245"/>
      <c r="I5198" s="1245"/>
    </row>
    <row r="5199" spans="8:9">
      <c r="H5199" s="1245"/>
      <c r="I5199" s="1245"/>
    </row>
    <row r="5200" spans="8:9">
      <c r="H5200" s="1245"/>
      <c r="I5200" s="1245"/>
    </row>
    <row r="5201" spans="8:9">
      <c r="H5201" s="1245"/>
      <c r="I5201" s="1245"/>
    </row>
    <row r="5202" spans="8:9">
      <c r="H5202" s="1245"/>
      <c r="I5202" s="1245"/>
    </row>
    <row r="5203" spans="8:9">
      <c r="H5203" s="1245"/>
      <c r="I5203" s="1245"/>
    </row>
    <row r="5204" spans="8:9">
      <c r="H5204" s="1245"/>
      <c r="I5204" s="1245"/>
    </row>
    <row r="5205" spans="8:9">
      <c r="H5205" s="1245"/>
      <c r="I5205" s="1245"/>
    </row>
    <row r="5206" spans="8:9">
      <c r="H5206" s="1245"/>
      <c r="I5206" s="1245"/>
    </row>
    <row r="5207" spans="8:9">
      <c r="H5207" s="1245"/>
      <c r="I5207" s="1245"/>
    </row>
    <row r="5208" spans="8:9">
      <c r="H5208" s="1245"/>
      <c r="I5208" s="1245"/>
    </row>
    <row r="5209" spans="8:9">
      <c r="H5209" s="1245"/>
      <c r="I5209" s="1245"/>
    </row>
    <row r="5210" spans="8:9">
      <c r="H5210" s="1245"/>
      <c r="I5210" s="1245"/>
    </row>
    <row r="5211" spans="8:9">
      <c r="H5211" s="1245"/>
      <c r="I5211" s="1245"/>
    </row>
    <row r="5212" spans="8:9">
      <c r="H5212" s="1245"/>
      <c r="I5212" s="1245"/>
    </row>
    <row r="5213" spans="8:9">
      <c r="H5213" s="1245"/>
      <c r="I5213" s="1245"/>
    </row>
    <row r="5214" spans="8:9">
      <c r="H5214" s="1245"/>
      <c r="I5214" s="1245"/>
    </row>
    <row r="5215" spans="8:9">
      <c r="H5215" s="1245"/>
      <c r="I5215" s="1245"/>
    </row>
    <row r="5216" spans="8:9">
      <c r="H5216" s="1245"/>
      <c r="I5216" s="1245"/>
    </row>
    <row r="5217" spans="8:9">
      <c r="H5217" s="1245"/>
      <c r="I5217" s="1245"/>
    </row>
    <row r="5218" spans="8:9">
      <c r="H5218" s="1245"/>
      <c r="I5218" s="1245"/>
    </row>
    <row r="5219" spans="8:9">
      <c r="H5219" s="1245"/>
      <c r="I5219" s="1245"/>
    </row>
    <row r="5220" spans="8:9">
      <c r="H5220" s="1245"/>
      <c r="I5220" s="1245"/>
    </row>
    <row r="5221" spans="8:9">
      <c r="H5221" s="1245"/>
      <c r="I5221" s="1245"/>
    </row>
    <row r="5222" spans="8:9">
      <c r="H5222" s="1245"/>
      <c r="I5222" s="1245"/>
    </row>
    <row r="5223" spans="8:9">
      <c r="H5223" s="1245"/>
      <c r="I5223" s="1245"/>
    </row>
    <row r="5224" spans="8:9">
      <c r="H5224" s="1245"/>
      <c r="I5224" s="1245"/>
    </row>
    <row r="5225" spans="8:9">
      <c r="H5225" s="1245"/>
      <c r="I5225" s="1245"/>
    </row>
    <row r="5226" spans="8:9">
      <c r="H5226" s="1245"/>
      <c r="I5226" s="1245"/>
    </row>
    <row r="5227" spans="8:9">
      <c r="H5227" s="1245"/>
      <c r="I5227" s="1245"/>
    </row>
    <row r="5228" spans="8:9">
      <c r="H5228" s="1245"/>
      <c r="I5228" s="1245"/>
    </row>
    <row r="5229" spans="8:9">
      <c r="H5229" s="1245"/>
      <c r="I5229" s="1245"/>
    </row>
    <row r="5230" spans="8:9">
      <c r="H5230" s="1245"/>
      <c r="I5230" s="1245"/>
    </row>
    <row r="5231" spans="8:9">
      <c r="H5231" s="1245"/>
      <c r="I5231" s="1245"/>
    </row>
    <row r="5232" spans="8:9">
      <c r="H5232" s="1245"/>
      <c r="I5232" s="1245"/>
    </row>
    <row r="5233" spans="8:9">
      <c r="H5233" s="1245"/>
      <c r="I5233" s="1245"/>
    </row>
    <row r="5234" spans="8:9">
      <c r="H5234" s="1245"/>
      <c r="I5234" s="1245"/>
    </row>
    <row r="5235" spans="8:9">
      <c r="H5235" s="1245"/>
      <c r="I5235" s="1245"/>
    </row>
    <row r="5236" spans="8:9">
      <c r="H5236" s="1245"/>
      <c r="I5236" s="1245"/>
    </row>
    <row r="5237" spans="8:9">
      <c r="H5237" s="1245"/>
      <c r="I5237" s="1245"/>
    </row>
    <row r="5238" spans="8:9">
      <c r="H5238" s="1245"/>
      <c r="I5238" s="1245"/>
    </row>
    <row r="5239" spans="8:9">
      <c r="H5239" s="1245"/>
      <c r="I5239" s="1245"/>
    </row>
    <row r="5240" spans="8:9">
      <c r="H5240" s="1245"/>
      <c r="I5240" s="1245"/>
    </row>
    <row r="5241" spans="8:9">
      <c r="H5241" s="1245"/>
      <c r="I5241" s="1245"/>
    </row>
    <row r="5242" spans="8:9">
      <c r="H5242" s="1245"/>
      <c r="I5242" s="1245"/>
    </row>
    <row r="5243" spans="8:9">
      <c r="H5243" s="1245"/>
      <c r="I5243" s="1245"/>
    </row>
    <row r="5244" spans="8:9">
      <c r="H5244" s="1245"/>
      <c r="I5244" s="1245"/>
    </row>
    <row r="5245" spans="8:9">
      <c r="H5245" s="1245"/>
      <c r="I5245" s="1245"/>
    </row>
    <row r="5246" spans="8:9">
      <c r="H5246" s="1245"/>
      <c r="I5246" s="1245"/>
    </row>
    <row r="5247" spans="8:9">
      <c r="H5247" s="1245"/>
      <c r="I5247" s="1245"/>
    </row>
    <row r="5248" spans="8:9">
      <c r="H5248" s="1245"/>
      <c r="I5248" s="1245"/>
    </row>
    <row r="5249" spans="8:9">
      <c r="H5249" s="1245"/>
      <c r="I5249" s="1245"/>
    </row>
    <row r="5250" spans="8:9">
      <c r="H5250" s="1245"/>
      <c r="I5250" s="1245"/>
    </row>
    <row r="5251" spans="8:9">
      <c r="H5251" s="1245"/>
      <c r="I5251" s="1245"/>
    </row>
    <row r="5252" spans="8:9">
      <c r="H5252" s="1245"/>
      <c r="I5252" s="1245"/>
    </row>
    <row r="5253" spans="8:9">
      <c r="H5253" s="1245"/>
      <c r="I5253" s="1245"/>
    </row>
    <row r="5254" spans="8:9">
      <c r="H5254" s="1245"/>
      <c r="I5254" s="1245"/>
    </row>
    <row r="5255" spans="8:9">
      <c r="H5255" s="1245"/>
      <c r="I5255" s="1245"/>
    </row>
    <row r="5256" spans="8:9">
      <c r="H5256" s="1245"/>
      <c r="I5256" s="1245"/>
    </row>
    <row r="5257" spans="8:9">
      <c r="H5257" s="1245"/>
      <c r="I5257" s="1245"/>
    </row>
    <row r="5258" spans="8:9">
      <c r="H5258" s="1245"/>
      <c r="I5258" s="1245"/>
    </row>
    <row r="5259" spans="8:9">
      <c r="H5259" s="1245"/>
      <c r="I5259" s="1245"/>
    </row>
    <row r="5260" spans="8:9">
      <c r="H5260" s="1245"/>
      <c r="I5260" s="1245"/>
    </row>
    <row r="5261" spans="8:9">
      <c r="H5261" s="1245"/>
      <c r="I5261" s="1245"/>
    </row>
    <row r="5262" spans="8:9">
      <c r="H5262" s="1245"/>
      <c r="I5262" s="1245"/>
    </row>
    <row r="5263" spans="8:9">
      <c r="H5263" s="1245"/>
      <c r="I5263" s="1245"/>
    </row>
    <row r="5264" spans="8:9">
      <c r="H5264" s="1245"/>
      <c r="I5264" s="1245"/>
    </row>
    <row r="5265" spans="8:9">
      <c r="H5265" s="1245"/>
      <c r="I5265" s="1245"/>
    </row>
    <row r="5266" spans="8:9">
      <c r="H5266" s="1245"/>
      <c r="I5266" s="1245"/>
    </row>
    <row r="5267" spans="8:9">
      <c r="H5267" s="1245"/>
      <c r="I5267" s="1245"/>
    </row>
    <row r="5268" spans="8:9">
      <c r="H5268" s="1245"/>
      <c r="I5268" s="1245"/>
    </row>
    <row r="5269" spans="8:9">
      <c r="H5269" s="1245"/>
      <c r="I5269" s="1245"/>
    </row>
    <row r="5270" spans="8:9">
      <c r="H5270" s="1245"/>
      <c r="I5270" s="1245"/>
    </row>
    <row r="5271" spans="8:9">
      <c r="H5271" s="1245"/>
      <c r="I5271" s="1245"/>
    </row>
    <row r="5272" spans="8:9">
      <c r="H5272" s="1245"/>
      <c r="I5272" s="1245"/>
    </row>
    <row r="5273" spans="8:9">
      <c r="H5273" s="1245"/>
      <c r="I5273" s="1245"/>
    </row>
    <row r="5274" spans="8:9">
      <c r="H5274" s="1245"/>
      <c r="I5274" s="1245"/>
    </row>
    <row r="5275" spans="8:9">
      <c r="H5275" s="1245"/>
      <c r="I5275" s="1245"/>
    </row>
    <row r="5276" spans="8:9">
      <c r="H5276" s="1245"/>
      <c r="I5276" s="1245"/>
    </row>
    <row r="5277" spans="8:9">
      <c r="H5277" s="1245"/>
      <c r="I5277" s="1245"/>
    </row>
    <row r="5278" spans="8:9">
      <c r="H5278" s="1245"/>
      <c r="I5278" s="1245"/>
    </row>
    <row r="5279" spans="8:9">
      <c r="H5279" s="1245"/>
      <c r="I5279" s="1245"/>
    </row>
    <row r="5280" spans="8:9">
      <c r="H5280" s="1245"/>
      <c r="I5280" s="1245"/>
    </row>
    <row r="5281" spans="8:9">
      <c r="H5281" s="1245"/>
      <c r="I5281" s="1245"/>
    </row>
    <row r="5282" spans="8:9">
      <c r="H5282" s="1245"/>
      <c r="I5282" s="1245"/>
    </row>
    <row r="5283" spans="8:9">
      <c r="H5283" s="1245"/>
      <c r="I5283" s="1245"/>
    </row>
    <row r="5284" spans="8:9">
      <c r="H5284" s="1245"/>
      <c r="I5284" s="1245"/>
    </row>
    <row r="5285" spans="8:9">
      <c r="H5285" s="1245"/>
      <c r="I5285" s="1245"/>
    </row>
    <row r="5286" spans="8:9">
      <c r="H5286" s="1245"/>
      <c r="I5286" s="1245"/>
    </row>
    <row r="5287" spans="8:9">
      <c r="H5287" s="1245"/>
      <c r="I5287" s="1245"/>
    </row>
    <row r="5288" spans="8:9">
      <c r="H5288" s="1245"/>
      <c r="I5288" s="1245"/>
    </row>
    <row r="5289" spans="8:9">
      <c r="H5289" s="1245"/>
      <c r="I5289" s="1245"/>
    </row>
    <row r="5290" spans="8:9">
      <c r="H5290" s="1245"/>
      <c r="I5290" s="1245"/>
    </row>
    <row r="5291" spans="8:9">
      <c r="H5291" s="1245"/>
      <c r="I5291" s="1245"/>
    </row>
    <row r="5292" spans="8:9">
      <c r="H5292" s="1245"/>
      <c r="I5292" s="1245"/>
    </row>
    <row r="5293" spans="8:9">
      <c r="H5293" s="1245"/>
      <c r="I5293" s="1245"/>
    </row>
    <row r="5294" spans="8:9">
      <c r="H5294" s="1245"/>
      <c r="I5294" s="1245"/>
    </row>
    <row r="5295" spans="8:9">
      <c r="H5295" s="1245"/>
      <c r="I5295" s="1245"/>
    </row>
    <row r="5296" spans="8:9">
      <c r="H5296" s="1245"/>
      <c r="I5296" s="1245"/>
    </row>
    <row r="5297" spans="8:9">
      <c r="H5297" s="1245"/>
      <c r="I5297" s="1245"/>
    </row>
    <row r="5298" spans="8:9">
      <c r="H5298" s="1245"/>
      <c r="I5298" s="1245"/>
    </row>
    <row r="5299" spans="8:9">
      <c r="H5299" s="1245"/>
      <c r="I5299" s="1245"/>
    </row>
    <row r="5300" spans="8:9">
      <c r="H5300" s="1245"/>
      <c r="I5300" s="1245"/>
    </row>
    <row r="5301" spans="8:9">
      <c r="H5301" s="1245"/>
      <c r="I5301" s="1245"/>
    </row>
    <row r="5302" spans="8:9">
      <c r="H5302" s="1245"/>
      <c r="I5302" s="1245"/>
    </row>
    <row r="5303" spans="8:9">
      <c r="H5303" s="1245"/>
      <c r="I5303" s="1245"/>
    </row>
    <row r="5304" spans="8:9">
      <c r="H5304" s="1245"/>
      <c r="I5304" s="1245"/>
    </row>
    <row r="5305" spans="8:9">
      <c r="H5305" s="1245"/>
      <c r="I5305" s="1245"/>
    </row>
    <row r="5306" spans="8:9">
      <c r="H5306" s="1245"/>
      <c r="I5306" s="1245"/>
    </row>
    <row r="5307" spans="8:9">
      <c r="H5307" s="1245"/>
      <c r="I5307" s="1245"/>
    </row>
    <row r="5308" spans="8:9">
      <c r="H5308" s="1245"/>
      <c r="I5308" s="1245"/>
    </row>
    <row r="5309" spans="8:9">
      <c r="H5309" s="1245"/>
      <c r="I5309" s="1245"/>
    </row>
    <row r="5310" spans="8:9">
      <c r="H5310" s="1245"/>
      <c r="I5310" s="1245"/>
    </row>
    <row r="5311" spans="8:9">
      <c r="H5311" s="1245"/>
      <c r="I5311" s="1245"/>
    </row>
    <row r="5312" spans="8:9">
      <c r="H5312" s="1245"/>
      <c r="I5312" s="1245"/>
    </row>
    <row r="5313" spans="8:9">
      <c r="H5313" s="1245"/>
      <c r="I5313" s="1245"/>
    </row>
    <row r="5314" spans="8:9">
      <c r="H5314" s="1245"/>
      <c r="I5314" s="1245"/>
    </row>
    <row r="5315" spans="8:9">
      <c r="H5315" s="1245"/>
      <c r="I5315" s="1245"/>
    </row>
    <row r="5316" spans="8:9">
      <c r="H5316" s="1245"/>
      <c r="I5316" s="1245"/>
    </row>
    <row r="5317" spans="8:9">
      <c r="H5317" s="1245"/>
      <c r="I5317" s="1245"/>
    </row>
    <row r="5318" spans="8:9">
      <c r="H5318" s="1245"/>
      <c r="I5318" s="1245"/>
    </row>
    <row r="5319" spans="8:9">
      <c r="H5319" s="1245"/>
      <c r="I5319" s="1245"/>
    </row>
    <row r="5320" spans="8:9">
      <c r="H5320" s="1245"/>
      <c r="I5320" s="1245"/>
    </row>
    <row r="5321" spans="8:9">
      <c r="H5321" s="1245"/>
      <c r="I5321" s="1245"/>
    </row>
    <row r="5322" spans="8:9">
      <c r="H5322" s="1245"/>
      <c r="I5322" s="1245"/>
    </row>
    <row r="5323" spans="8:9">
      <c r="H5323" s="1245"/>
      <c r="I5323" s="1245"/>
    </row>
    <row r="5324" spans="8:9">
      <c r="H5324" s="1245"/>
      <c r="I5324" s="1245"/>
    </row>
    <row r="5325" spans="8:9">
      <c r="H5325" s="1245"/>
      <c r="I5325" s="1245"/>
    </row>
    <row r="5326" spans="8:9">
      <c r="H5326" s="1245"/>
      <c r="I5326" s="1245"/>
    </row>
    <row r="5327" spans="8:9">
      <c r="H5327" s="1245"/>
      <c r="I5327" s="1245"/>
    </row>
    <row r="5328" spans="8:9">
      <c r="H5328" s="1245"/>
      <c r="I5328" s="1245"/>
    </row>
    <row r="5329" spans="8:9">
      <c r="H5329" s="1245"/>
      <c r="I5329" s="1245"/>
    </row>
    <row r="5330" spans="8:9">
      <c r="H5330" s="1245"/>
      <c r="I5330" s="1245"/>
    </row>
    <row r="5331" spans="8:9">
      <c r="H5331" s="1245"/>
      <c r="I5331" s="1245"/>
    </row>
    <row r="5332" spans="8:9">
      <c r="H5332" s="1245"/>
      <c r="I5332" s="1245"/>
    </row>
    <row r="5333" spans="8:9">
      <c r="H5333" s="1245"/>
      <c r="I5333" s="1245"/>
    </row>
    <row r="5334" spans="8:9">
      <c r="H5334" s="1245"/>
      <c r="I5334" s="1245"/>
    </row>
    <row r="5335" spans="8:9">
      <c r="H5335" s="1245"/>
      <c r="I5335" s="1245"/>
    </row>
    <row r="5336" spans="8:9">
      <c r="H5336" s="1245"/>
      <c r="I5336" s="1245"/>
    </row>
    <row r="5337" spans="8:9">
      <c r="H5337" s="1245"/>
      <c r="I5337" s="1245"/>
    </row>
    <row r="5338" spans="8:9">
      <c r="H5338" s="1245"/>
      <c r="I5338" s="1245"/>
    </row>
    <row r="5339" spans="8:9">
      <c r="H5339" s="1245"/>
      <c r="I5339" s="1245"/>
    </row>
    <row r="5340" spans="8:9">
      <c r="H5340" s="1245"/>
      <c r="I5340" s="1245"/>
    </row>
    <row r="5341" spans="8:9">
      <c r="H5341" s="1245"/>
      <c r="I5341" s="1245"/>
    </row>
    <row r="5342" spans="8:9">
      <c r="H5342" s="1245"/>
      <c r="I5342" s="1245"/>
    </row>
    <row r="5343" spans="8:9">
      <c r="H5343" s="1245"/>
      <c r="I5343" s="1245"/>
    </row>
    <row r="5344" spans="8:9">
      <c r="H5344" s="1245"/>
      <c r="I5344" s="1245"/>
    </row>
    <row r="5345" spans="8:9">
      <c r="H5345" s="1245"/>
      <c r="I5345" s="1245"/>
    </row>
    <row r="5346" spans="8:9">
      <c r="H5346" s="1245"/>
      <c r="I5346" s="1245"/>
    </row>
    <row r="5347" spans="8:9">
      <c r="H5347" s="1245"/>
      <c r="I5347" s="1245"/>
    </row>
    <row r="5348" spans="8:9">
      <c r="H5348" s="1245"/>
      <c r="I5348" s="1245"/>
    </row>
    <row r="5349" spans="8:9">
      <c r="H5349" s="1245"/>
      <c r="I5349" s="1245"/>
    </row>
    <row r="5350" spans="8:9">
      <c r="H5350" s="1245"/>
      <c r="I5350" s="1245"/>
    </row>
    <row r="5351" spans="8:9">
      <c r="H5351" s="1245"/>
      <c r="I5351" s="1245"/>
    </row>
    <row r="5352" spans="8:9">
      <c r="H5352" s="1245"/>
      <c r="I5352" s="1245"/>
    </row>
    <row r="5353" spans="8:9">
      <c r="H5353" s="1245"/>
      <c r="I5353" s="1245"/>
    </row>
    <row r="5354" spans="8:9">
      <c r="H5354" s="1245"/>
      <c r="I5354" s="1245"/>
    </row>
    <row r="5355" spans="8:9">
      <c r="H5355" s="1245"/>
      <c r="I5355" s="1245"/>
    </row>
    <row r="5356" spans="8:9">
      <c r="H5356" s="1245"/>
      <c r="I5356" s="1245"/>
    </row>
    <row r="5357" spans="8:9">
      <c r="H5357" s="1245"/>
      <c r="I5357" s="1245"/>
    </row>
    <row r="5358" spans="8:9">
      <c r="H5358" s="1245"/>
      <c r="I5358" s="1245"/>
    </row>
    <row r="5359" spans="8:9">
      <c r="H5359" s="1245"/>
      <c r="I5359" s="1245"/>
    </row>
    <row r="5360" spans="8:9">
      <c r="H5360" s="1245"/>
      <c r="I5360" s="1245"/>
    </row>
    <row r="5361" spans="8:9">
      <c r="H5361" s="1245"/>
      <c r="I5361" s="1245"/>
    </row>
    <row r="5362" spans="8:9">
      <c r="H5362" s="1245"/>
      <c r="I5362" s="1245"/>
    </row>
    <row r="5363" spans="8:9">
      <c r="H5363" s="1245"/>
      <c r="I5363" s="1245"/>
    </row>
    <row r="5364" spans="8:9">
      <c r="H5364" s="1245"/>
      <c r="I5364" s="1245"/>
    </row>
    <row r="5365" spans="8:9">
      <c r="H5365" s="1245"/>
      <c r="I5365" s="1245"/>
    </row>
    <row r="5366" spans="8:9">
      <c r="H5366" s="1245"/>
      <c r="I5366" s="1245"/>
    </row>
    <row r="5367" spans="8:9">
      <c r="H5367" s="1245"/>
      <c r="I5367" s="1245"/>
    </row>
    <row r="5368" spans="8:9">
      <c r="H5368" s="1245"/>
      <c r="I5368" s="1245"/>
    </row>
    <row r="5369" spans="8:9">
      <c r="H5369" s="1245"/>
      <c r="I5369" s="1245"/>
    </row>
    <row r="5370" spans="8:9">
      <c r="H5370" s="1245"/>
      <c r="I5370" s="1245"/>
    </row>
    <row r="5371" spans="8:9">
      <c r="H5371" s="1245"/>
      <c r="I5371" s="1245"/>
    </row>
    <row r="5372" spans="8:9">
      <c r="H5372" s="1245"/>
      <c r="I5372" s="1245"/>
    </row>
    <row r="5373" spans="8:9">
      <c r="H5373" s="1245"/>
      <c r="I5373" s="1245"/>
    </row>
    <row r="5374" spans="8:9">
      <c r="H5374" s="1245"/>
      <c r="I5374" s="1245"/>
    </row>
    <row r="5375" spans="8:9">
      <c r="H5375" s="1245"/>
      <c r="I5375" s="1245"/>
    </row>
    <row r="5376" spans="8:9">
      <c r="H5376" s="1245"/>
      <c r="I5376" s="1245"/>
    </row>
    <row r="5377" spans="8:9">
      <c r="H5377" s="1245"/>
      <c r="I5377" s="1245"/>
    </row>
    <row r="5378" spans="8:9">
      <c r="H5378" s="1245"/>
      <c r="I5378" s="1245"/>
    </row>
    <row r="5379" spans="8:9">
      <c r="H5379" s="1245"/>
      <c r="I5379" s="1245"/>
    </row>
    <row r="5380" spans="8:9">
      <c r="H5380" s="1245"/>
      <c r="I5380" s="1245"/>
    </row>
    <row r="5381" spans="8:9">
      <c r="H5381" s="1245"/>
      <c r="I5381" s="1245"/>
    </row>
    <row r="5382" spans="8:9">
      <c r="H5382" s="1245"/>
      <c r="I5382" s="1245"/>
    </row>
    <row r="5383" spans="8:9">
      <c r="H5383" s="1245"/>
      <c r="I5383" s="1245"/>
    </row>
    <row r="5384" spans="8:9">
      <c r="H5384" s="1245"/>
      <c r="I5384" s="1245"/>
    </row>
    <row r="5385" spans="8:9">
      <c r="H5385" s="1245"/>
      <c r="I5385" s="1245"/>
    </row>
    <row r="5386" spans="8:9">
      <c r="H5386" s="1245"/>
      <c r="I5386" s="1245"/>
    </row>
    <row r="5387" spans="8:9">
      <c r="H5387" s="1245"/>
      <c r="I5387" s="1245"/>
    </row>
    <row r="5388" spans="8:9">
      <c r="H5388" s="1245"/>
      <c r="I5388" s="1245"/>
    </row>
    <row r="5389" spans="8:9">
      <c r="H5389" s="1245"/>
      <c r="I5389" s="1245"/>
    </row>
    <row r="5390" spans="8:9">
      <c r="H5390" s="1245"/>
      <c r="I5390" s="1245"/>
    </row>
    <row r="5391" spans="8:9">
      <c r="H5391" s="1245"/>
      <c r="I5391" s="1245"/>
    </row>
    <row r="5392" spans="8:9">
      <c r="H5392" s="1245"/>
      <c r="I5392" s="1245"/>
    </row>
    <row r="5393" spans="8:9">
      <c r="H5393" s="1245"/>
      <c r="I5393" s="1245"/>
    </row>
    <row r="5394" spans="8:9">
      <c r="H5394" s="1245"/>
      <c r="I5394" s="1245"/>
    </row>
    <row r="5395" spans="8:9">
      <c r="H5395" s="1245"/>
      <c r="I5395" s="1245"/>
    </row>
    <row r="5396" spans="8:9">
      <c r="H5396" s="1245"/>
      <c r="I5396" s="1245"/>
    </row>
    <row r="5397" spans="8:9">
      <c r="H5397" s="1245"/>
      <c r="I5397" s="1245"/>
    </row>
    <row r="5398" spans="8:9">
      <c r="H5398" s="1245"/>
      <c r="I5398" s="1245"/>
    </row>
    <row r="5399" spans="8:9">
      <c r="H5399" s="1245"/>
      <c r="I5399" s="1245"/>
    </row>
    <row r="5400" spans="8:9">
      <c r="H5400" s="1245"/>
      <c r="I5400" s="1245"/>
    </row>
    <row r="5401" spans="8:9">
      <c r="H5401" s="1245"/>
      <c r="I5401" s="1245"/>
    </row>
    <row r="5402" spans="8:9">
      <c r="H5402" s="1245"/>
      <c r="I5402" s="1245"/>
    </row>
    <row r="5403" spans="8:9">
      <c r="H5403" s="1245"/>
      <c r="I5403" s="1245"/>
    </row>
    <row r="5404" spans="8:9">
      <c r="H5404" s="1245"/>
      <c r="I5404" s="1245"/>
    </row>
    <row r="5405" spans="8:9">
      <c r="H5405" s="1245"/>
      <c r="I5405" s="1245"/>
    </row>
    <row r="5406" spans="8:9">
      <c r="H5406" s="1245"/>
      <c r="I5406" s="1245"/>
    </row>
    <row r="5407" spans="8:9">
      <c r="H5407" s="1245"/>
      <c r="I5407" s="1245"/>
    </row>
    <row r="5408" spans="8:9">
      <c r="H5408" s="1245"/>
      <c r="I5408" s="1245"/>
    </row>
    <row r="5409" spans="8:9">
      <c r="H5409" s="1245"/>
      <c r="I5409" s="1245"/>
    </row>
    <row r="5410" spans="8:9">
      <c r="H5410" s="1245"/>
      <c r="I5410" s="1245"/>
    </row>
    <row r="5411" spans="8:9">
      <c r="H5411" s="1245"/>
      <c r="I5411" s="1245"/>
    </row>
    <row r="5412" spans="8:9">
      <c r="H5412" s="1245"/>
      <c r="I5412" s="1245"/>
    </row>
    <row r="5413" spans="8:9">
      <c r="H5413" s="1245"/>
      <c r="I5413" s="1245"/>
    </row>
    <row r="5414" spans="8:9">
      <c r="H5414" s="1245"/>
      <c r="I5414" s="1245"/>
    </row>
    <row r="5415" spans="8:9">
      <c r="H5415" s="1245"/>
      <c r="I5415" s="1245"/>
    </row>
    <row r="5416" spans="8:9">
      <c r="H5416" s="1245"/>
      <c r="I5416" s="1245"/>
    </row>
    <row r="5417" spans="8:9">
      <c r="H5417" s="1245"/>
      <c r="I5417" s="1245"/>
    </row>
    <row r="5418" spans="8:9">
      <c r="H5418" s="1245"/>
      <c r="I5418" s="1245"/>
    </row>
    <row r="5419" spans="8:9">
      <c r="H5419" s="1245"/>
      <c r="I5419" s="1245"/>
    </row>
    <row r="5420" spans="8:9">
      <c r="H5420" s="1245"/>
      <c r="I5420" s="1245"/>
    </row>
    <row r="5421" spans="8:9">
      <c r="H5421" s="1245"/>
      <c r="I5421" s="1245"/>
    </row>
    <row r="5422" spans="8:9">
      <c r="H5422" s="1245"/>
      <c r="I5422" s="1245"/>
    </row>
    <row r="5423" spans="8:9">
      <c r="H5423" s="1245"/>
      <c r="I5423" s="1245"/>
    </row>
    <row r="5424" spans="8:9">
      <c r="H5424" s="1245"/>
      <c r="I5424" s="1245"/>
    </row>
    <row r="5425" spans="8:9">
      <c r="H5425" s="1245"/>
      <c r="I5425" s="1245"/>
    </row>
    <row r="5426" spans="8:9">
      <c r="H5426" s="1245"/>
      <c r="I5426" s="1245"/>
    </row>
    <row r="5427" spans="8:9">
      <c r="H5427" s="1245"/>
      <c r="I5427" s="1245"/>
    </row>
    <row r="5428" spans="8:9">
      <c r="H5428" s="1245"/>
      <c r="I5428" s="1245"/>
    </row>
    <row r="5429" spans="8:9">
      <c r="H5429" s="1245"/>
      <c r="I5429" s="1245"/>
    </row>
    <row r="5430" spans="8:9">
      <c r="H5430" s="1245"/>
      <c r="I5430" s="1245"/>
    </row>
    <row r="5431" spans="8:9">
      <c r="H5431" s="1245"/>
      <c r="I5431" s="1245"/>
    </row>
    <row r="5432" spans="8:9">
      <c r="H5432" s="1245"/>
      <c r="I5432" s="1245"/>
    </row>
    <row r="5433" spans="8:9">
      <c r="H5433" s="1245"/>
      <c r="I5433" s="1245"/>
    </row>
    <row r="5434" spans="8:9">
      <c r="H5434" s="1245"/>
      <c r="I5434" s="1245"/>
    </row>
    <row r="5435" spans="8:9">
      <c r="H5435" s="1245"/>
      <c r="I5435" s="1245"/>
    </row>
    <row r="5436" spans="8:9">
      <c r="H5436" s="1245"/>
      <c r="I5436" s="1245"/>
    </row>
    <row r="5437" spans="8:9">
      <c r="H5437" s="1245"/>
      <c r="I5437" s="1245"/>
    </row>
    <row r="5438" spans="8:9">
      <c r="H5438" s="1245"/>
      <c r="I5438" s="1245"/>
    </row>
    <row r="5439" spans="8:9">
      <c r="H5439" s="1245"/>
      <c r="I5439" s="1245"/>
    </row>
    <row r="5440" spans="8:9">
      <c r="H5440" s="1245"/>
      <c r="I5440" s="1245"/>
    </row>
    <row r="5441" spans="8:9">
      <c r="H5441" s="1245"/>
      <c r="I5441" s="1245"/>
    </row>
    <row r="5442" spans="8:9">
      <c r="H5442" s="1245"/>
      <c r="I5442" s="1245"/>
    </row>
    <row r="5443" spans="8:9">
      <c r="H5443" s="1245"/>
      <c r="I5443" s="1245"/>
    </row>
    <row r="5444" spans="8:9">
      <c r="H5444" s="1245"/>
      <c r="I5444" s="1245"/>
    </row>
    <row r="5445" spans="8:9">
      <c r="H5445" s="1245"/>
      <c r="I5445" s="1245"/>
    </row>
    <row r="5446" spans="8:9">
      <c r="H5446" s="1245"/>
      <c r="I5446" s="1245"/>
    </row>
    <row r="5447" spans="8:9">
      <c r="H5447" s="1245"/>
      <c r="I5447" s="1245"/>
    </row>
    <row r="5448" spans="8:9">
      <c r="H5448" s="1245"/>
      <c r="I5448" s="1245"/>
    </row>
    <row r="5449" spans="8:9">
      <c r="H5449" s="1245"/>
      <c r="I5449" s="1245"/>
    </row>
    <row r="5450" spans="8:9">
      <c r="H5450" s="1245"/>
      <c r="I5450" s="1245"/>
    </row>
    <row r="5451" spans="8:9">
      <c r="H5451" s="1245"/>
      <c r="I5451" s="1245"/>
    </row>
    <row r="5452" spans="8:9">
      <c r="H5452" s="1245"/>
      <c r="I5452" s="1245"/>
    </row>
    <row r="5453" spans="8:9">
      <c r="H5453" s="1245"/>
      <c r="I5453" s="1245"/>
    </row>
    <row r="5454" spans="8:9">
      <c r="H5454" s="1245"/>
      <c r="I5454" s="1245"/>
    </row>
    <row r="5455" spans="8:9">
      <c r="H5455" s="1245"/>
      <c r="I5455" s="1245"/>
    </row>
    <row r="5456" spans="8:9">
      <c r="H5456" s="1245"/>
      <c r="I5456" s="1245"/>
    </row>
    <row r="5457" spans="8:9">
      <c r="H5457" s="1245"/>
      <c r="I5457" s="1245"/>
    </row>
    <row r="5458" spans="8:9">
      <c r="H5458" s="1245"/>
      <c r="I5458" s="1245"/>
    </row>
    <row r="5459" spans="8:9">
      <c r="H5459" s="1245"/>
      <c r="I5459" s="1245"/>
    </row>
    <row r="5460" spans="8:9">
      <c r="H5460" s="1245"/>
      <c r="I5460" s="1245"/>
    </row>
    <row r="5461" spans="8:9">
      <c r="H5461" s="1245"/>
      <c r="I5461" s="1245"/>
    </row>
    <row r="5462" spans="8:9">
      <c r="H5462" s="1245"/>
      <c r="I5462" s="1245"/>
    </row>
    <row r="5463" spans="8:9">
      <c r="H5463" s="1245"/>
      <c r="I5463" s="1245"/>
    </row>
    <row r="5464" spans="8:9">
      <c r="H5464" s="1245"/>
      <c r="I5464" s="1245"/>
    </row>
    <row r="5465" spans="8:9">
      <c r="H5465" s="1245"/>
      <c r="I5465" s="1245"/>
    </row>
    <row r="5466" spans="8:9">
      <c r="H5466" s="1245"/>
      <c r="I5466" s="1245"/>
    </row>
    <row r="5467" spans="8:9">
      <c r="H5467" s="1245"/>
      <c r="I5467" s="1245"/>
    </row>
    <row r="5468" spans="8:9">
      <c r="H5468" s="1245"/>
      <c r="I5468" s="1245"/>
    </row>
    <row r="5469" spans="8:9">
      <c r="H5469" s="1245"/>
      <c r="I5469" s="1245"/>
    </row>
    <row r="5470" spans="8:9">
      <c r="H5470" s="1245"/>
      <c r="I5470" s="1245"/>
    </row>
    <row r="5471" spans="8:9">
      <c r="H5471" s="1245"/>
      <c r="I5471" s="1245"/>
    </row>
    <row r="5472" spans="8:9">
      <c r="H5472" s="1245"/>
      <c r="I5472" s="1245"/>
    </row>
    <row r="5473" spans="8:9">
      <c r="H5473" s="1245"/>
      <c r="I5473" s="1245"/>
    </row>
    <row r="5474" spans="8:9">
      <c r="H5474" s="1245"/>
      <c r="I5474" s="1245"/>
    </row>
    <row r="5475" spans="8:9">
      <c r="H5475" s="1245"/>
      <c r="I5475" s="1245"/>
    </row>
    <row r="5476" spans="8:9">
      <c r="H5476" s="1245"/>
      <c r="I5476" s="1245"/>
    </row>
    <row r="5477" spans="8:9">
      <c r="H5477" s="1245"/>
      <c r="I5477" s="1245"/>
    </row>
    <row r="5478" spans="8:9">
      <c r="H5478" s="1245"/>
      <c r="I5478" s="1245"/>
    </row>
    <row r="5479" spans="8:9">
      <c r="H5479" s="1245"/>
      <c r="I5479" s="1245"/>
    </row>
    <row r="5480" spans="8:9">
      <c r="H5480" s="1245"/>
      <c r="I5480" s="1245"/>
    </row>
    <row r="5481" spans="8:9">
      <c r="H5481" s="1245"/>
      <c r="I5481" s="1245"/>
    </row>
    <row r="5482" spans="8:9">
      <c r="H5482" s="1245"/>
      <c r="I5482" s="1245"/>
    </row>
    <row r="5483" spans="8:9">
      <c r="H5483" s="1245"/>
      <c r="I5483" s="1245"/>
    </row>
    <row r="5484" spans="8:9">
      <c r="H5484" s="1245"/>
      <c r="I5484" s="1245"/>
    </row>
    <row r="5485" spans="8:9">
      <c r="H5485" s="1245"/>
      <c r="I5485" s="1245"/>
    </row>
    <row r="5486" spans="8:9">
      <c r="H5486" s="1245"/>
      <c r="I5486" s="1245"/>
    </row>
    <row r="5487" spans="8:9">
      <c r="H5487" s="1245"/>
      <c r="I5487" s="1245"/>
    </row>
    <row r="5488" spans="8:9">
      <c r="H5488" s="1245"/>
      <c r="I5488" s="1245"/>
    </row>
    <row r="5489" spans="8:9">
      <c r="H5489" s="1245"/>
      <c r="I5489" s="1245"/>
    </row>
    <row r="5490" spans="8:9">
      <c r="H5490" s="1245"/>
      <c r="I5490" s="1245"/>
    </row>
    <row r="5491" spans="8:9">
      <c r="H5491" s="1245"/>
      <c r="I5491" s="1245"/>
    </row>
    <row r="5492" spans="8:9">
      <c r="H5492" s="1245"/>
      <c r="I5492" s="1245"/>
    </row>
    <row r="5493" spans="8:9">
      <c r="H5493" s="1245"/>
      <c r="I5493" s="1245"/>
    </row>
    <row r="5494" spans="8:9">
      <c r="H5494" s="1245"/>
      <c r="I5494" s="1245"/>
    </row>
    <row r="5495" spans="8:9">
      <c r="H5495" s="1245"/>
      <c r="I5495" s="1245"/>
    </row>
    <row r="5496" spans="8:9">
      <c r="H5496" s="1245"/>
      <c r="I5496" s="1245"/>
    </row>
    <row r="5497" spans="8:9">
      <c r="H5497" s="1245"/>
      <c r="I5497" s="1245"/>
    </row>
    <row r="5498" spans="8:9">
      <c r="H5498" s="1245"/>
      <c r="I5498" s="1245"/>
    </row>
    <row r="5499" spans="8:9">
      <c r="H5499" s="1245"/>
      <c r="I5499" s="1245"/>
    </row>
    <row r="5500" spans="8:9">
      <c r="H5500" s="1245"/>
      <c r="I5500" s="1245"/>
    </row>
    <row r="5501" spans="8:9">
      <c r="H5501" s="1245"/>
      <c r="I5501" s="1245"/>
    </row>
    <row r="5502" spans="8:9">
      <c r="H5502" s="1245"/>
      <c r="I5502" s="1245"/>
    </row>
    <row r="5503" spans="8:9">
      <c r="H5503" s="1245"/>
      <c r="I5503" s="1245"/>
    </row>
    <row r="5504" spans="8:9">
      <c r="H5504" s="1245"/>
      <c r="I5504" s="1245"/>
    </row>
    <row r="5505" spans="8:9">
      <c r="H5505" s="1245"/>
      <c r="I5505" s="1245"/>
    </row>
    <row r="5506" spans="8:9">
      <c r="H5506" s="1245"/>
      <c r="I5506" s="1245"/>
    </row>
    <row r="5507" spans="8:9">
      <c r="H5507" s="1245"/>
      <c r="I5507" s="1245"/>
    </row>
    <row r="5508" spans="8:9">
      <c r="H5508" s="1245"/>
      <c r="I5508" s="1245"/>
    </row>
    <row r="5509" spans="8:9">
      <c r="H5509" s="1245"/>
      <c r="I5509" s="1245"/>
    </row>
    <row r="5510" spans="8:9">
      <c r="H5510" s="1245"/>
      <c r="I5510" s="1245"/>
    </row>
    <row r="5511" spans="8:9">
      <c r="H5511" s="1245"/>
      <c r="I5511" s="1245"/>
    </row>
    <row r="5512" spans="8:9">
      <c r="H5512" s="1245"/>
      <c r="I5512" s="1245"/>
    </row>
    <row r="5513" spans="8:9">
      <c r="H5513" s="1245"/>
      <c r="I5513" s="1245"/>
    </row>
    <row r="5514" spans="8:9">
      <c r="H5514" s="1245"/>
      <c r="I5514" s="1245"/>
    </row>
    <row r="5515" spans="8:9">
      <c r="H5515" s="1245"/>
      <c r="I5515" s="1245"/>
    </row>
    <row r="5516" spans="8:9">
      <c r="H5516" s="1245"/>
      <c r="I5516" s="1245"/>
    </row>
    <row r="5517" spans="8:9">
      <c r="H5517" s="1245"/>
      <c r="I5517" s="1245"/>
    </row>
    <row r="5518" spans="8:9">
      <c r="H5518" s="1245"/>
      <c r="I5518" s="1245"/>
    </row>
    <row r="5519" spans="8:9">
      <c r="H5519" s="1245"/>
      <c r="I5519" s="1245"/>
    </row>
    <row r="5520" spans="8:9">
      <c r="H5520" s="1245"/>
      <c r="I5520" s="1245"/>
    </row>
    <row r="5521" spans="8:9">
      <c r="H5521" s="1245"/>
      <c r="I5521" s="1245"/>
    </row>
    <row r="5522" spans="8:9">
      <c r="H5522" s="1245"/>
      <c r="I5522" s="1245"/>
    </row>
    <row r="5523" spans="8:9">
      <c r="H5523" s="1245"/>
      <c r="I5523" s="1245"/>
    </row>
    <row r="5524" spans="8:9">
      <c r="H5524" s="1245"/>
      <c r="I5524" s="1245"/>
    </row>
    <row r="5525" spans="8:9">
      <c r="H5525" s="1245"/>
      <c r="I5525" s="1245"/>
    </row>
    <row r="5526" spans="8:9">
      <c r="H5526" s="1245"/>
      <c r="I5526" s="1245"/>
    </row>
    <row r="5527" spans="8:9">
      <c r="H5527" s="1245"/>
      <c r="I5527" s="1245"/>
    </row>
    <row r="5528" spans="8:9">
      <c r="H5528" s="1245"/>
      <c r="I5528" s="1245"/>
    </row>
    <row r="5529" spans="8:9">
      <c r="H5529" s="1245"/>
      <c r="I5529" s="1245"/>
    </row>
    <row r="5530" spans="8:9">
      <c r="H5530" s="1245"/>
      <c r="I5530" s="1245"/>
    </row>
    <row r="5531" spans="8:9">
      <c r="H5531" s="1245"/>
      <c r="I5531" s="1245"/>
    </row>
    <row r="5532" spans="8:9">
      <c r="H5532" s="1245"/>
      <c r="I5532" s="1245"/>
    </row>
    <row r="5533" spans="8:9">
      <c r="H5533" s="1245"/>
      <c r="I5533" s="1245"/>
    </row>
    <row r="5534" spans="8:9">
      <c r="H5534" s="1245"/>
      <c r="I5534" s="1245"/>
    </row>
    <row r="5535" spans="8:9">
      <c r="H5535" s="1245"/>
      <c r="I5535" s="1245"/>
    </row>
    <row r="5536" spans="8:9">
      <c r="H5536" s="1245"/>
      <c r="I5536" s="1245"/>
    </row>
    <row r="5537" spans="8:9">
      <c r="H5537" s="1245"/>
      <c r="I5537" s="1245"/>
    </row>
    <row r="5538" spans="8:9">
      <c r="H5538" s="1245"/>
      <c r="I5538" s="1245"/>
    </row>
    <row r="5539" spans="8:9">
      <c r="H5539" s="1245"/>
      <c r="I5539" s="1245"/>
    </row>
    <row r="5540" spans="8:9">
      <c r="H5540" s="1245"/>
      <c r="I5540" s="1245"/>
    </row>
    <row r="5541" spans="8:9">
      <c r="H5541" s="1245"/>
      <c r="I5541" s="1245"/>
    </row>
    <row r="5542" spans="8:9">
      <c r="H5542" s="1245"/>
      <c r="I5542" s="1245"/>
    </row>
    <row r="5543" spans="8:9">
      <c r="H5543" s="1245"/>
      <c r="I5543" s="1245"/>
    </row>
    <row r="5544" spans="8:9">
      <c r="H5544" s="1245"/>
      <c r="I5544" s="1245"/>
    </row>
    <row r="5545" spans="8:9">
      <c r="H5545" s="1245"/>
      <c r="I5545" s="1245"/>
    </row>
    <row r="5546" spans="8:9">
      <c r="H5546" s="1245"/>
      <c r="I5546" s="1245"/>
    </row>
    <row r="5547" spans="8:9">
      <c r="H5547" s="1245"/>
      <c r="I5547" s="1245"/>
    </row>
    <row r="5548" spans="8:9">
      <c r="H5548" s="1245"/>
      <c r="I5548" s="1245"/>
    </row>
    <row r="5549" spans="8:9">
      <c r="H5549" s="1245"/>
      <c r="I5549" s="1245"/>
    </row>
    <row r="5550" spans="8:9">
      <c r="H5550" s="1245"/>
      <c r="I5550" s="1245"/>
    </row>
    <row r="5551" spans="8:9">
      <c r="H5551" s="1245"/>
      <c r="I5551" s="1245"/>
    </row>
    <row r="5552" spans="8:9">
      <c r="H5552" s="1245"/>
      <c r="I5552" s="1245"/>
    </row>
    <row r="5553" spans="8:9">
      <c r="H5553" s="1245"/>
      <c r="I5553" s="1245"/>
    </row>
    <row r="5554" spans="8:9">
      <c r="H5554" s="1245"/>
      <c r="I5554" s="1245"/>
    </row>
    <row r="5555" spans="8:9">
      <c r="H5555" s="1245"/>
      <c r="I5555" s="1245"/>
    </row>
    <row r="5556" spans="8:9">
      <c r="H5556" s="1245"/>
      <c r="I5556" s="1245"/>
    </row>
    <row r="5557" spans="8:9">
      <c r="H5557" s="1245"/>
      <c r="I5557" s="1245"/>
    </row>
    <row r="5558" spans="8:9">
      <c r="H5558" s="1245"/>
      <c r="I5558" s="1245"/>
    </row>
    <row r="5559" spans="8:9">
      <c r="H5559" s="1245"/>
      <c r="I5559" s="1245"/>
    </row>
    <row r="5560" spans="8:9">
      <c r="H5560" s="1245"/>
      <c r="I5560" s="1245"/>
    </row>
    <row r="5561" spans="8:9">
      <c r="H5561" s="1245"/>
      <c r="I5561" s="1245"/>
    </row>
    <row r="5562" spans="8:9">
      <c r="H5562" s="1245"/>
      <c r="I5562" s="1245"/>
    </row>
    <row r="5563" spans="8:9">
      <c r="H5563" s="1245"/>
      <c r="I5563" s="1245"/>
    </row>
    <row r="5564" spans="8:9">
      <c r="H5564" s="1245"/>
      <c r="I5564" s="1245"/>
    </row>
    <row r="5565" spans="8:9">
      <c r="H5565" s="1245"/>
      <c r="I5565" s="1245"/>
    </row>
    <row r="5566" spans="8:9">
      <c r="H5566" s="1245"/>
      <c r="I5566" s="1245"/>
    </row>
    <row r="5567" spans="8:9">
      <c r="H5567" s="1245"/>
      <c r="I5567" s="1245"/>
    </row>
    <row r="5568" spans="8:9">
      <c r="H5568" s="1245"/>
      <c r="I5568" s="1245"/>
    </row>
    <row r="5569" spans="8:9">
      <c r="H5569" s="1245"/>
      <c r="I5569" s="1245"/>
    </row>
    <row r="5570" spans="8:9">
      <c r="H5570" s="1245"/>
      <c r="I5570" s="1245"/>
    </row>
    <row r="5571" spans="8:9">
      <c r="H5571" s="1245"/>
      <c r="I5571" s="1245"/>
    </row>
    <row r="5572" spans="8:9">
      <c r="H5572" s="1245"/>
      <c r="I5572" s="1245"/>
    </row>
    <row r="5573" spans="8:9">
      <c r="H5573" s="1245"/>
      <c r="I5573" s="1245"/>
    </row>
    <row r="5574" spans="8:9">
      <c r="H5574" s="1245"/>
      <c r="I5574" s="1245"/>
    </row>
    <row r="5575" spans="8:9">
      <c r="H5575" s="1245"/>
      <c r="I5575" s="1245"/>
    </row>
    <row r="5576" spans="8:9">
      <c r="H5576" s="1245"/>
      <c r="I5576" s="1245"/>
    </row>
    <row r="5577" spans="8:9">
      <c r="H5577" s="1245"/>
      <c r="I5577" s="1245"/>
    </row>
    <row r="5578" spans="8:9">
      <c r="H5578" s="1245"/>
      <c r="I5578" s="1245"/>
    </row>
    <row r="5579" spans="8:9">
      <c r="H5579" s="1245"/>
      <c r="I5579" s="1245"/>
    </row>
    <row r="5580" spans="8:9">
      <c r="H5580" s="1245"/>
      <c r="I5580" s="1245"/>
    </row>
    <row r="5581" spans="8:9">
      <c r="H5581" s="1245"/>
      <c r="I5581" s="1245"/>
    </row>
    <row r="5582" spans="8:9">
      <c r="H5582" s="1245"/>
      <c r="I5582" s="1245"/>
    </row>
    <row r="5583" spans="8:9">
      <c r="H5583" s="1245"/>
      <c r="I5583" s="1245"/>
    </row>
    <row r="5584" spans="8:9">
      <c r="H5584" s="1245"/>
      <c r="I5584" s="1245"/>
    </row>
    <row r="5585" spans="8:9">
      <c r="H5585" s="1245"/>
      <c r="I5585" s="1245"/>
    </row>
    <row r="5586" spans="8:9">
      <c r="H5586" s="1245"/>
      <c r="I5586" s="1245"/>
    </row>
    <row r="5587" spans="8:9">
      <c r="H5587" s="1245"/>
      <c r="I5587" s="1245"/>
    </row>
    <row r="5588" spans="8:9">
      <c r="H5588" s="1245"/>
      <c r="I5588" s="1245"/>
    </row>
    <row r="5589" spans="8:9">
      <c r="H5589" s="1245"/>
      <c r="I5589" s="1245"/>
    </row>
    <row r="5590" spans="8:9">
      <c r="H5590" s="1245"/>
      <c r="I5590" s="1245"/>
    </row>
    <row r="5591" spans="8:9">
      <c r="H5591" s="1245"/>
      <c r="I5591" s="1245"/>
    </row>
    <row r="5592" spans="8:9">
      <c r="H5592" s="1245"/>
      <c r="I5592" s="1245"/>
    </row>
    <row r="5593" spans="8:9">
      <c r="H5593" s="1245"/>
      <c r="I5593" s="1245"/>
    </row>
    <row r="5594" spans="8:9">
      <c r="H5594" s="1245"/>
      <c r="I5594" s="1245"/>
    </row>
    <row r="5595" spans="8:9">
      <c r="H5595" s="1245"/>
      <c r="I5595" s="1245"/>
    </row>
    <row r="5596" spans="8:9">
      <c r="H5596" s="1245"/>
      <c r="I5596" s="1245"/>
    </row>
    <row r="5597" spans="8:9">
      <c r="H5597" s="1245"/>
      <c r="I5597" s="1245"/>
    </row>
    <row r="5598" spans="8:9">
      <c r="H5598" s="1245"/>
      <c r="I5598" s="1245"/>
    </row>
    <row r="5599" spans="8:9">
      <c r="H5599" s="1245"/>
      <c r="I5599" s="1245"/>
    </row>
    <row r="5600" spans="8:9">
      <c r="H5600" s="1245"/>
      <c r="I5600" s="1245"/>
    </row>
    <row r="5601" spans="8:9">
      <c r="H5601" s="1245"/>
      <c r="I5601" s="1245"/>
    </row>
    <row r="5602" spans="8:9">
      <c r="H5602" s="1245"/>
      <c r="I5602" s="1245"/>
    </row>
    <row r="5603" spans="8:9">
      <c r="H5603" s="1245"/>
      <c r="I5603" s="1245"/>
    </row>
    <row r="5604" spans="8:9">
      <c r="H5604" s="1245"/>
      <c r="I5604" s="1245"/>
    </row>
    <row r="5605" spans="8:9">
      <c r="H5605" s="1245"/>
      <c r="I5605" s="1245"/>
    </row>
    <row r="5606" spans="8:9">
      <c r="H5606" s="1245"/>
      <c r="I5606" s="1245"/>
    </row>
    <row r="5607" spans="8:9">
      <c r="H5607" s="1245"/>
      <c r="I5607" s="1245"/>
    </row>
    <row r="5608" spans="8:9">
      <c r="H5608" s="1245"/>
      <c r="I5608" s="1245"/>
    </row>
    <row r="5609" spans="8:9">
      <c r="H5609" s="1245"/>
      <c r="I5609" s="1245"/>
    </row>
    <row r="5610" spans="8:9">
      <c r="H5610" s="1245"/>
      <c r="I5610" s="1245"/>
    </row>
    <row r="5611" spans="8:9">
      <c r="H5611" s="1245"/>
      <c r="I5611" s="1245"/>
    </row>
    <row r="5612" spans="8:9">
      <c r="H5612" s="1245"/>
      <c r="I5612" s="1245"/>
    </row>
    <row r="5613" spans="8:9">
      <c r="H5613" s="1245"/>
      <c r="I5613" s="1245"/>
    </row>
    <row r="5614" spans="8:9">
      <c r="H5614" s="1245"/>
      <c r="I5614" s="1245"/>
    </row>
    <row r="5615" spans="8:9">
      <c r="H5615" s="1245"/>
      <c r="I5615" s="1245"/>
    </row>
    <row r="5616" spans="8:9">
      <c r="H5616" s="1245"/>
      <c r="I5616" s="1245"/>
    </row>
    <row r="5617" spans="8:9">
      <c r="H5617" s="1245"/>
      <c r="I5617" s="1245"/>
    </row>
    <row r="5618" spans="8:9">
      <c r="H5618" s="1245"/>
      <c r="I5618" s="1245"/>
    </row>
    <row r="5619" spans="8:9">
      <c r="H5619" s="1245"/>
      <c r="I5619" s="1245"/>
    </row>
    <row r="5620" spans="8:9">
      <c r="H5620" s="1245"/>
      <c r="I5620" s="1245"/>
    </row>
    <row r="5621" spans="8:9">
      <c r="H5621" s="1245"/>
      <c r="I5621" s="1245"/>
    </row>
    <row r="5622" spans="8:9">
      <c r="H5622" s="1245"/>
      <c r="I5622" s="1245"/>
    </row>
    <row r="5623" spans="8:9">
      <c r="H5623" s="1245"/>
      <c r="I5623" s="1245"/>
    </row>
    <row r="5624" spans="8:9">
      <c r="H5624" s="1245"/>
      <c r="I5624" s="1245"/>
    </row>
    <row r="5625" spans="8:9">
      <c r="H5625" s="1245"/>
      <c r="I5625" s="1245"/>
    </row>
    <row r="5626" spans="8:9">
      <c r="H5626" s="1245"/>
      <c r="I5626" s="1245"/>
    </row>
    <row r="5627" spans="8:9">
      <c r="H5627" s="1245"/>
      <c r="I5627" s="1245"/>
    </row>
    <row r="5628" spans="8:9">
      <c r="H5628" s="1245"/>
      <c r="I5628" s="1245"/>
    </row>
    <row r="5629" spans="8:9">
      <c r="H5629" s="1245"/>
      <c r="I5629" s="1245"/>
    </row>
    <row r="5630" spans="8:9">
      <c r="H5630" s="1245"/>
      <c r="I5630" s="1245"/>
    </row>
    <row r="5631" spans="8:9">
      <c r="H5631" s="1245"/>
      <c r="I5631" s="1245"/>
    </row>
    <row r="5632" spans="8:9">
      <c r="H5632" s="1245"/>
      <c r="I5632" s="1245"/>
    </row>
    <row r="5633" spans="8:9">
      <c r="H5633" s="1245"/>
      <c r="I5633" s="1245"/>
    </row>
    <row r="5634" spans="8:9">
      <c r="H5634" s="1245"/>
      <c r="I5634" s="1245"/>
    </row>
    <row r="5635" spans="8:9">
      <c r="H5635" s="1245"/>
      <c r="I5635" s="1245"/>
    </row>
    <row r="5636" spans="8:9">
      <c r="H5636" s="1245"/>
      <c r="I5636" s="1245"/>
    </row>
    <row r="5637" spans="8:9">
      <c r="H5637" s="1245"/>
      <c r="I5637" s="1245"/>
    </row>
    <row r="5638" spans="8:9">
      <c r="H5638" s="1245"/>
      <c r="I5638" s="1245"/>
    </row>
    <row r="5639" spans="8:9">
      <c r="H5639" s="1245"/>
      <c r="I5639" s="1245"/>
    </row>
    <row r="5640" spans="8:9">
      <c r="H5640" s="1245"/>
      <c r="I5640" s="1245"/>
    </row>
    <row r="5641" spans="8:9">
      <c r="H5641" s="1245"/>
      <c r="I5641" s="1245"/>
    </row>
    <row r="5642" spans="8:9">
      <c r="H5642" s="1245"/>
      <c r="I5642" s="1245"/>
    </row>
    <row r="5643" spans="8:9">
      <c r="H5643" s="1245"/>
      <c r="I5643" s="1245"/>
    </row>
    <row r="5644" spans="8:9">
      <c r="H5644" s="1245"/>
      <c r="I5644" s="1245"/>
    </row>
    <row r="5645" spans="8:9">
      <c r="H5645" s="1245"/>
      <c r="I5645" s="1245"/>
    </row>
    <row r="5646" spans="8:9">
      <c r="H5646" s="1245"/>
      <c r="I5646" s="1245"/>
    </row>
    <row r="5647" spans="8:9">
      <c r="H5647" s="1245"/>
      <c r="I5647" s="1245"/>
    </row>
    <row r="5648" spans="8:9">
      <c r="H5648" s="1245"/>
      <c r="I5648" s="1245"/>
    </row>
    <row r="5649" spans="8:9">
      <c r="H5649" s="1245"/>
      <c r="I5649" s="1245"/>
    </row>
    <row r="5650" spans="8:9">
      <c r="H5650" s="1245"/>
      <c r="I5650" s="1245"/>
    </row>
    <row r="5651" spans="8:9">
      <c r="H5651" s="1245"/>
      <c r="I5651" s="1245"/>
    </row>
    <row r="5652" spans="8:9">
      <c r="H5652" s="1245"/>
      <c r="I5652" s="1245"/>
    </row>
    <row r="5653" spans="8:9">
      <c r="H5653" s="1245"/>
      <c r="I5653" s="1245"/>
    </row>
    <row r="5654" spans="8:9">
      <c r="H5654" s="1245"/>
      <c r="I5654" s="1245"/>
    </row>
    <row r="5655" spans="8:9">
      <c r="H5655" s="1245"/>
      <c r="I5655" s="1245"/>
    </row>
    <row r="5656" spans="8:9">
      <c r="H5656" s="1245"/>
      <c r="I5656" s="1245"/>
    </row>
    <row r="5657" spans="8:9">
      <c r="H5657" s="1245"/>
      <c r="I5657" s="1245"/>
    </row>
    <row r="5658" spans="8:9">
      <c r="H5658" s="1245"/>
      <c r="I5658" s="1245"/>
    </row>
    <row r="5659" spans="8:9">
      <c r="H5659" s="1245"/>
      <c r="I5659" s="1245"/>
    </row>
    <row r="5660" spans="8:9">
      <c r="H5660" s="1245"/>
      <c r="I5660" s="1245"/>
    </row>
    <row r="5661" spans="8:9">
      <c r="H5661" s="1245"/>
      <c r="I5661" s="1245"/>
    </row>
    <row r="5662" spans="8:9">
      <c r="H5662" s="1245"/>
      <c r="I5662" s="1245"/>
    </row>
    <row r="5663" spans="8:9">
      <c r="H5663" s="1245"/>
      <c r="I5663" s="1245"/>
    </row>
    <row r="5664" spans="8:9">
      <c r="H5664" s="1245"/>
      <c r="I5664" s="1245"/>
    </row>
    <row r="5665" spans="8:9">
      <c r="H5665" s="1245"/>
      <c r="I5665" s="1245"/>
    </row>
    <row r="5666" spans="8:9">
      <c r="H5666" s="1245"/>
      <c r="I5666" s="1245"/>
    </row>
    <row r="5667" spans="8:9">
      <c r="H5667" s="1245"/>
      <c r="I5667" s="1245"/>
    </row>
    <row r="5668" spans="8:9">
      <c r="H5668" s="1245"/>
      <c r="I5668" s="1245"/>
    </row>
    <row r="5669" spans="8:9">
      <c r="H5669" s="1245"/>
      <c r="I5669" s="1245"/>
    </row>
    <row r="5670" spans="8:9">
      <c r="H5670" s="1245"/>
      <c r="I5670" s="1245"/>
    </row>
    <row r="5671" spans="8:9">
      <c r="H5671" s="1245"/>
      <c r="I5671" s="1245"/>
    </row>
    <row r="5672" spans="8:9">
      <c r="H5672" s="1245"/>
      <c r="I5672" s="1245"/>
    </row>
    <row r="5673" spans="8:9">
      <c r="H5673" s="1245"/>
      <c r="I5673" s="1245"/>
    </row>
    <row r="5674" spans="8:9">
      <c r="H5674" s="1245"/>
      <c r="I5674" s="1245"/>
    </row>
    <row r="5675" spans="8:9">
      <c r="H5675" s="1245"/>
      <c r="I5675" s="1245"/>
    </row>
    <row r="5676" spans="8:9">
      <c r="H5676" s="1245"/>
      <c r="I5676" s="1245"/>
    </row>
    <row r="5677" spans="8:9">
      <c r="H5677" s="1245"/>
      <c r="I5677" s="1245"/>
    </row>
    <row r="5678" spans="8:9">
      <c r="H5678" s="1245"/>
      <c r="I5678" s="1245"/>
    </row>
    <row r="5679" spans="8:9">
      <c r="H5679" s="1245"/>
      <c r="I5679" s="1245"/>
    </row>
    <row r="5680" spans="8:9">
      <c r="H5680" s="1245"/>
      <c r="I5680" s="1245"/>
    </row>
    <row r="5681" spans="8:9">
      <c r="H5681" s="1245"/>
      <c r="I5681" s="1245"/>
    </row>
    <row r="5682" spans="8:9">
      <c r="H5682" s="1245"/>
      <c r="I5682" s="1245"/>
    </row>
    <row r="5683" spans="8:9">
      <c r="H5683" s="1245"/>
      <c r="I5683" s="1245"/>
    </row>
    <row r="5684" spans="8:9">
      <c r="H5684" s="1245"/>
      <c r="I5684" s="1245"/>
    </row>
    <row r="5685" spans="8:9">
      <c r="H5685" s="1245"/>
      <c r="I5685" s="1245"/>
    </row>
    <row r="5686" spans="8:9">
      <c r="H5686" s="1245"/>
      <c r="I5686" s="1245"/>
    </row>
    <row r="5687" spans="8:9">
      <c r="H5687" s="1245"/>
      <c r="I5687" s="1245"/>
    </row>
    <row r="5688" spans="8:9">
      <c r="H5688" s="1245"/>
      <c r="I5688" s="1245"/>
    </row>
    <row r="5689" spans="8:9">
      <c r="H5689" s="1245"/>
      <c r="I5689" s="1245"/>
    </row>
    <row r="5690" spans="8:9">
      <c r="H5690" s="1245"/>
      <c r="I5690" s="1245"/>
    </row>
    <row r="5691" spans="8:9">
      <c r="H5691" s="1245"/>
      <c r="I5691" s="1245"/>
    </row>
    <row r="5692" spans="8:9">
      <c r="H5692" s="1245"/>
      <c r="I5692" s="1245"/>
    </row>
    <row r="5693" spans="8:9">
      <c r="H5693" s="1245"/>
      <c r="I5693" s="1245"/>
    </row>
    <row r="5694" spans="8:9">
      <c r="H5694" s="1245"/>
      <c r="I5694" s="1245"/>
    </row>
    <row r="5695" spans="8:9">
      <c r="H5695" s="1245"/>
      <c r="I5695" s="1245"/>
    </row>
    <row r="5696" spans="8:9">
      <c r="H5696" s="1245"/>
      <c r="I5696" s="1245"/>
    </row>
    <row r="5697" spans="8:9">
      <c r="H5697" s="1245"/>
      <c r="I5697" s="1245"/>
    </row>
    <row r="5698" spans="8:9">
      <c r="H5698" s="1245"/>
      <c r="I5698" s="1245"/>
    </row>
    <row r="5699" spans="8:9">
      <c r="H5699" s="1245"/>
      <c r="I5699" s="1245"/>
    </row>
    <row r="5700" spans="8:9">
      <c r="H5700" s="1245"/>
      <c r="I5700" s="1245"/>
    </row>
    <row r="5701" spans="8:9">
      <c r="H5701" s="1245"/>
      <c r="I5701" s="1245"/>
    </row>
    <row r="5702" spans="8:9">
      <c r="H5702" s="1245"/>
      <c r="I5702" s="1245"/>
    </row>
    <row r="5703" spans="8:9">
      <c r="H5703" s="1245"/>
      <c r="I5703" s="1245"/>
    </row>
    <row r="5704" spans="8:9">
      <c r="H5704" s="1245"/>
      <c r="I5704" s="1245"/>
    </row>
    <row r="5705" spans="8:9">
      <c r="H5705" s="1245"/>
      <c r="I5705" s="1245"/>
    </row>
    <row r="5706" spans="8:9">
      <c r="H5706" s="1245"/>
      <c r="I5706" s="1245"/>
    </row>
    <row r="5707" spans="8:9">
      <c r="H5707" s="1245"/>
      <c r="I5707" s="1245"/>
    </row>
    <row r="5708" spans="8:9">
      <c r="H5708" s="1245"/>
      <c r="I5708" s="1245"/>
    </row>
    <row r="5709" spans="8:9">
      <c r="H5709" s="1245"/>
      <c r="I5709" s="1245"/>
    </row>
    <row r="5710" spans="8:9">
      <c r="H5710" s="1245"/>
      <c r="I5710" s="1245"/>
    </row>
    <row r="5711" spans="8:9">
      <c r="H5711" s="1245"/>
      <c r="I5711" s="1245"/>
    </row>
    <row r="5712" spans="8:9">
      <c r="H5712" s="1245"/>
      <c r="I5712" s="1245"/>
    </row>
    <row r="5713" spans="8:9">
      <c r="H5713" s="1245"/>
      <c r="I5713" s="1245"/>
    </row>
    <row r="5714" spans="8:9">
      <c r="H5714" s="1245"/>
      <c r="I5714" s="1245"/>
    </row>
    <row r="5715" spans="8:9">
      <c r="H5715" s="1245"/>
      <c r="I5715" s="1245"/>
    </row>
    <row r="5716" spans="8:9">
      <c r="H5716" s="1245"/>
      <c r="I5716" s="1245"/>
    </row>
    <row r="5717" spans="8:9">
      <c r="H5717" s="1245"/>
      <c r="I5717" s="1245"/>
    </row>
    <row r="5718" spans="8:9">
      <c r="H5718" s="1245"/>
      <c r="I5718" s="1245"/>
    </row>
    <row r="5719" spans="8:9">
      <c r="H5719" s="1245"/>
      <c r="I5719" s="1245"/>
    </row>
    <row r="5720" spans="8:9">
      <c r="H5720" s="1245"/>
      <c r="I5720" s="1245"/>
    </row>
    <row r="5721" spans="8:9">
      <c r="H5721" s="1245"/>
      <c r="I5721" s="1245"/>
    </row>
    <row r="5722" spans="8:9">
      <c r="H5722" s="1245"/>
      <c r="I5722" s="1245"/>
    </row>
    <row r="5723" spans="8:9">
      <c r="H5723" s="1245"/>
      <c r="I5723" s="1245"/>
    </row>
    <row r="5724" spans="8:9">
      <c r="H5724" s="1245"/>
      <c r="I5724" s="1245"/>
    </row>
    <row r="5725" spans="8:9">
      <c r="H5725" s="1245"/>
      <c r="I5725" s="1245"/>
    </row>
    <row r="5726" spans="8:9">
      <c r="H5726" s="1245"/>
      <c r="I5726" s="1245"/>
    </row>
    <row r="5727" spans="8:9">
      <c r="H5727" s="1245"/>
      <c r="I5727" s="1245"/>
    </row>
    <row r="5728" spans="8:9">
      <c r="H5728" s="1245"/>
      <c r="I5728" s="1245"/>
    </row>
    <row r="5729" spans="8:9">
      <c r="H5729" s="1245"/>
      <c r="I5729" s="1245"/>
    </row>
    <row r="5730" spans="8:9">
      <c r="H5730" s="1245"/>
      <c r="I5730" s="1245"/>
    </row>
    <row r="5731" spans="8:9">
      <c r="H5731" s="1245"/>
      <c r="I5731" s="1245"/>
    </row>
    <row r="5732" spans="8:9">
      <c r="H5732" s="1245"/>
      <c r="I5732" s="1245"/>
    </row>
    <row r="5733" spans="8:9">
      <c r="H5733" s="1245"/>
      <c r="I5733" s="1245"/>
    </row>
    <row r="5734" spans="8:9">
      <c r="H5734" s="1245"/>
      <c r="I5734" s="1245"/>
    </row>
    <row r="5735" spans="8:9">
      <c r="H5735" s="1245"/>
      <c r="I5735" s="1245"/>
    </row>
    <row r="5736" spans="8:9">
      <c r="H5736" s="1245"/>
      <c r="I5736" s="1245"/>
    </row>
    <row r="5737" spans="8:9">
      <c r="H5737" s="1245"/>
      <c r="I5737" s="1245"/>
    </row>
    <row r="5738" spans="8:9">
      <c r="H5738" s="1245"/>
      <c r="I5738" s="1245"/>
    </row>
    <row r="5739" spans="8:9">
      <c r="H5739" s="1245"/>
      <c r="I5739" s="1245"/>
    </row>
    <row r="5740" spans="8:9">
      <c r="H5740" s="1245"/>
      <c r="I5740" s="1245"/>
    </row>
    <row r="5741" spans="8:9">
      <c r="H5741" s="1245"/>
      <c r="I5741" s="1245"/>
    </row>
    <row r="5742" spans="8:9">
      <c r="H5742" s="1245"/>
      <c r="I5742" s="1245"/>
    </row>
    <row r="5743" spans="8:9">
      <c r="H5743" s="1245"/>
      <c r="I5743" s="1245"/>
    </row>
    <row r="5744" spans="8:9">
      <c r="H5744" s="1245"/>
      <c r="I5744" s="1245"/>
    </row>
    <row r="5745" spans="8:9">
      <c r="H5745" s="1245"/>
      <c r="I5745" s="1245"/>
    </row>
    <row r="5746" spans="8:9">
      <c r="H5746" s="1245"/>
      <c r="I5746" s="1245"/>
    </row>
    <row r="5747" spans="8:9">
      <c r="H5747" s="1245"/>
      <c r="I5747" s="1245"/>
    </row>
    <row r="5748" spans="8:9">
      <c r="H5748" s="1245"/>
      <c r="I5748" s="1245"/>
    </row>
    <row r="5749" spans="8:9">
      <c r="H5749" s="1245"/>
      <c r="I5749" s="1245"/>
    </row>
    <row r="5750" spans="8:9">
      <c r="H5750" s="1245"/>
      <c r="I5750" s="1245"/>
    </row>
    <row r="5751" spans="8:9">
      <c r="H5751" s="1245"/>
      <c r="I5751" s="1245"/>
    </row>
    <row r="5752" spans="8:9">
      <c r="H5752" s="1245"/>
      <c r="I5752" s="1245"/>
    </row>
    <row r="5753" spans="8:9">
      <c r="H5753" s="1245"/>
      <c r="I5753" s="1245"/>
    </row>
    <row r="5754" spans="8:9">
      <c r="H5754" s="1245"/>
      <c r="I5754" s="1245"/>
    </row>
    <row r="5755" spans="8:9">
      <c r="H5755" s="1245"/>
      <c r="I5755" s="1245"/>
    </row>
    <row r="5756" spans="8:9">
      <c r="H5756" s="1245"/>
      <c r="I5756" s="1245"/>
    </row>
    <row r="5757" spans="8:9">
      <c r="H5757" s="1245"/>
      <c r="I5757" s="1245"/>
    </row>
    <row r="5758" spans="8:9">
      <c r="H5758" s="1245"/>
      <c r="I5758" s="1245"/>
    </row>
    <row r="5759" spans="8:9">
      <c r="H5759" s="1245"/>
      <c r="I5759" s="1245"/>
    </row>
    <row r="5760" spans="8:9">
      <c r="H5760" s="1245"/>
      <c r="I5760" s="1245"/>
    </row>
    <row r="5761" spans="8:9">
      <c r="H5761" s="1245"/>
      <c r="I5761" s="1245"/>
    </row>
    <row r="5762" spans="8:9">
      <c r="H5762" s="1245"/>
      <c r="I5762" s="1245"/>
    </row>
    <row r="5763" spans="8:9">
      <c r="H5763" s="1245"/>
      <c r="I5763" s="1245"/>
    </row>
    <row r="5764" spans="8:9">
      <c r="H5764" s="1245"/>
      <c r="I5764" s="1245"/>
    </row>
    <row r="5765" spans="8:9">
      <c r="H5765" s="1245"/>
      <c r="I5765" s="1245"/>
    </row>
    <row r="5766" spans="8:9">
      <c r="H5766" s="1245"/>
      <c r="I5766" s="1245"/>
    </row>
    <row r="5767" spans="8:9">
      <c r="H5767" s="1245"/>
      <c r="I5767" s="1245"/>
    </row>
    <row r="5768" spans="8:9">
      <c r="H5768" s="1245"/>
      <c r="I5768" s="1245"/>
    </row>
    <row r="5769" spans="8:9">
      <c r="H5769" s="1245"/>
      <c r="I5769" s="1245"/>
    </row>
    <row r="5770" spans="8:9">
      <c r="H5770" s="1245"/>
      <c r="I5770" s="1245"/>
    </row>
    <row r="5771" spans="8:9">
      <c r="H5771" s="1245"/>
      <c r="I5771" s="1245"/>
    </row>
    <row r="5772" spans="8:9">
      <c r="H5772" s="1245"/>
      <c r="I5772" s="1245"/>
    </row>
    <row r="5773" spans="8:9">
      <c r="H5773" s="1245"/>
      <c r="I5773" s="1245"/>
    </row>
    <row r="5774" spans="8:9">
      <c r="H5774" s="1245"/>
      <c r="I5774" s="1245"/>
    </row>
    <row r="5775" spans="8:9">
      <c r="H5775" s="1245"/>
      <c r="I5775" s="1245"/>
    </row>
    <row r="5776" spans="8:9">
      <c r="H5776" s="1245"/>
      <c r="I5776" s="1245"/>
    </row>
    <row r="5777" spans="8:9">
      <c r="H5777" s="1245"/>
      <c r="I5777" s="1245"/>
    </row>
    <row r="5778" spans="8:9">
      <c r="H5778" s="1245"/>
      <c r="I5778" s="1245"/>
    </row>
    <row r="5779" spans="8:9">
      <c r="H5779" s="1245"/>
      <c r="I5779" s="1245"/>
    </row>
    <row r="5780" spans="8:9">
      <c r="H5780" s="1245"/>
      <c r="I5780" s="1245"/>
    </row>
    <row r="5781" spans="8:9">
      <c r="H5781" s="1245"/>
      <c r="I5781" s="1245"/>
    </row>
    <row r="5782" spans="8:9">
      <c r="H5782" s="1245"/>
      <c r="I5782" s="1245"/>
    </row>
    <row r="5783" spans="8:9">
      <c r="H5783" s="1245"/>
      <c r="I5783" s="1245"/>
    </row>
    <row r="5784" spans="8:9">
      <c r="H5784" s="1245"/>
      <c r="I5784" s="1245"/>
    </row>
    <row r="5785" spans="8:9">
      <c r="H5785" s="1245"/>
      <c r="I5785" s="1245"/>
    </row>
    <row r="5786" spans="8:9">
      <c r="H5786" s="1245"/>
      <c r="I5786" s="1245"/>
    </row>
    <row r="5787" spans="8:9">
      <c r="H5787" s="1245"/>
      <c r="I5787" s="1245"/>
    </row>
    <row r="5788" spans="8:9">
      <c r="H5788" s="1245"/>
      <c r="I5788" s="1245"/>
    </row>
    <row r="5789" spans="8:9">
      <c r="H5789" s="1245"/>
      <c r="I5789" s="1245"/>
    </row>
    <row r="5790" spans="8:9">
      <c r="H5790" s="1245"/>
      <c r="I5790" s="1245"/>
    </row>
    <row r="5791" spans="8:9">
      <c r="H5791" s="1245"/>
      <c r="I5791" s="1245"/>
    </row>
    <row r="5792" spans="8:9">
      <c r="H5792" s="1245"/>
      <c r="I5792" s="1245"/>
    </row>
    <row r="5793" spans="8:9">
      <c r="H5793" s="1245"/>
      <c r="I5793" s="1245"/>
    </row>
    <row r="5794" spans="8:9">
      <c r="H5794" s="1245"/>
      <c r="I5794" s="1245"/>
    </row>
    <row r="5795" spans="8:9">
      <c r="H5795" s="1245"/>
      <c r="I5795" s="1245"/>
    </row>
    <row r="5796" spans="8:9">
      <c r="H5796" s="1245"/>
      <c r="I5796" s="1245"/>
    </row>
    <row r="5797" spans="8:9">
      <c r="H5797" s="1245"/>
      <c r="I5797" s="1245"/>
    </row>
    <row r="5798" spans="8:9">
      <c r="H5798" s="1245"/>
      <c r="I5798" s="1245"/>
    </row>
    <row r="5799" spans="8:9">
      <c r="H5799" s="1245"/>
      <c r="I5799" s="1245"/>
    </row>
    <row r="5800" spans="8:9">
      <c r="H5800" s="1245"/>
      <c r="I5800" s="1245"/>
    </row>
    <row r="5801" spans="8:9">
      <c r="H5801" s="1245"/>
      <c r="I5801" s="1245"/>
    </row>
    <row r="5802" spans="8:9">
      <c r="H5802" s="1245"/>
      <c r="I5802" s="1245"/>
    </row>
    <row r="5803" spans="8:9">
      <c r="H5803" s="1245"/>
      <c r="I5803" s="1245"/>
    </row>
    <row r="5804" spans="8:9">
      <c r="H5804" s="1245"/>
      <c r="I5804" s="1245"/>
    </row>
    <row r="5805" spans="8:9">
      <c r="H5805" s="1245"/>
      <c r="I5805" s="1245"/>
    </row>
    <row r="5806" spans="8:9">
      <c r="H5806" s="1245"/>
      <c r="I5806" s="1245"/>
    </row>
    <row r="5807" spans="8:9">
      <c r="H5807" s="1245"/>
      <c r="I5807" s="1245"/>
    </row>
    <row r="5808" spans="8:9">
      <c r="H5808" s="1245"/>
      <c r="I5808" s="1245"/>
    </row>
    <row r="5809" spans="8:9">
      <c r="H5809" s="1245"/>
      <c r="I5809" s="1245"/>
    </row>
    <row r="5810" spans="8:9">
      <c r="H5810" s="1245"/>
      <c r="I5810" s="1245"/>
    </row>
    <row r="5811" spans="8:9">
      <c r="H5811" s="1245"/>
      <c r="I5811" s="1245"/>
    </row>
    <row r="5812" spans="8:9">
      <c r="H5812" s="1245"/>
      <c r="I5812" s="1245"/>
    </row>
    <row r="5813" spans="8:9">
      <c r="H5813" s="1245"/>
      <c r="I5813" s="1245"/>
    </row>
    <row r="5814" spans="8:9">
      <c r="H5814" s="1245"/>
      <c r="I5814" s="1245"/>
    </row>
    <row r="5815" spans="8:9">
      <c r="H5815" s="1245"/>
      <c r="I5815" s="1245"/>
    </row>
    <row r="5816" spans="8:9">
      <c r="H5816" s="1245"/>
      <c r="I5816" s="1245"/>
    </row>
    <row r="5817" spans="8:9">
      <c r="H5817" s="1245"/>
      <c r="I5817" s="1245"/>
    </row>
    <row r="5818" spans="8:9">
      <c r="H5818" s="1245"/>
      <c r="I5818" s="1245"/>
    </row>
    <row r="5819" spans="8:9">
      <c r="H5819" s="1245"/>
      <c r="I5819" s="1245"/>
    </row>
    <row r="5820" spans="8:9">
      <c r="H5820" s="1245"/>
      <c r="I5820" s="1245"/>
    </row>
    <row r="5821" spans="8:9">
      <c r="H5821" s="1245"/>
      <c r="I5821" s="1245"/>
    </row>
    <row r="5822" spans="8:9">
      <c r="H5822" s="1245"/>
      <c r="I5822" s="1245"/>
    </row>
    <row r="5823" spans="8:9">
      <c r="H5823" s="1245"/>
      <c r="I5823" s="1245"/>
    </row>
    <row r="5824" spans="8:9">
      <c r="H5824" s="1245"/>
      <c r="I5824" s="1245"/>
    </row>
    <row r="5825" spans="8:9">
      <c r="H5825" s="1245"/>
      <c r="I5825" s="1245"/>
    </row>
    <row r="5826" spans="8:9">
      <c r="H5826" s="1245"/>
      <c r="I5826" s="1245"/>
    </row>
    <row r="5827" spans="8:9">
      <c r="H5827" s="1245"/>
      <c r="I5827" s="1245"/>
    </row>
    <row r="5828" spans="8:9">
      <c r="H5828" s="1245"/>
      <c r="I5828" s="1245"/>
    </row>
    <row r="5829" spans="8:9">
      <c r="H5829" s="1245"/>
      <c r="I5829" s="1245"/>
    </row>
    <row r="5830" spans="8:9">
      <c r="H5830" s="1245"/>
      <c r="I5830" s="1245"/>
    </row>
    <row r="5831" spans="8:9">
      <c r="H5831" s="1245"/>
      <c r="I5831" s="1245"/>
    </row>
    <row r="5832" spans="8:9">
      <c r="H5832" s="1245"/>
      <c r="I5832" s="1245"/>
    </row>
    <row r="5833" spans="8:9">
      <c r="H5833" s="1245"/>
      <c r="I5833" s="1245"/>
    </row>
    <row r="5834" spans="8:9">
      <c r="H5834" s="1245"/>
      <c r="I5834" s="1245"/>
    </row>
    <row r="5835" spans="8:9">
      <c r="H5835" s="1245"/>
      <c r="I5835" s="1245"/>
    </row>
    <row r="5836" spans="8:9">
      <c r="H5836" s="1245"/>
      <c r="I5836" s="1245"/>
    </row>
    <row r="5837" spans="8:9">
      <c r="H5837" s="1245"/>
      <c r="I5837" s="1245"/>
    </row>
    <row r="5838" spans="8:9">
      <c r="H5838" s="1245"/>
      <c r="I5838" s="1245"/>
    </row>
    <row r="5839" spans="8:9">
      <c r="H5839" s="1245"/>
      <c r="I5839" s="1245"/>
    </row>
    <row r="5840" spans="8:9">
      <c r="H5840" s="1245"/>
      <c r="I5840" s="1245"/>
    </row>
    <row r="5841" spans="8:9">
      <c r="H5841" s="1245"/>
      <c r="I5841" s="1245"/>
    </row>
    <row r="5842" spans="8:9">
      <c r="H5842" s="1245"/>
      <c r="I5842" s="1245"/>
    </row>
    <row r="5843" spans="8:9">
      <c r="H5843" s="1245"/>
      <c r="I5843" s="1245"/>
    </row>
    <row r="5844" spans="8:9">
      <c r="H5844" s="1245"/>
      <c r="I5844" s="1245"/>
    </row>
    <row r="5845" spans="8:9">
      <c r="H5845" s="1245"/>
      <c r="I5845" s="1245"/>
    </row>
    <row r="5846" spans="8:9">
      <c r="H5846" s="1245"/>
      <c r="I5846" s="1245"/>
    </row>
    <row r="5847" spans="8:9">
      <c r="H5847" s="1245"/>
      <c r="I5847" s="1245"/>
    </row>
    <row r="5848" spans="8:9">
      <c r="H5848" s="1245"/>
      <c r="I5848" s="1245"/>
    </row>
    <row r="5849" spans="8:9">
      <c r="H5849" s="1245"/>
      <c r="I5849" s="1245"/>
    </row>
    <row r="5850" spans="8:9">
      <c r="H5850" s="1245"/>
      <c r="I5850" s="1245"/>
    </row>
    <row r="5851" spans="8:9">
      <c r="H5851" s="1245"/>
      <c r="I5851" s="1245"/>
    </row>
    <row r="5852" spans="8:9">
      <c r="H5852" s="1245"/>
      <c r="I5852" s="1245"/>
    </row>
    <row r="5853" spans="8:9">
      <c r="H5853" s="1245"/>
      <c r="I5853" s="1245"/>
    </row>
    <row r="5854" spans="8:9">
      <c r="H5854" s="1245"/>
      <c r="I5854" s="1245"/>
    </row>
    <row r="5855" spans="8:9">
      <c r="H5855" s="1245"/>
      <c r="I5855" s="1245"/>
    </row>
    <row r="5856" spans="8:9">
      <c r="H5856" s="1245"/>
      <c r="I5856" s="1245"/>
    </row>
    <row r="5857" spans="8:9">
      <c r="H5857" s="1245"/>
      <c r="I5857" s="1245"/>
    </row>
    <row r="5858" spans="8:9">
      <c r="H5858" s="1245"/>
      <c r="I5858" s="1245"/>
    </row>
    <row r="5859" spans="8:9">
      <c r="H5859" s="1245"/>
      <c r="I5859" s="1245"/>
    </row>
    <row r="5860" spans="8:9">
      <c r="H5860" s="1245"/>
      <c r="I5860" s="1245"/>
    </row>
    <row r="5861" spans="8:9">
      <c r="H5861" s="1245"/>
      <c r="I5861" s="1245"/>
    </row>
    <row r="5862" spans="8:9">
      <c r="H5862" s="1245"/>
      <c r="I5862" s="1245"/>
    </row>
    <row r="5863" spans="8:9">
      <c r="H5863" s="1245"/>
      <c r="I5863" s="1245"/>
    </row>
    <row r="5864" spans="8:9">
      <c r="H5864" s="1245"/>
      <c r="I5864" s="1245"/>
    </row>
    <row r="5865" spans="8:9">
      <c r="H5865" s="1245"/>
      <c r="I5865" s="1245"/>
    </row>
    <row r="5866" spans="8:9">
      <c r="H5866" s="1245"/>
      <c r="I5866" s="1245"/>
    </row>
    <row r="5867" spans="8:9">
      <c r="H5867" s="1245"/>
      <c r="I5867" s="1245"/>
    </row>
    <row r="5868" spans="8:9">
      <c r="H5868" s="1245"/>
      <c r="I5868" s="1245"/>
    </row>
    <row r="5869" spans="8:9">
      <c r="H5869" s="1245"/>
      <c r="I5869" s="1245"/>
    </row>
    <row r="5870" spans="8:9">
      <c r="H5870" s="1245"/>
      <c r="I5870" s="1245"/>
    </row>
    <row r="5871" spans="8:9">
      <c r="H5871" s="1245"/>
      <c r="I5871" s="1245"/>
    </row>
    <row r="5872" spans="8:9">
      <c r="H5872" s="1245"/>
      <c r="I5872" s="1245"/>
    </row>
    <row r="5873" spans="8:9">
      <c r="H5873" s="1245"/>
      <c r="I5873" s="1245"/>
    </row>
    <row r="5874" spans="8:9">
      <c r="H5874" s="1245"/>
      <c r="I5874" s="1245"/>
    </row>
    <row r="5875" spans="8:9">
      <c r="H5875" s="1245"/>
      <c r="I5875" s="1245"/>
    </row>
    <row r="5876" spans="8:9">
      <c r="H5876" s="1245"/>
      <c r="I5876" s="1245"/>
    </row>
    <row r="5877" spans="8:9">
      <c r="H5877" s="1245"/>
      <c r="I5877" s="1245"/>
    </row>
    <row r="5878" spans="8:9">
      <c r="H5878" s="1245"/>
      <c r="I5878" s="1245"/>
    </row>
    <row r="5879" spans="8:9">
      <c r="H5879" s="1245"/>
      <c r="I5879" s="1245"/>
    </row>
    <row r="5880" spans="8:9">
      <c r="H5880" s="1245"/>
      <c r="I5880" s="1245"/>
    </row>
    <row r="5881" spans="8:9">
      <c r="H5881" s="1245"/>
      <c r="I5881" s="1245"/>
    </row>
    <row r="5882" spans="8:9">
      <c r="H5882" s="1245"/>
      <c r="I5882" s="1245"/>
    </row>
    <row r="5883" spans="8:9">
      <c r="H5883" s="1245"/>
      <c r="I5883" s="1245"/>
    </row>
    <row r="5884" spans="8:9">
      <c r="H5884" s="1245"/>
      <c r="I5884" s="1245"/>
    </row>
    <row r="5885" spans="8:9">
      <c r="H5885" s="1245"/>
      <c r="I5885" s="1245"/>
    </row>
    <row r="5886" spans="8:9">
      <c r="H5886" s="1245"/>
      <c r="I5886" s="1245"/>
    </row>
    <row r="5887" spans="8:9">
      <c r="H5887" s="1245"/>
      <c r="I5887" s="1245"/>
    </row>
    <row r="5888" spans="8:9">
      <c r="H5888" s="1245"/>
      <c r="I5888" s="1245"/>
    </row>
    <row r="5889" spans="8:9">
      <c r="H5889" s="1245"/>
      <c r="I5889" s="1245"/>
    </row>
    <row r="5890" spans="8:9">
      <c r="H5890" s="1245"/>
      <c r="I5890" s="1245"/>
    </row>
    <row r="5891" spans="8:9">
      <c r="H5891" s="1245"/>
      <c r="I5891" s="1245"/>
    </row>
    <row r="5892" spans="8:9">
      <c r="H5892" s="1245"/>
      <c r="I5892" s="1245"/>
    </row>
    <row r="5893" spans="8:9">
      <c r="H5893" s="1245"/>
      <c r="I5893" s="1245"/>
    </row>
    <row r="5894" spans="8:9">
      <c r="H5894" s="1245"/>
      <c r="I5894" s="1245"/>
    </row>
    <row r="5895" spans="8:9">
      <c r="H5895" s="1245"/>
      <c r="I5895" s="1245"/>
    </row>
    <row r="5896" spans="8:9">
      <c r="H5896" s="1245"/>
      <c r="I5896" s="1245"/>
    </row>
    <row r="5897" spans="8:9">
      <c r="H5897" s="1245"/>
      <c r="I5897" s="1245"/>
    </row>
    <row r="5898" spans="8:9">
      <c r="H5898" s="1245"/>
      <c r="I5898" s="1245"/>
    </row>
    <row r="5899" spans="8:9">
      <c r="H5899" s="1245"/>
      <c r="I5899" s="1245"/>
    </row>
    <row r="5900" spans="8:9">
      <c r="H5900" s="1245"/>
      <c r="I5900" s="1245"/>
    </row>
    <row r="5901" spans="8:9">
      <c r="H5901" s="1245"/>
      <c r="I5901" s="1245"/>
    </row>
    <row r="5902" spans="8:9">
      <c r="H5902" s="1245"/>
      <c r="I5902" s="1245"/>
    </row>
    <row r="5903" spans="8:9">
      <c r="H5903" s="1245"/>
      <c r="I5903" s="1245"/>
    </row>
    <row r="5904" spans="8:9">
      <c r="H5904" s="1245"/>
      <c r="I5904" s="1245"/>
    </row>
    <row r="5905" spans="8:9">
      <c r="H5905" s="1245"/>
      <c r="I5905" s="1245"/>
    </row>
    <row r="5906" spans="8:9">
      <c r="H5906" s="1245"/>
      <c r="I5906" s="1245"/>
    </row>
    <row r="5907" spans="8:9">
      <c r="H5907" s="1245"/>
      <c r="I5907" s="1245"/>
    </row>
    <row r="5908" spans="8:9">
      <c r="H5908" s="1245"/>
      <c r="I5908" s="1245"/>
    </row>
    <row r="5909" spans="8:9">
      <c r="H5909" s="1245"/>
      <c r="I5909" s="1245"/>
    </row>
    <row r="5910" spans="8:9">
      <c r="H5910" s="1245"/>
      <c r="I5910" s="1245"/>
    </row>
    <row r="5911" spans="8:9">
      <c r="H5911" s="1245"/>
      <c r="I5911" s="1245"/>
    </row>
    <row r="5912" spans="8:9">
      <c r="H5912" s="1245"/>
      <c r="I5912" s="1245"/>
    </row>
    <row r="5913" spans="8:9">
      <c r="H5913" s="1245"/>
      <c r="I5913" s="1245"/>
    </row>
    <row r="5914" spans="8:9">
      <c r="H5914" s="1245"/>
      <c r="I5914" s="1245"/>
    </row>
    <row r="5915" spans="8:9">
      <c r="H5915" s="1245"/>
      <c r="I5915" s="1245"/>
    </row>
    <row r="5916" spans="8:9">
      <c r="H5916" s="1245"/>
      <c r="I5916" s="1245"/>
    </row>
    <row r="5917" spans="8:9">
      <c r="H5917" s="1245"/>
      <c r="I5917" s="1245"/>
    </row>
    <row r="5918" spans="8:9">
      <c r="H5918" s="1245"/>
      <c r="I5918" s="1245"/>
    </row>
    <row r="5919" spans="8:9">
      <c r="H5919" s="1245"/>
      <c r="I5919" s="1245"/>
    </row>
    <row r="5920" spans="8:9">
      <c r="H5920" s="1245"/>
      <c r="I5920" s="1245"/>
    </row>
    <row r="5921" spans="8:9">
      <c r="H5921" s="1245"/>
      <c r="I5921" s="1245"/>
    </row>
    <row r="5922" spans="8:9">
      <c r="H5922" s="1245"/>
      <c r="I5922" s="1245"/>
    </row>
    <row r="5923" spans="8:9">
      <c r="H5923" s="1245"/>
      <c r="I5923" s="1245"/>
    </row>
    <row r="5924" spans="8:9">
      <c r="H5924" s="1245"/>
      <c r="I5924" s="1245"/>
    </row>
    <row r="5925" spans="8:9">
      <c r="H5925" s="1245"/>
      <c r="I5925" s="1245"/>
    </row>
    <row r="5926" spans="8:9">
      <c r="H5926" s="1245"/>
      <c r="I5926" s="1245"/>
    </row>
    <row r="5927" spans="8:9">
      <c r="H5927" s="1245"/>
      <c r="I5927" s="1245"/>
    </row>
    <row r="5928" spans="8:9">
      <c r="H5928" s="1245"/>
      <c r="I5928" s="1245"/>
    </row>
    <row r="5929" spans="8:9">
      <c r="H5929" s="1245"/>
      <c r="I5929" s="1245"/>
    </row>
    <row r="5930" spans="8:9">
      <c r="H5930" s="1245"/>
      <c r="I5930" s="1245"/>
    </row>
    <row r="5931" spans="8:9">
      <c r="H5931" s="1245"/>
      <c r="I5931" s="1245"/>
    </row>
    <row r="5932" spans="8:9">
      <c r="H5932" s="1245"/>
      <c r="I5932" s="1245"/>
    </row>
    <row r="5933" spans="8:9">
      <c r="H5933" s="1245"/>
      <c r="I5933" s="1245"/>
    </row>
    <row r="5934" spans="8:9">
      <c r="H5934" s="1245"/>
      <c r="I5934" s="1245"/>
    </row>
    <row r="5935" spans="8:9">
      <c r="H5935" s="1245"/>
      <c r="I5935" s="1245"/>
    </row>
    <row r="5936" spans="8:9">
      <c r="H5936" s="1245"/>
      <c r="I5936" s="1245"/>
    </row>
    <row r="5937" spans="8:9">
      <c r="H5937" s="1245"/>
      <c r="I5937" s="1245"/>
    </row>
    <row r="5938" spans="8:9">
      <c r="H5938" s="1245"/>
      <c r="I5938" s="1245"/>
    </row>
    <row r="5939" spans="8:9">
      <c r="H5939" s="1245"/>
      <c r="I5939" s="1245"/>
    </row>
    <row r="5940" spans="8:9">
      <c r="H5940" s="1245"/>
      <c r="I5940" s="1245"/>
    </row>
    <row r="5941" spans="8:9">
      <c r="H5941" s="1245"/>
      <c r="I5941" s="1245"/>
    </row>
    <row r="5942" spans="8:9">
      <c r="H5942" s="1245"/>
      <c r="I5942" s="1245"/>
    </row>
    <row r="5943" spans="8:9">
      <c r="H5943" s="1245"/>
      <c r="I5943" s="1245"/>
    </row>
    <row r="5944" spans="8:9">
      <c r="H5944" s="1245"/>
      <c r="I5944" s="1245"/>
    </row>
    <row r="5945" spans="8:9">
      <c r="H5945" s="1245"/>
      <c r="I5945" s="1245"/>
    </row>
    <row r="5946" spans="8:9">
      <c r="H5946" s="1245"/>
      <c r="I5946" s="1245"/>
    </row>
    <row r="5947" spans="8:9">
      <c r="H5947" s="1245"/>
      <c r="I5947" s="1245"/>
    </row>
    <row r="5948" spans="8:9">
      <c r="H5948" s="1245"/>
      <c r="I5948" s="1245"/>
    </row>
    <row r="5949" spans="8:9">
      <c r="H5949" s="1245"/>
      <c r="I5949" s="1245"/>
    </row>
    <row r="5950" spans="8:9">
      <c r="H5950" s="1245"/>
      <c r="I5950" s="1245"/>
    </row>
    <row r="5951" spans="8:9">
      <c r="H5951" s="1245"/>
      <c r="I5951" s="1245"/>
    </row>
    <row r="5952" spans="8:9">
      <c r="H5952" s="1245"/>
      <c r="I5952" s="1245"/>
    </row>
    <row r="5953" spans="8:9">
      <c r="H5953" s="1245"/>
      <c r="I5953" s="1245"/>
    </row>
    <row r="5954" spans="8:9">
      <c r="H5954" s="1245"/>
      <c r="I5954" s="1245"/>
    </row>
    <row r="5955" spans="8:9">
      <c r="H5955" s="1245"/>
      <c r="I5955" s="1245"/>
    </row>
    <row r="5956" spans="8:9">
      <c r="H5956" s="1245"/>
      <c r="I5956" s="1245"/>
    </row>
    <row r="5957" spans="8:9">
      <c r="H5957" s="1245"/>
      <c r="I5957" s="1245"/>
    </row>
    <row r="5958" spans="8:9">
      <c r="H5958" s="1245"/>
      <c r="I5958" s="1245"/>
    </row>
    <row r="5959" spans="8:9">
      <c r="H5959" s="1245"/>
      <c r="I5959" s="1245"/>
    </row>
    <row r="5960" spans="8:9">
      <c r="H5960" s="1245"/>
      <c r="I5960" s="1245"/>
    </row>
    <row r="5961" spans="8:9">
      <c r="H5961" s="1245"/>
      <c r="I5961" s="1245"/>
    </row>
    <row r="5962" spans="8:9">
      <c r="H5962" s="1245"/>
      <c r="I5962" s="1245"/>
    </row>
    <row r="5963" spans="8:9">
      <c r="H5963" s="1245"/>
      <c r="I5963" s="1245"/>
    </row>
    <row r="5964" spans="8:9">
      <c r="H5964" s="1245"/>
      <c r="I5964" s="1245"/>
    </row>
    <row r="5965" spans="8:9">
      <c r="H5965" s="1245"/>
      <c r="I5965" s="1245"/>
    </row>
    <row r="5966" spans="8:9">
      <c r="H5966" s="1245"/>
      <c r="I5966" s="1245"/>
    </row>
    <row r="5967" spans="8:9">
      <c r="H5967" s="1245"/>
      <c r="I5967" s="1245"/>
    </row>
    <row r="5968" spans="8:9">
      <c r="H5968" s="1245"/>
      <c r="I5968" s="1245"/>
    </row>
    <row r="5969" spans="8:9">
      <c r="H5969" s="1245"/>
      <c r="I5969" s="1245"/>
    </row>
    <row r="5970" spans="8:9">
      <c r="H5970" s="1245"/>
      <c r="I5970" s="1245"/>
    </row>
    <row r="5971" spans="8:9">
      <c r="H5971" s="1245"/>
      <c r="I5971" s="1245"/>
    </row>
    <row r="5972" spans="8:9">
      <c r="H5972" s="1245"/>
      <c r="I5972" s="1245"/>
    </row>
    <row r="5973" spans="8:9">
      <c r="H5973" s="1245"/>
      <c r="I5973" s="1245"/>
    </row>
    <row r="5974" spans="8:9">
      <c r="H5974" s="1245"/>
      <c r="I5974" s="1245"/>
    </row>
    <row r="5975" spans="8:9">
      <c r="H5975" s="1245"/>
      <c r="I5975" s="1245"/>
    </row>
    <row r="5976" spans="8:9">
      <c r="H5976" s="1245"/>
      <c r="I5976" s="1245"/>
    </row>
    <row r="5977" spans="8:9">
      <c r="H5977" s="1245"/>
      <c r="I5977" s="1245"/>
    </row>
    <row r="5978" spans="8:9">
      <c r="H5978" s="1245"/>
      <c r="I5978" s="1245"/>
    </row>
    <row r="5979" spans="8:9">
      <c r="H5979" s="1245"/>
      <c r="I5979" s="1245"/>
    </row>
    <row r="5980" spans="8:9">
      <c r="H5980" s="1245"/>
      <c r="I5980" s="1245"/>
    </row>
    <row r="5981" spans="8:9">
      <c r="H5981" s="1245"/>
      <c r="I5981" s="1245"/>
    </row>
    <row r="5982" spans="8:9">
      <c r="H5982" s="1245"/>
      <c r="I5982" s="1245"/>
    </row>
    <row r="5983" spans="8:9">
      <c r="H5983" s="1245"/>
      <c r="I5983" s="1245"/>
    </row>
    <row r="5984" spans="8:9">
      <c r="H5984" s="1245"/>
      <c r="I5984" s="1245"/>
    </row>
    <row r="5985" spans="8:9">
      <c r="H5985" s="1245"/>
      <c r="I5985" s="1245"/>
    </row>
    <row r="5986" spans="8:9">
      <c r="H5986" s="1245"/>
      <c r="I5986" s="1245"/>
    </row>
    <row r="5987" spans="8:9">
      <c r="H5987" s="1245"/>
      <c r="I5987" s="1245"/>
    </row>
    <row r="5988" spans="8:9">
      <c r="H5988" s="1245"/>
      <c r="I5988" s="1245"/>
    </row>
    <row r="5989" spans="8:9">
      <c r="H5989" s="1245"/>
      <c r="I5989" s="1245"/>
    </row>
    <row r="5990" spans="8:9">
      <c r="H5990" s="1245"/>
      <c r="I5990" s="1245"/>
    </row>
    <row r="5991" spans="8:9">
      <c r="H5991" s="1245"/>
      <c r="I5991" s="1245"/>
    </row>
    <row r="5992" spans="8:9">
      <c r="H5992" s="1245"/>
      <c r="I5992" s="1245"/>
    </row>
    <row r="5993" spans="8:9">
      <c r="H5993" s="1245"/>
      <c r="I5993" s="1245"/>
    </row>
    <row r="5994" spans="8:9">
      <c r="H5994" s="1245"/>
      <c r="I5994" s="1245"/>
    </row>
    <row r="5995" spans="8:9">
      <c r="H5995" s="1245"/>
      <c r="I5995" s="1245"/>
    </row>
    <row r="5996" spans="8:9">
      <c r="H5996" s="1245"/>
      <c r="I5996" s="1245"/>
    </row>
    <row r="5997" spans="8:9">
      <c r="H5997" s="1245"/>
      <c r="I5997" s="1245"/>
    </row>
    <row r="5998" spans="8:9">
      <c r="H5998" s="1245"/>
      <c r="I5998" s="1245"/>
    </row>
    <row r="5999" spans="8:9">
      <c r="H5999" s="1245"/>
      <c r="I5999" s="1245"/>
    </row>
    <row r="6000" spans="8:9">
      <c r="H6000" s="1245"/>
      <c r="I6000" s="1245"/>
    </row>
    <row r="6001" spans="8:9">
      <c r="H6001" s="1245"/>
      <c r="I6001" s="1245"/>
    </row>
    <row r="6002" spans="8:9">
      <c r="H6002" s="1245"/>
      <c r="I6002" s="1245"/>
    </row>
    <row r="6003" spans="8:9">
      <c r="H6003" s="1245"/>
      <c r="I6003" s="1245"/>
    </row>
    <row r="6004" spans="8:9">
      <c r="H6004" s="1245"/>
      <c r="I6004" s="1245"/>
    </row>
    <row r="6005" spans="8:9">
      <c r="H6005" s="1245"/>
      <c r="I6005" s="1245"/>
    </row>
    <row r="6006" spans="8:9">
      <c r="H6006" s="1245"/>
      <c r="I6006" s="1245"/>
    </row>
    <row r="6007" spans="8:9">
      <c r="H6007" s="1245"/>
      <c r="I6007" s="1245"/>
    </row>
    <row r="6008" spans="8:9">
      <c r="H6008" s="1245"/>
      <c r="I6008" s="1245"/>
    </row>
    <row r="6009" spans="8:9">
      <c r="H6009" s="1245"/>
      <c r="I6009" s="1245"/>
    </row>
    <row r="6010" spans="8:9">
      <c r="H6010" s="1245"/>
      <c r="I6010" s="1245"/>
    </row>
    <row r="6011" spans="8:9">
      <c r="H6011" s="1245"/>
      <c r="I6011" s="1245"/>
    </row>
    <row r="6012" spans="8:9">
      <c r="H6012" s="1245"/>
      <c r="I6012" s="1245"/>
    </row>
    <row r="6013" spans="8:9">
      <c r="H6013" s="1245"/>
      <c r="I6013" s="1245"/>
    </row>
    <row r="6014" spans="8:9">
      <c r="H6014" s="1245"/>
      <c r="I6014" s="1245"/>
    </row>
    <row r="6015" spans="8:9">
      <c r="H6015" s="1245"/>
      <c r="I6015" s="1245"/>
    </row>
    <row r="6016" spans="8:9">
      <c r="H6016" s="1245"/>
      <c r="I6016" s="1245"/>
    </row>
    <row r="6017" spans="8:9">
      <c r="H6017" s="1245"/>
      <c r="I6017" s="1245"/>
    </row>
    <row r="6018" spans="8:9">
      <c r="H6018" s="1245"/>
      <c r="I6018" s="1245"/>
    </row>
    <row r="6019" spans="8:9">
      <c r="H6019" s="1245"/>
      <c r="I6019" s="1245"/>
    </row>
    <row r="6020" spans="8:9">
      <c r="H6020" s="1245"/>
      <c r="I6020" s="1245"/>
    </row>
    <row r="6021" spans="8:9">
      <c r="H6021" s="1245"/>
      <c r="I6021" s="1245"/>
    </row>
    <row r="6022" spans="8:9">
      <c r="H6022" s="1245"/>
      <c r="I6022" s="1245"/>
    </row>
    <row r="6023" spans="8:9">
      <c r="H6023" s="1245"/>
      <c r="I6023" s="1245"/>
    </row>
    <row r="6024" spans="8:9">
      <c r="H6024" s="1245"/>
      <c r="I6024" s="1245"/>
    </row>
    <row r="6025" spans="8:9">
      <c r="H6025" s="1245"/>
      <c r="I6025" s="1245"/>
    </row>
    <row r="6026" spans="8:9">
      <c r="H6026" s="1245"/>
      <c r="I6026" s="1245"/>
    </row>
    <row r="6027" spans="8:9">
      <c r="H6027" s="1245"/>
      <c r="I6027" s="1245"/>
    </row>
    <row r="6028" spans="8:9">
      <c r="H6028" s="1245"/>
      <c r="I6028" s="1245"/>
    </row>
    <row r="6029" spans="8:9">
      <c r="H6029" s="1245"/>
      <c r="I6029" s="1245"/>
    </row>
    <row r="6030" spans="8:9">
      <c r="H6030" s="1245"/>
      <c r="I6030" s="1245"/>
    </row>
    <row r="6031" spans="8:9">
      <c r="H6031" s="1245"/>
      <c r="I6031" s="1245"/>
    </row>
    <row r="6032" spans="8:9">
      <c r="H6032" s="1245"/>
      <c r="I6032" s="1245"/>
    </row>
    <row r="6033" spans="8:9">
      <c r="H6033" s="1245"/>
      <c r="I6033" s="1245"/>
    </row>
    <row r="6034" spans="8:9">
      <c r="H6034" s="1245"/>
      <c r="I6034" s="1245"/>
    </row>
    <row r="6035" spans="8:9">
      <c r="H6035" s="1245"/>
      <c r="I6035" s="1245"/>
    </row>
    <row r="6036" spans="8:9">
      <c r="H6036" s="1245"/>
      <c r="I6036" s="1245"/>
    </row>
    <row r="6037" spans="8:9">
      <c r="H6037" s="1245"/>
      <c r="I6037" s="1245"/>
    </row>
    <row r="6038" spans="8:9">
      <c r="H6038" s="1245"/>
      <c r="I6038" s="1245"/>
    </row>
    <row r="6039" spans="8:9">
      <c r="H6039" s="1245"/>
      <c r="I6039" s="1245"/>
    </row>
    <row r="6040" spans="8:9">
      <c r="H6040" s="1245"/>
      <c r="I6040" s="1245"/>
    </row>
    <row r="6041" spans="8:9">
      <c r="H6041" s="1245"/>
      <c r="I6041" s="1245"/>
    </row>
    <row r="6042" spans="8:9">
      <c r="H6042" s="1245"/>
      <c r="I6042" s="1245"/>
    </row>
    <row r="6043" spans="8:9">
      <c r="H6043" s="1245"/>
      <c r="I6043" s="1245"/>
    </row>
    <row r="6044" spans="8:9">
      <c r="H6044" s="1245"/>
      <c r="I6044" s="1245"/>
    </row>
    <row r="6045" spans="8:9">
      <c r="H6045" s="1245"/>
      <c r="I6045" s="1245"/>
    </row>
    <row r="6046" spans="8:9">
      <c r="H6046" s="1245"/>
      <c r="I6046" s="1245"/>
    </row>
    <row r="6047" spans="8:9">
      <c r="H6047" s="1245"/>
      <c r="I6047" s="1245"/>
    </row>
    <row r="6048" spans="8:9">
      <c r="H6048" s="1245"/>
      <c r="I6048" s="1245"/>
    </row>
    <row r="6049" spans="8:9">
      <c r="H6049" s="1245"/>
      <c r="I6049" s="1245"/>
    </row>
    <row r="6050" spans="8:9">
      <c r="H6050" s="1245"/>
      <c r="I6050" s="1245"/>
    </row>
    <row r="6051" spans="8:9">
      <c r="H6051" s="1245"/>
      <c r="I6051" s="1245"/>
    </row>
    <row r="6052" spans="8:9">
      <c r="H6052" s="1245"/>
      <c r="I6052" s="1245"/>
    </row>
    <row r="6053" spans="8:9">
      <c r="H6053" s="1245"/>
      <c r="I6053" s="1245"/>
    </row>
    <row r="6054" spans="8:9">
      <c r="H6054" s="1245"/>
      <c r="I6054" s="1245"/>
    </row>
    <row r="6055" spans="8:9">
      <c r="H6055" s="1245"/>
      <c r="I6055" s="1245"/>
    </row>
    <row r="6056" spans="8:9">
      <c r="H6056" s="1245"/>
      <c r="I6056" s="1245"/>
    </row>
    <row r="6057" spans="8:9">
      <c r="H6057" s="1245"/>
      <c r="I6057" s="1245"/>
    </row>
    <row r="6058" spans="8:9">
      <c r="H6058" s="1245"/>
      <c r="I6058" s="1245"/>
    </row>
    <row r="6059" spans="8:9">
      <c r="H6059" s="1245"/>
      <c r="I6059" s="1245"/>
    </row>
    <row r="6060" spans="8:9">
      <c r="H6060" s="1245"/>
      <c r="I6060" s="1245"/>
    </row>
    <row r="6061" spans="8:9">
      <c r="H6061" s="1245"/>
      <c r="I6061" s="1245"/>
    </row>
    <row r="6062" spans="8:9">
      <c r="H6062" s="1245"/>
      <c r="I6062" s="1245"/>
    </row>
    <row r="6063" spans="8:9">
      <c r="H6063" s="1245"/>
      <c r="I6063" s="1245"/>
    </row>
    <row r="6064" spans="8:9">
      <c r="H6064" s="1245"/>
      <c r="I6064" s="1245"/>
    </row>
    <row r="6065" spans="8:9">
      <c r="H6065" s="1245"/>
      <c r="I6065" s="1245"/>
    </row>
    <row r="6066" spans="8:9">
      <c r="H6066" s="1245"/>
      <c r="I6066" s="1245"/>
    </row>
    <row r="6067" spans="8:9">
      <c r="H6067" s="1245"/>
      <c r="I6067" s="1245"/>
    </row>
    <row r="6068" spans="8:9">
      <c r="H6068" s="1245"/>
      <c r="I6068" s="1245"/>
    </row>
    <row r="6069" spans="8:9">
      <c r="H6069" s="1245"/>
      <c r="I6069" s="1245"/>
    </row>
    <row r="6070" spans="8:9">
      <c r="H6070" s="1245"/>
      <c r="I6070" s="1245"/>
    </row>
    <row r="6071" spans="8:9">
      <c r="H6071" s="1245"/>
      <c r="I6071" s="1245"/>
    </row>
    <row r="6072" spans="8:9">
      <c r="H6072" s="1245"/>
      <c r="I6072" s="1245"/>
    </row>
    <row r="6073" spans="8:9">
      <c r="H6073" s="1245"/>
      <c r="I6073" s="1245"/>
    </row>
    <row r="6074" spans="8:9">
      <c r="H6074" s="1245"/>
      <c r="I6074" s="1245"/>
    </row>
    <row r="6075" spans="8:9">
      <c r="H6075" s="1245"/>
      <c r="I6075" s="1245"/>
    </row>
    <row r="6076" spans="8:9">
      <c r="H6076" s="1245"/>
      <c r="I6076" s="1245"/>
    </row>
    <row r="6077" spans="8:9">
      <c r="H6077" s="1245"/>
      <c r="I6077" s="1245"/>
    </row>
    <row r="6078" spans="8:9">
      <c r="H6078" s="1245"/>
      <c r="I6078" s="1245"/>
    </row>
    <row r="6079" spans="8:9">
      <c r="H6079" s="1245"/>
      <c r="I6079" s="1245"/>
    </row>
    <row r="6080" spans="8:9">
      <c r="H6080" s="1245"/>
      <c r="I6080" s="1245"/>
    </row>
    <row r="6081" spans="8:9">
      <c r="H6081" s="1245"/>
      <c r="I6081" s="1245"/>
    </row>
    <row r="6082" spans="8:9">
      <c r="H6082" s="1245"/>
      <c r="I6082" s="1245"/>
    </row>
    <row r="6083" spans="8:9">
      <c r="H6083" s="1245"/>
      <c r="I6083" s="1245"/>
    </row>
    <row r="6084" spans="8:9">
      <c r="H6084" s="1245"/>
      <c r="I6084" s="1245"/>
    </row>
    <row r="6085" spans="8:9">
      <c r="H6085" s="1245"/>
      <c r="I6085" s="1245"/>
    </row>
    <row r="6086" spans="8:9">
      <c r="H6086" s="1245"/>
      <c r="I6086" s="1245"/>
    </row>
    <row r="6087" spans="8:9">
      <c r="H6087" s="1245"/>
      <c r="I6087" s="1245"/>
    </row>
    <row r="6088" spans="8:9">
      <c r="H6088" s="1245"/>
      <c r="I6088" s="1245"/>
    </row>
    <row r="6089" spans="8:9">
      <c r="H6089" s="1245"/>
      <c r="I6089" s="1245"/>
    </row>
    <row r="6090" spans="8:9">
      <c r="H6090" s="1245"/>
      <c r="I6090" s="1245"/>
    </row>
    <row r="6091" spans="8:9">
      <c r="H6091" s="1245"/>
      <c r="I6091" s="1245"/>
    </row>
    <row r="6092" spans="8:9">
      <c r="H6092" s="1245"/>
      <c r="I6092" s="1245"/>
    </row>
    <row r="6093" spans="8:9">
      <c r="H6093" s="1245"/>
      <c r="I6093" s="1245"/>
    </row>
    <row r="6094" spans="8:9">
      <c r="H6094" s="1245"/>
      <c r="I6094" s="1245"/>
    </row>
    <row r="6095" spans="8:9">
      <c r="H6095" s="1245"/>
      <c r="I6095" s="1245"/>
    </row>
    <row r="6096" spans="8:9">
      <c r="H6096" s="1245"/>
      <c r="I6096" s="1245"/>
    </row>
    <row r="6097" spans="8:9">
      <c r="H6097" s="1245"/>
      <c r="I6097" s="1245"/>
    </row>
    <row r="6098" spans="8:9">
      <c r="H6098" s="1245"/>
      <c r="I6098" s="1245"/>
    </row>
    <row r="6099" spans="8:9">
      <c r="H6099" s="1245"/>
      <c r="I6099" s="1245"/>
    </row>
    <row r="6100" spans="8:9">
      <c r="H6100" s="1245"/>
      <c r="I6100" s="1245"/>
    </row>
    <row r="6101" spans="8:9">
      <c r="H6101" s="1245"/>
      <c r="I6101" s="1245"/>
    </row>
    <row r="6102" spans="8:9">
      <c r="H6102" s="1245"/>
      <c r="I6102" s="1245"/>
    </row>
    <row r="6103" spans="8:9">
      <c r="H6103" s="1245"/>
      <c r="I6103" s="1245"/>
    </row>
    <row r="6104" spans="8:9">
      <c r="H6104" s="1245"/>
      <c r="I6104" s="1245"/>
    </row>
    <row r="6105" spans="8:9">
      <c r="H6105" s="1245"/>
      <c r="I6105" s="1245"/>
    </row>
    <row r="6106" spans="8:9">
      <c r="H6106" s="1245"/>
      <c r="I6106" s="1245"/>
    </row>
    <row r="6107" spans="8:9">
      <c r="H6107" s="1245"/>
      <c r="I6107" s="1245"/>
    </row>
    <row r="6108" spans="8:9">
      <c r="H6108" s="1245"/>
      <c r="I6108" s="1245"/>
    </row>
    <row r="6109" spans="8:9">
      <c r="H6109" s="1245"/>
      <c r="I6109" s="1245"/>
    </row>
    <row r="6110" spans="8:9">
      <c r="H6110" s="1245"/>
      <c r="I6110" s="1245"/>
    </row>
    <row r="6111" spans="8:9">
      <c r="H6111" s="1245"/>
      <c r="I6111" s="1245"/>
    </row>
    <row r="6112" spans="8:9">
      <c r="H6112" s="1245"/>
      <c r="I6112" s="1245"/>
    </row>
    <row r="6113" spans="8:9">
      <c r="H6113" s="1245"/>
      <c r="I6113" s="1245"/>
    </row>
    <row r="6114" spans="8:9">
      <c r="H6114" s="1245"/>
      <c r="I6114" s="1245"/>
    </row>
    <row r="6115" spans="8:9">
      <c r="H6115" s="1245"/>
      <c r="I6115" s="1245"/>
    </row>
    <row r="6116" spans="8:9">
      <c r="H6116" s="1245"/>
      <c r="I6116" s="1245"/>
    </row>
    <row r="6117" spans="8:9">
      <c r="H6117" s="1245"/>
      <c r="I6117" s="1245"/>
    </row>
    <row r="6118" spans="8:9">
      <c r="H6118" s="1245"/>
      <c r="I6118" s="1245"/>
    </row>
    <row r="6119" spans="8:9">
      <c r="H6119" s="1245"/>
      <c r="I6119" s="1245"/>
    </row>
    <row r="6120" spans="8:9">
      <c r="H6120" s="1245"/>
      <c r="I6120" s="1245"/>
    </row>
    <row r="6121" spans="8:9">
      <c r="H6121" s="1245"/>
      <c r="I6121" s="1245"/>
    </row>
    <row r="6122" spans="8:9">
      <c r="H6122" s="1245"/>
      <c r="I6122" s="1245"/>
    </row>
    <row r="6123" spans="8:9">
      <c r="H6123" s="1245"/>
      <c r="I6123" s="1245"/>
    </row>
    <row r="6124" spans="8:9">
      <c r="H6124" s="1245"/>
      <c r="I6124" s="1245"/>
    </row>
    <row r="6125" spans="8:9">
      <c r="H6125" s="1245"/>
      <c r="I6125" s="1245"/>
    </row>
    <row r="6126" spans="8:9">
      <c r="H6126" s="1245"/>
      <c r="I6126" s="1245"/>
    </row>
    <row r="6127" spans="8:9">
      <c r="H6127" s="1245"/>
      <c r="I6127" s="1245"/>
    </row>
    <row r="6128" spans="8:9">
      <c r="H6128" s="1245"/>
      <c r="I6128" s="1245"/>
    </row>
    <row r="6129" spans="8:9">
      <c r="H6129" s="1245"/>
      <c r="I6129" s="1245"/>
    </row>
    <row r="6130" spans="8:9">
      <c r="H6130" s="1245"/>
      <c r="I6130" s="1245"/>
    </row>
    <row r="6131" spans="8:9">
      <c r="H6131" s="1245"/>
      <c r="I6131" s="1245"/>
    </row>
    <row r="6132" spans="8:9">
      <c r="H6132" s="1245"/>
      <c r="I6132" s="1245"/>
    </row>
    <row r="6133" spans="8:9">
      <c r="H6133" s="1245"/>
      <c r="I6133" s="1245"/>
    </row>
    <row r="6134" spans="8:9">
      <c r="H6134" s="1245"/>
      <c r="I6134" s="1245"/>
    </row>
    <row r="6135" spans="8:9">
      <c r="H6135" s="1245"/>
      <c r="I6135" s="1245"/>
    </row>
    <row r="6136" spans="8:9">
      <c r="H6136" s="1245"/>
      <c r="I6136" s="1245"/>
    </row>
    <row r="6137" spans="8:9">
      <c r="H6137" s="1245"/>
      <c r="I6137" s="1245"/>
    </row>
    <row r="6138" spans="8:9">
      <c r="H6138" s="1245"/>
      <c r="I6138" s="1245"/>
    </row>
    <row r="6139" spans="8:9">
      <c r="H6139" s="1245"/>
      <c r="I6139" s="1245"/>
    </row>
    <row r="6140" spans="8:9">
      <c r="H6140" s="1245"/>
      <c r="I6140" s="1245"/>
    </row>
    <row r="6141" spans="8:9">
      <c r="H6141" s="1245"/>
      <c r="I6141" s="1245"/>
    </row>
    <row r="6142" spans="8:9">
      <c r="H6142" s="1245"/>
      <c r="I6142" s="1245"/>
    </row>
    <row r="6143" spans="8:9">
      <c r="H6143" s="1245"/>
      <c r="I6143" s="1245"/>
    </row>
    <row r="6144" spans="8:9">
      <c r="H6144" s="1245"/>
      <c r="I6144" s="1245"/>
    </row>
    <row r="6145" spans="8:9">
      <c r="H6145" s="1245"/>
      <c r="I6145" s="1245"/>
    </row>
    <row r="6146" spans="8:9">
      <c r="H6146" s="1245"/>
      <c r="I6146" s="1245"/>
    </row>
    <row r="6147" spans="8:9">
      <c r="H6147" s="1245"/>
      <c r="I6147" s="1245"/>
    </row>
    <row r="6148" spans="8:9">
      <c r="H6148" s="1245"/>
      <c r="I6148" s="1245"/>
    </row>
    <row r="6149" spans="8:9">
      <c r="H6149" s="1245"/>
      <c r="I6149" s="1245"/>
    </row>
    <row r="6150" spans="8:9">
      <c r="H6150" s="1245"/>
      <c r="I6150" s="1245"/>
    </row>
    <row r="6151" spans="8:9">
      <c r="H6151" s="1245"/>
      <c r="I6151" s="1245"/>
    </row>
    <row r="6152" spans="8:9">
      <c r="H6152" s="1245"/>
      <c r="I6152" s="1245"/>
    </row>
    <row r="6153" spans="8:9">
      <c r="H6153" s="1245"/>
      <c r="I6153" s="1245"/>
    </row>
    <row r="6154" spans="8:9">
      <c r="H6154" s="1245"/>
      <c r="I6154" s="1245"/>
    </row>
    <row r="6155" spans="8:9">
      <c r="H6155" s="1245"/>
      <c r="I6155" s="1245"/>
    </row>
    <row r="6156" spans="8:9">
      <c r="H6156" s="1245"/>
      <c r="I6156" s="1245"/>
    </row>
    <row r="6157" spans="8:9">
      <c r="H6157" s="1245"/>
      <c r="I6157" s="1245"/>
    </row>
    <row r="6158" spans="8:9">
      <c r="H6158" s="1245"/>
      <c r="I6158" s="1245"/>
    </row>
    <row r="6159" spans="8:9">
      <c r="H6159" s="1245"/>
      <c r="I6159" s="1245"/>
    </row>
    <row r="6160" spans="8:9">
      <c r="H6160" s="1245"/>
      <c r="I6160" s="1245"/>
    </row>
    <row r="6161" spans="8:9">
      <c r="H6161" s="1245"/>
      <c r="I6161" s="1245"/>
    </row>
    <row r="6162" spans="8:9">
      <c r="H6162" s="1245"/>
      <c r="I6162" s="1245"/>
    </row>
    <row r="6163" spans="8:9">
      <c r="H6163" s="1245"/>
      <c r="I6163" s="1245"/>
    </row>
    <row r="6164" spans="8:9">
      <c r="H6164" s="1245"/>
      <c r="I6164" s="1245"/>
    </row>
    <row r="6165" spans="8:9">
      <c r="H6165" s="1245"/>
      <c r="I6165" s="1245"/>
    </row>
    <row r="6166" spans="8:9">
      <c r="H6166" s="1245"/>
      <c r="I6166" s="1245"/>
    </row>
    <row r="6167" spans="8:9">
      <c r="H6167" s="1245"/>
      <c r="I6167" s="1245"/>
    </row>
    <row r="6168" spans="8:9">
      <c r="H6168" s="1245"/>
      <c r="I6168" s="1245"/>
    </row>
    <row r="6169" spans="8:9">
      <c r="H6169" s="1245"/>
      <c r="I6169" s="1245"/>
    </row>
    <row r="6170" spans="8:9">
      <c r="H6170" s="1245"/>
      <c r="I6170" s="1245"/>
    </row>
    <row r="6171" spans="8:9">
      <c r="H6171" s="1245"/>
      <c r="I6171" s="1245"/>
    </row>
    <row r="6172" spans="8:9">
      <c r="H6172" s="1245"/>
      <c r="I6172" s="1245"/>
    </row>
    <row r="6173" spans="8:9">
      <c r="H6173" s="1245"/>
      <c r="I6173" s="1245"/>
    </row>
    <row r="6174" spans="8:9">
      <c r="H6174" s="1245"/>
      <c r="I6174" s="1245"/>
    </row>
    <row r="6175" spans="8:9">
      <c r="H6175" s="1245"/>
      <c r="I6175" s="1245"/>
    </row>
    <row r="6176" spans="8:9">
      <c r="H6176" s="1245"/>
      <c r="I6176" s="1245"/>
    </row>
    <row r="6177" spans="8:9">
      <c r="H6177" s="1245"/>
      <c r="I6177" s="1245"/>
    </row>
    <row r="6178" spans="8:9">
      <c r="H6178" s="1245"/>
      <c r="I6178" s="1245"/>
    </row>
    <row r="6179" spans="8:9">
      <c r="H6179" s="1245"/>
      <c r="I6179" s="1245"/>
    </row>
    <row r="6180" spans="8:9">
      <c r="H6180" s="1245"/>
      <c r="I6180" s="1245"/>
    </row>
    <row r="6181" spans="8:9">
      <c r="H6181" s="1245"/>
      <c r="I6181" s="1245"/>
    </row>
    <row r="6182" spans="8:9">
      <c r="H6182" s="1245"/>
      <c r="I6182" s="1245"/>
    </row>
    <row r="6183" spans="8:9">
      <c r="H6183" s="1245"/>
      <c r="I6183" s="1245"/>
    </row>
    <row r="6184" spans="8:9">
      <c r="H6184" s="1245"/>
      <c r="I6184" s="1245"/>
    </row>
    <row r="6185" spans="8:9">
      <c r="H6185" s="1245"/>
      <c r="I6185" s="1245"/>
    </row>
    <row r="6186" spans="8:9">
      <c r="H6186" s="1245"/>
      <c r="I6186" s="1245"/>
    </row>
    <row r="6187" spans="8:9">
      <c r="H6187" s="1245"/>
      <c r="I6187" s="1245"/>
    </row>
    <row r="6188" spans="8:9">
      <c r="H6188" s="1245"/>
      <c r="I6188" s="1245"/>
    </row>
    <row r="6189" spans="8:9">
      <c r="H6189" s="1245"/>
      <c r="I6189" s="1245"/>
    </row>
    <row r="6190" spans="8:9">
      <c r="H6190" s="1245"/>
      <c r="I6190" s="1245"/>
    </row>
    <row r="6191" spans="8:9">
      <c r="H6191" s="1245"/>
      <c r="I6191" s="1245"/>
    </row>
    <row r="6192" spans="8:9">
      <c r="H6192" s="1245"/>
      <c r="I6192" s="1245"/>
    </row>
    <row r="6193" spans="8:9">
      <c r="H6193" s="1245"/>
      <c r="I6193" s="1245"/>
    </row>
    <row r="6194" spans="8:9">
      <c r="H6194" s="1245"/>
      <c r="I6194" s="1245"/>
    </row>
    <row r="6195" spans="8:9">
      <c r="H6195" s="1245"/>
      <c r="I6195" s="1245"/>
    </row>
    <row r="6196" spans="8:9">
      <c r="H6196" s="1245"/>
      <c r="I6196" s="1245"/>
    </row>
    <row r="6197" spans="8:9">
      <c r="H6197" s="1245"/>
      <c r="I6197" s="1245"/>
    </row>
    <row r="6198" spans="8:9">
      <c r="H6198" s="1245"/>
      <c r="I6198" s="1245"/>
    </row>
    <row r="6199" spans="8:9">
      <c r="H6199" s="1245"/>
      <c r="I6199" s="1245"/>
    </row>
    <row r="6200" spans="8:9">
      <c r="H6200" s="1245"/>
      <c r="I6200" s="1245"/>
    </row>
    <row r="6201" spans="8:9">
      <c r="H6201" s="1245"/>
      <c r="I6201" s="1245"/>
    </row>
    <row r="6202" spans="8:9">
      <c r="H6202" s="1245"/>
      <c r="I6202" s="1245"/>
    </row>
    <row r="6203" spans="8:9">
      <c r="H6203" s="1245"/>
      <c r="I6203" s="1245"/>
    </row>
    <row r="6204" spans="8:9">
      <c r="H6204" s="1245"/>
      <c r="I6204" s="1245"/>
    </row>
    <row r="6205" spans="8:9">
      <c r="H6205" s="1245"/>
      <c r="I6205" s="1245"/>
    </row>
    <row r="6206" spans="8:9">
      <c r="H6206" s="1245"/>
      <c r="I6206" s="1245"/>
    </row>
    <row r="6207" spans="8:9">
      <c r="H6207" s="1245"/>
      <c r="I6207" s="1245"/>
    </row>
    <row r="6208" spans="8:9">
      <c r="H6208" s="1245"/>
      <c r="I6208" s="1245"/>
    </row>
    <row r="6209" spans="8:9">
      <c r="H6209" s="1245"/>
      <c r="I6209" s="1245"/>
    </row>
    <row r="6210" spans="8:9">
      <c r="H6210" s="1245"/>
      <c r="I6210" s="1245"/>
    </row>
    <row r="6211" spans="8:9">
      <c r="H6211" s="1245"/>
      <c r="I6211" s="1245"/>
    </row>
    <row r="6212" spans="8:9">
      <c r="H6212" s="1245"/>
      <c r="I6212" s="1245"/>
    </row>
    <row r="6213" spans="8:9">
      <c r="H6213" s="1245"/>
      <c r="I6213" s="1245"/>
    </row>
    <row r="6214" spans="8:9">
      <c r="H6214" s="1245"/>
      <c r="I6214" s="1245"/>
    </row>
    <row r="6215" spans="8:9">
      <c r="H6215" s="1245"/>
      <c r="I6215" s="1245"/>
    </row>
    <row r="6216" spans="8:9">
      <c r="H6216" s="1245"/>
      <c r="I6216" s="1245"/>
    </row>
    <row r="6217" spans="8:9">
      <c r="H6217" s="1245"/>
      <c r="I6217" s="1245"/>
    </row>
    <row r="6218" spans="8:9">
      <c r="H6218" s="1245"/>
      <c r="I6218" s="1245"/>
    </row>
    <row r="6219" spans="8:9">
      <c r="H6219" s="1245"/>
      <c r="I6219" s="1245"/>
    </row>
    <row r="6220" spans="8:9">
      <c r="H6220" s="1245"/>
      <c r="I6220" s="1245"/>
    </row>
    <row r="6221" spans="8:9">
      <c r="H6221" s="1245"/>
      <c r="I6221" s="1245"/>
    </row>
    <row r="6222" spans="8:9">
      <c r="H6222" s="1245"/>
      <c r="I6222" s="1245"/>
    </row>
    <row r="6223" spans="8:9">
      <c r="H6223" s="1245"/>
      <c r="I6223" s="1245"/>
    </row>
    <row r="6224" spans="8:9">
      <c r="H6224" s="1245"/>
      <c r="I6224" s="1245"/>
    </row>
    <row r="6225" spans="8:9">
      <c r="H6225" s="1245"/>
      <c r="I6225" s="1245"/>
    </row>
    <row r="6226" spans="8:9">
      <c r="H6226" s="1245"/>
      <c r="I6226" s="1245"/>
    </row>
    <row r="6227" spans="8:9">
      <c r="H6227" s="1245"/>
      <c r="I6227" s="1245"/>
    </row>
    <row r="6228" spans="8:9">
      <c r="H6228" s="1245"/>
      <c r="I6228" s="1245"/>
    </row>
    <row r="6229" spans="8:9">
      <c r="H6229" s="1245"/>
      <c r="I6229" s="1245"/>
    </row>
    <row r="6230" spans="8:9">
      <c r="H6230" s="1245"/>
      <c r="I6230" s="1245"/>
    </row>
    <row r="6231" spans="8:9">
      <c r="H6231" s="1245"/>
      <c r="I6231" s="1245"/>
    </row>
    <row r="6232" spans="8:9">
      <c r="H6232" s="1245"/>
      <c r="I6232" s="1245"/>
    </row>
    <row r="6233" spans="8:9">
      <c r="H6233" s="1245"/>
      <c r="I6233" s="1245"/>
    </row>
    <row r="6234" spans="8:9">
      <c r="H6234" s="1245"/>
      <c r="I6234" s="1245"/>
    </row>
    <row r="6235" spans="8:9">
      <c r="H6235" s="1245"/>
      <c r="I6235" s="1245"/>
    </row>
    <row r="6236" spans="8:9">
      <c r="H6236" s="1245"/>
      <c r="I6236" s="1245"/>
    </row>
    <row r="6237" spans="8:9">
      <c r="H6237" s="1245"/>
      <c r="I6237" s="1245"/>
    </row>
    <row r="6238" spans="8:9">
      <c r="H6238" s="1245"/>
      <c r="I6238" s="1245"/>
    </row>
    <row r="6239" spans="8:9">
      <c r="H6239" s="1245"/>
      <c r="I6239" s="1245"/>
    </row>
    <row r="6240" spans="8:9">
      <c r="H6240" s="1245"/>
      <c r="I6240" s="1245"/>
    </row>
    <row r="6241" spans="8:9">
      <c r="H6241" s="1245"/>
      <c r="I6241" s="1245"/>
    </row>
    <row r="6242" spans="8:9">
      <c r="H6242" s="1245"/>
      <c r="I6242" s="1245"/>
    </row>
    <row r="6243" spans="8:9">
      <c r="H6243" s="1245"/>
      <c r="I6243" s="1245"/>
    </row>
    <row r="6244" spans="8:9">
      <c r="H6244" s="1245"/>
      <c r="I6244" s="1245"/>
    </row>
    <row r="6245" spans="8:9">
      <c r="H6245" s="1245"/>
      <c r="I6245" s="1245"/>
    </row>
    <row r="6246" spans="8:9">
      <c r="H6246" s="1245"/>
      <c r="I6246" s="1245"/>
    </row>
    <row r="6247" spans="8:9">
      <c r="H6247" s="1245"/>
      <c r="I6247" s="1245"/>
    </row>
    <row r="6248" spans="8:9">
      <c r="H6248" s="1245"/>
      <c r="I6248" s="1245"/>
    </row>
    <row r="6249" spans="8:9">
      <c r="H6249" s="1245"/>
      <c r="I6249" s="1245"/>
    </row>
    <row r="6250" spans="8:9">
      <c r="H6250" s="1245"/>
      <c r="I6250" s="1245"/>
    </row>
    <row r="6251" spans="8:9">
      <c r="H6251" s="1245"/>
      <c r="I6251" s="1245"/>
    </row>
    <row r="6252" spans="8:9">
      <c r="H6252" s="1245"/>
      <c r="I6252" s="1245"/>
    </row>
    <row r="6253" spans="8:9">
      <c r="H6253" s="1245"/>
      <c r="I6253" s="1245"/>
    </row>
    <row r="6254" spans="8:9">
      <c r="H6254" s="1245"/>
      <c r="I6254" s="1245"/>
    </row>
    <row r="6255" spans="8:9">
      <c r="H6255" s="1245"/>
      <c r="I6255" s="1245"/>
    </row>
    <row r="6256" spans="8:9">
      <c r="H6256" s="1245"/>
      <c r="I6256" s="1245"/>
    </row>
    <row r="6257" spans="8:9">
      <c r="H6257" s="1245"/>
      <c r="I6257" s="1245"/>
    </row>
    <row r="6258" spans="8:9">
      <c r="H6258" s="1245"/>
      <c r="I6258" s="1245"/>
    </row>
    <row r="6259" spans="8:9">
      <c r="H6259" s="1245"/>
      <c r="I6259" s="1245"/>
    </row>
    <row r="6260" spans="8:9">
      <c r="H6260" s="1245"/>
      <c r="I6260" s="1245"/>
    </row>
    <row r="6261" spans="8:9">
      <c r="H6261" s="1245"/>
      <c r="I6261" s="1245"/>
    </row>
    <row r="6262" spans="8:9">
      <c r="H6262" s="1245"/>
      <c r="I6262" s="1245"/>
    </row>
    <row r="6263" spans="8:9">
      <c r="H6263" s="1245"/>
      <c r="I6263" s="1245"/>
    </row>
    <row r="6264" spans="8:9">
      <c r="H6264" s="1245"/>
      <c r="I6264" s="1245"/>
    </row>
    <row r="6265" spans="8:9">
      <c r="H6265" s="1245"/>
      <c r="I6265" s="1245"/>
    </row>
    <row r="6266" spans="8:9">
      <c r="H6266" s="1245"/>
      <c r="I6266" s="1245"/>
    </row>
    <row r="6267" spans="8:9">
      <c r="H6267" s="1245"/>
      <c r="I6267" s="1245"/>
    </row>
    <row r="6268" spans="8:9">
      <c r="H6268" s="1245"/>
      <c r="I6268" s="1245"/>
    </row>
    <row r="6269" spans="8:9">
      <c r="H6269" s="1245"/>
      <c r="I6269" s="1245"/>
    </row>
    <row r="6270" spans="8:9">
      <c r="H6270" s="1245"/>
      <c r="I6270" s="1245"/>
    </row>
    <row r="6271" spans="8:9">
      <c r="H6271" s="1245"/>
      <c r="I6271" s="1245"/>
    </row>
    <row r="6272" spans="8:9">
      <c r="H6272" s="1245"/>
      <c r="I6272" s="1245"/>
    </row>
    <row r="6273" spans="8:9">
      <c r="H6273" s="1245"/>
      <c r="I6273" s="1245"/>
    </row>
    <row r="6274" spans="8:9">
      <c r="H6274" s="1245"/>
      <c r="I6274" s="1245"/>
    </row>
    <row r="6275" spans="8:9">
      <c r="H6275" s="1245"/>
      <c r="I6275" s="1245"/>
    </row>
    <row r="6276" spans="8:9">
      <c r="H6276" s="1245"/>
      <c r="I6276" s="1245"/>
    </row>
    <row r="6277" spans="8:9">
      <c r="H6277" s="1245"/>
      <c r="I6277" s="1245"/>
    </row>
    <row r="6278" spans="8:9">
      <c r="H6278" s="1245"/>
      <c r="I6278" s="1245"/>
    </row>
    <row r="6279" spans="8:9">
      <c r="H6279" s="1245"/>
      <c r="I6279" s="1245"/>
    </row>
    <row r="6280" spans="8:9">
      <c r="H6280" s="1245"/>
      <c r="I6280" s="1245"/>
    </row>
    <row r="6281" spans="8:9">
      <c r="H6281" s="1245"/>
      <c r="I6281" s="1245"/>
    </row>
    <row r="6282" spans="8:9">
      <c r="H6282" s="1245"/>
      <c r="I6282" s="1245"/>
    </row>
    <row r="6283" spans="8:9">
      <c r="H6283" s="1245"/>
      <c r="I6283" s="1245"/>
    </row>
    <row r="6284" spans="8:9">
      <c r="H6284" s="1245"/>
      <c r="I6284" s="1245"/>
    </row>
    <row r="6285" spans="8:9">
      <c r="H6285" s="1245"/>
      <c r="I6285" s="1245"/>
    </row>
    <row r="6286" spans="8:9">
      <c r="H6286" s="1245"/>
      <c r="I6286" s="1245"/>
    </row>
    <row r="6287" spans="8:9">
      <c r="H6287" s="1245"/>
      <c r="I6287" s="1245"/>
    </row>
    <row r="6288" spans="8:9">
      <c r="H6288" s="1245"/>
      <c r="I6288" s="1245"/>
    </row>
    <row r="6289" spans="8:9">
      <c r="H6289" s="1245"/>
      <c r="I6289" s="1245"/>
    </row>
    <row r="6290" spans="8:9">
      <c r="H6290" s="1245"/>
      <c r="I6290" s="1245"/>
    </row>
    <row r="6291" spans="8:9">
      <c r="H6291" s="1245"/>
      <c r="I6291" s="1245"/>
    </row>
    <row r="6292" spans="8:9">
      <c r="H6292" s="1245"/>
      <c r="I6292" s="1245"/>
    </row>
    <row r="6293" spans="8:9">
      <c r="H6293" s="1245"/>
      <c r="I6293" s="1245"/>
    </row>
    <row r="6294" spans="8:9">
      <c r="H6294" s="1245"/>
      <c r="I6294" s="1245"/>
    </row>
    <row r="6295" spans="8:9">
      <c r="H6295" s="1245"/>
      <c r="I6295" s="1245"/>
    </row>
    <row r="6296" spans="8:9">
      <c r="H6296" s="1245"/>
      <c r="I6296" s="1245"/>
    </row>
    <row r="6297" spans="8:9">
      <c r="H6297" s="1245"/>
      <c r="I6297" s="1245"/>
    </row>
    <row r="6298" spans="8:9">
      <c r="H6298" s="1245"/>
      <c r="I6298" s="1245"/>
    </row>
    <row r="6299" spans="8:9">
      <c r="H6299" s="1245"/>
      <c r="I6299" s="1245"/>
    </row>
    <row r="6300" spans="8:9">
      <c r="H6300" s="1245"/>
      <c r="I6300" s="1245"/>
    </row>
    <row r="6301" spans="8:9">
      <c r="H6301" s="1245"/>
      <c r="I6301" s="1245"/>
    </row>
    <row r="6302" spans="8:9">
      <c r="H6302" s="1245"/>
      <c r="I6302" s="1245"/>
    </row>
    <row r="6303" spans="8:9">
      <c r="H6303" s="1245"/>
      <c r="I6303" s="1245"/>
    </row>
    <row r="6304" spans="8:9">
      <c r="H6304" s="1245"/>
      <c r="I6304" s="1245"/>
    </row>
    <row r="6305" spans="8:9">
      <c r="H6305" s="1245"/>
      <c r="I6305" s="1245"/>
    </row>
    <row r="6306" spans="8:9">
      <c r="H6306" s="1245"/>
      <c r="I6306" s="1245"/>
    </row>
    <row r="6307" spans="8:9">
      <c r="H6307" s="1245"/>
      <c r="I6307" s="1245"/>
    </row>
    <row r="6308" spans="8:9">
      <c r="H6308" s="1245"/>
      <c r="I6308" s="1245"/>
    </row>
    <row r="6309" spans="8:9">
      <c r="H6309" s="1245"/>
      <c r="I6309" s="1245"/>
    </row>
    <row r="6310" spans="8:9">
      <c r="H6310" s="1245"/>
      <c r="I6310" s="1245"/>
    </row>
    <row r="6311" spans="8:9">
      <c r="H6311" s="1245"/>
      <c r="I6311" s="1245"/>
    </row>
    <row r="6312" spans="8:9">
      <c r="H6312" s="1245"/>
      <c r="I6312" s="1245"/>
    </row>
    <row r="6313" spans="8:9">
      <c r="H6313" s="1245"/>
      <c r="I6313" s="1245"/>
    </row>
    <row r="6314" spans="8:9">
      <c r="H6314" s="1245"/>
      <c r="I6314" s="1245"/>
    </row>
    <row r="6315" spans="8:9">
      <c r="H6315" s="1245"/>
      <c r="I6315" s="1245"/>
    </row>
    <row r="6316" spans="8:9">
      <c r="H6316" s="1245"/>
      <c r="I6316" s="1245"/>
    </row>
    <row r="6317" spans="8:9">
      <c r="H6317" s="1245"/>
      <c r="I6317" s="1245"/>
    </row>
    <row r="6318" spans="8:9">
      <c r="H6318" s="1245"/>
      <c r="I6318" s="1245"/>
    </row>
    <row r="6319" spans="8:9">
      <c r="H6319" s="1245"/>
      <c r="I6319" s="1245"/>
    </row>
    <row r="6320" spans="8:9">
      <c r="H6320" s="1245"/>
      <c r="I6320" s="1245"/>
    </row>
    <row r="6321" spans="8:9">
      <c r="H6321" s="1245"/>
      <c r="I6321" s="1245"/>
    </row>
    <row r="6322" spans="8:9">
      <c r="H6322" s="1245"/>
      <c r="I6322" s="1245"/>
    </row>
    <row r="6323" spans="8:9">
      <c r="H6323" s="1245"/>
      <c r="I6323" s="1245"/>
    </row>
    <row r="6324" spans="8:9">
      <c r="H6324" s="1245"/>
      <c r="I6324" s="1245"/>
    </row>
    <row r="6325" spans="8:9">
      <c r="H6325" s="1245"/>
      <c r="I6325" s="1245"/>
    </row>
    <row r="6326" spans="8:9">
      <c r="H6326" s="1245"/>
      <c r="I6326" s="1245"/>
    </row>
    <row r="6327" spans="8:9">
      <c r="H6327" s="1245"/>
      <c r="I6327" s="1245"/>
    </row>
    <row r="6328" spans="8:9">
      <c r="H6328" s="1245"/>
      <c r="I6328" s="1245"/>
    </row>
    <row r="6329" spans="8:9">
      <c r="H6329" s="1245"/>
      <c r="I6329" s="1245"/>
    </row>
    <row r="6330" spans="8:9">
      <c r="H6330" s="1245"/>
      <c r="I6330" s="1245"/>
    </row>
    <row r="6331" spans="8:9">
      <c r="H6331" s="1245"/>
      <c r="I6331" s="1245"/>
    </row>
    <row r="6332" spans="8:9">
      <c r="H6332" s="1245"/>
      <c r="I6332" s="1245"/>
    </row>
    <row r="6333" spans="8:9">
      <c r="H6333" s="1245"/>
      <c r="I6333" s="1245"/>
    </row>
    <row r="6334" spans="8:9">
      <c r="H6334" s="1245"/>
      <c r="I6334" s="1245"/>
    </row>
    <row r="6335" spans="8:9">
      <c r="H6335" s="1245"/>
      <c r="I6335" s="1245"/>
    </row>
    <row r="6336" spans="8:9">
      <c r="H6336" s="1245"/>
      <c r="I6336" s="1245"/>
    </row>
    <row r="6337" spans="8:9">
      <c r="H6337" s="1245"/>
      <c r="I6337" s="1245"/>
    </row>
    <row r="6338" spans="8:9">
      <c r="H6338" s="1245"/>
      <c r="I6338" s="1245"/>
    </row>
    <row r="6339" spans="8:9">
      <c r="H6339" s="1245"/>
      <c r="I6339" s="1245"/>
    </row>
    <row r="6340" spans="8:9">
      <c r="H6340" s="1245"/>
      <c r="I6340" s="1245"/>
    </row>
    <row r="6341" spans="8:9">
      <c r="H6341" s="1245"/>
      <c r="I6341" s="1245"/>
    </row>
    <row r="6342" spans="8:9">
      <c r="H6342" s="1245"/>
      <c r="I6342" s="1245"/>
    </row>
    <row r="6343" spans="8:9">
      <c r="H6343" s="1245"/>
      <c r="I6343" s="1245"/>
    </row>
    <row r="6344" spans="8:9">
      <c r="H6344" s="1245"/>
      <c r="I6344" s="1245"/>
    </row>
    <row r="6345" spans="8:9">
      <c r="H6345" s="1245"/>
      <c r="I6345" s="1245"/>
    </row>
    <row r="6346" spans="8:9">
      <c r="H6346" s="1245"/>
      <c r="I6346" s="1245"/>
    </row>
    <row r="6347" spans="8:9">
      <c r="H6347" s="1245"/>
      <c r="I6347" s="1245"/>
    </row>
    <row r="6348" spans="8:9">
      <c r="H6348" s="1245"/>
      <c r="I6348" s="1245"/>
    </row>
    <row r="6349" spans="8:9">
      <c r="H6349" s="1245"/>
      <c r="I6349" s="1245"/>
    </row>
    <row r="6350" spans="8:9">
      <c r="H6350" s="1245"/>
      <c r="I6350" s="1245"/>
    </row>
    <row r="6351" spans="8:9">
      <c r="H6351" s="1245"/>
      <c r="I6351" s="1245"/>
    </row>
    <row r="6352" spans="8:9">
      <c r="H6352" s="1245"/>
      <c r="I6352" s="1245"/>
    </row>
    <row r="6353" spans="8:9">
      <c r="H6353" s="1245"/>
      <c r="I6353" s="1245"/>
    </row>
    <row r="6354" spans="8:9">
      <c r="H6354" s="1245"/>
      <c r="I6354" s="1245"/>
    </row>
    <row r="6355" spans="8:9">
      <c r="H6355" s="1245"/>
      <c r="I6355" s="1245"/>
    </row>
    <row r="6356" spans="8:9">
      <c r="H6356" s="1245"/>
      <c r="I6356" s="1245"/>
    </row>
    <row r="6357" spans="8:9">
      <c r="H6357" s="1245"/>
      <c r="I6357" s="1245"/>
    </row>
    <row r="6358" spans="8:9">
      <c r="H6358" s="1245"/>
      <c r="I6358" s="1245"/>
    </row>
    <row r="6359" spans="8:9">
      <c r="H6359" s="1245"/>
      <c r="I6359" s="1245"/>
    </row>
    <row r="6360" spans="8:9">
      <c r="H6360" s="1245"/>
      <c r="I6360" s="1245"/>
    </row>
    <row r="6361" spans="8:9">
      <c r="H6361" s="1245"/>
      <c r="I6361" s="1245"/>
    </row>
    <row r="6362" spans="8:9">
      <c r="H6362" s="1245"/>
      <c r="I6362" s="1245"/>
    </row>
    <row r="6363" spans="8:9">
      <c r="H6363" s="1245"/>
      <c r="I6363" s="1245"/>
    </row>
    <row r="6364" spans="8:9">
      <c r="H6364" s="1245"/>
      <c r="I6364" s="1245"/>
    </row>
    <row r="6365" spans="8:9">
      <c r="H6365" s="1245"/>
      <c r="I6365" s="1245"/>
    </row>
    <row r="6366" spans="8:9">
      <c r="H6366" s="1245"/>
      <c r="I6366" s="1245"/>
    </row>
    <row r="6367" spans="8:9">
      <c r="H6367" s="1245"/>
      <c r="I6367" s="1245"/>
    </row>
    <row r="6368" spans="8:9">
      <c r="H6368" s="1245"/>
      <c r="I6368" s="1245"/>
    </row>
    <row r="6369" spans="8:9">
      <c r="H6369" s="1245"/>
      <c r="I6369" s="1245"/>
    </row>
    <row r="6370" spans="8:9">
      <c r="H6370" s="1245"/>
      <c r="I6370" s="1245"/>
    </row>
    <row r="6371" spans="8:9">
      <c r="H6371" s="1245"/>
      <c r="I6371" s="1245"/>
    </row>
    <row r="6372" spans="8:9">
      <c r="H6372" s="1245"/>
      <c r="I6372" s="1245"/>
    </row>
    <row r="6373" spans="8:9">
      <c r="H6373" s="1245"/>
      <c r="I6373" s="1245"/>
    </row>
    <row r="6374" spans="8:9">
      <c r="H6374" s="1245"/>
      <c r="I6374" s="1245"/>
    </row>
    <row r="6375" spans="8:9">
      <c r="H6375" s="1245"/>
      <c r="I6375" s="1245"/>
    </row>
    <row r="6376" spans="8:9">
      <c r="H6376" s="1245"/>
      <c r="I6376" s="1245"/>
    </row>
    <row r="6377" spans="8:9">
      <c r="H6377" s="1245"/>
      <c r="I6377" s="1245"/>
    </row>
    <row r="6378" spans="8:9">
      <c r="H6378" s="1245"/>
      <c r="I6378" s="1245"/>
    </row>
    <row r="6379" spans="8:9">
      <c r="H6379" s="1245"/>
      <c r="I6379" s="1245"/>
    </row>
    <row r="6380" spans="8:9">
      <c r="H6380" s="1245"/>
      <c r="I6380" s="1245"/>
    </row>
    <row r="6381" spans="8:9">
      <c r="H6381" s="1245"/>
      <c r="I6381" s="1245"/>
    </row>
    <row r="6382" spans="8:9">
      <c r="H6382" s="1245"/>
      <c r="I6382" s="1245"/>
    </row>
    <row r="6383" spans="8:9">
      <c r="H6383" s="1245"/>
      <c r="I6383" s="1245"/>
    </row>
    <row r="6384" spans="8:9">
      <c r="H6384" s="1245"/>
      <c r="I6384" s="1245"/>
    </row>
    <row r="6385" spans="8:9">
      <c r="H6385" s="1245"/>
      <c r="I6385" s="1245"/>
    </row>
    <row r="6386" spans="8:9">
      <c r="H6386" s="1245"/>
      <c r="I6386" s="1245"/>
    </row>
    <row r="6387" spans="8:9">
      <c r="H6387" s="1245"/>
      <c r="I6387" s="1245"/>
    </row>
    <row r="6388" spans="8:9">
      <c r="H6388" s="1245"/>
      <c r="I6388" s="1245"/>
    </row>
    <row r="6389" spans="8:9">
      <c r="H6389" s="1245"/>
      <c r="I6389" s="1245"/>
    </row>
    <row r="6390" spans="8:9">
      <c r="H6390" s="1245"/>
      <c r="I6390" s="1245"/>
    </row>
    <row r="6391" spans="8:9">
      <c r="H6391" s="1245"/>
      <c r="I6391" s="1245"/>
    </row>
    <row r="6392" spans="8:9">
      <c r="H6392" s="1245"/>
      <c r="I6392" s="1245"/>
    </row>
    <row r="6393" spans="8:9">
      <c r="H6393" s="1245"/>
      <c r="I6393" s="1245"/>
    </row>
    <row r="6394" spans="8:9">
      <c r="H6394" s="1245"/>
      <c r="I6394" s="1245"/>
    </row>
    <row r="6395" spans="8:9">
      <c r="H6395" s="1245"/>
      <c r="I6395" s="1245"/>
    </row>
    <row r="6396" spans="8:9">
      <c r="H6396" s="1245"/>
      <c r="I6396" s="1245"/>
    </row>
    <row r="6397" spans="8:9">
      <c r="H6397" s="1245"/>
      <c r="I6397" s="1245"/>
    </row>
    <row r="6398" spans="8:9">
      <c r="H6398" s="1245"/>
      <c r="I6398" s="1245"/>
    </row>
    <row r="6399" spans="8:9">
      <c r="H6399" s="1245"/>
      <c r="I6399" s="1245"/>
    </row>
    <row r="6400" spans="8:9">
      <c r="H6400" s="1245"/>
      <c r="I6400" s="1245"/>
    </row>
    <row r="6401" spans="8:9">
      <c r="H6401" s="1245"/>
      <c r="I6401" s="1245"/>
    </row>
    <row r="6402" spans="8:9">
      <c r="H6402" s="1245"/>
      <c r="I6402" s="1245"/>
    </row>
    <row r="6403" spans="8:9">
      <c r="H6403" s="1245"/>
      <c r="I6403" s="1245"/>
    </row>
    <row r="6404" spans="8:9">
      <c r="H6404" s="1245"/>
      <c r="I6404" s="1245"/>
    </row>
    <row r="6405" spans="8:9">
      <c r="H6405" s="1245"/>
      <c r="I6405" s="1245"/>
    </row>
    <row r="6406" spans="8:9">
      <c r="H6406" s="1245"/>
      <c r="I6406" s="1245"/>
    </row>
    <row r="6407" spans="8:9">
      <c r="H6407" s="1245"/>
      <c r="I6407" s="1245"/>
    </row>
    <row r="6408" spans="8:9">
      <c r="H6408" s="1245"/>
      <c r="I6408" s="1245"/>
    </row>
    <row r="6409" spans="8:9">
      <c r="H6409" s="1245"/>
      <c r="I6409" s="1245"/>
    </row>
    <row r="6410" spans="8:9">
      <c r="H6410" s="1245"/>
      <c r="I6410" s="1245"/>
    </row>
    <row r="6411" spans="8:9">
      <c r="H6411" s="1245"/>
      <c r="I6411" s="1245"/>
    </row>
    <row r="6412" spans="8:9">
      <c r="H6412" s="1245"/>
      <c r="I6412" s="1245"/>
    </row>
    <row r="6413" spans="8:9">
      <c r="H6413" s="1245"/>
      <c r="I6413" s="1245"/>
    </row>
    <row r="6414" spans="8:9">
      <c r="H6414" s="1245"/>
      <c r="I6414" s="1245"/>
    </row>
    <row r="6415" spans="8:9">
      <c r="H6415" s="1245"/>
      <c r="I6415" s="1245"/>
    </row>
    <row r="6416" spans="8:9">
      <c r="H6416" s="1245"/>
      <c r="I6416" s="1245"/>
    </row>
    <row r="6417" spans="8:9">
      <c r="H6417" s="1245"/>
      <c r="I6417" s="1245"/>
    </row>
    <row r="6418" spans="8:9">
      <c r="H6418" s="1245"/>
      <c r="I6418" s="1245"/>
    </row>
    <row r="6419" spans="8:9">
      <c r="H6419" s="1245"/>
      <c r="I6419" s="1245"/>
    </row>
    <row r="6420" spans="8:9">
      <c r="H6420" s="1245"/>
      <c r="I6420" s="1245"/>
    </row>
    <row r="6421" spans="8:9">
      <c r="H6421" s="1245"/>
      <c r="I6421" s="1245"/>
    </row>
    <row r="6422" spans="8:9">
      <c r="H6422" s="1245"/>
      <c r="I6422" s="1245"/>
    </row>
    <row r="6423" spans="8:9">
      <c r="H6423" s="1245"/>
      <c r="I6423" s="1245"/>
    </row>
    <row r="6424" spans="8:9">
      <c r="H6424" s="1245"/>
      <c r="I6424" s="1245"/>
    </row>
    <row r="6425" spans="8:9">
      <c r="H6425" s="1245"/>
      <c r="I6425" s="1245"/>
    </row>
    <row r="6426" spans="8:9">
      <c r="H6426" s="1245"/>
      <c r="I6426" s="1245"/>
    </row>
    <row r="6427" spans="8:9">
      <c r="H6427" s="1245"/>
      <c r="I6427" s="1245"/>
    </row>
    <row r="6428" spans="8:9">
      <c r="H6428" s="1245"/>
      <c r="I6428" s="1245"/>
    </row>
    <row r="6429" spans="8:9">
      <c r="H6429" s="1245"/>
      <c r="I6429" s="1245"/>
    </row>
    <row r="6430" spans="8:9">
      <c r="H6430" s="1245"/>
      <c r="I6430" s="1245"/>
    </row>
    <row r="6431" spans="8:9">
      <c r="H6431" s="1245"/>
      <c r="I6431" s="1245"/>
    </row>
    <row r="6432" spans="8:9">
      <c r="H6432" s="1245"/>
      <c r="I6432" s="1245"/>
    </row>
    <row r="6433" spans="8:9">
      <c r="H6433" s="1245"/>
      <c r="I6433" s="1245"/>
    </row>
    <row r="6434" spans="8:9">
      <c r="H6434" s="1245"/>
      <c r="I6434" s="1245"/>
    </row>
    <row r="6435" spans="8:9">
      <c r="H6435" s="1245"/>
      <c r="I6435" s="1245"/>
    </row>
    <row r="6436" spans="8:9">
      <c r="H6436" s="1245"/>
      <c r="I6436" s="1245"/>
    </row>
    <row r="6437" spans="8:9">
      <c r="H6437" s="1245"/>
      <c r="I6437" s="1245"/>
    </row>
    <row r="6438" spans="8:9">
      <c r="H6438" s="1245"/>
      <c r="I6438" s="1245"/>
    </row>
    <row r="6439" spans="8:9">
      <c r="H6439" s="1245"/>
      <c r="I6439" s="1245"/>
    </row>
    <row r="6440" spans="8:9">
      <c r="H6440" s="1245"/>
      <c r="I6440" s="1245"/>
    </row>
    <row r="6441" spans="8:9">
      <c r="H6441" s="1245"/>
      <c r="I6441" s="1245"/>
    </row>
    <row r="6442" spans="8:9">
      <c r="H6442" s="1245"/>
      <c r="I6442" s="1245"/>
    </row>
    <row r="6443" spans="8:9">
      <c r="H6443" s="1245"/>
      <c r="I6443" s="1245"/>
    </row>
    <row r="6444" spans="8:9">
      <c r="H6444" s="1245"/>
      <c r="I6444" s="1245"/>
    </row>
    <row r="6445" spans="8:9">
      <c r="H6445" s="1245"/>
      <c r="I6445" s="1245"/>
    </row>
    <row r="6446" spans="8:9">
      <c r="H6446" s="1245"/>
      <c r="I6446" s="1245"/>
    </row>
    <row r="6447" spans="8:9">
      <c r="H6447" s="1245"/>
      <c r="I6447" s="1245"/>
    </row>
    <row r="6448" spans="8:9">
      <c r="H6448" s="1245"/>
      <c r="I6448" s="1245"/>
    </row>
    <row r="6449" spans="8:9">
      <c r="H6449" s="1245"/>
      <c r="I6449" s="1245"/>
    </row>
    <row r="6450" spans="8:9">
      <c r="H6450" s="1245"/>
      <c r="I6450" s="1245"/>
    </row>
    <row r="6451" spans="8:9">
      <c r="H6451" s="1245"/>
      <c r="I6451" s="1245"/>
    </row>
    <row r="6452" spans="8:9">
      <c r="H6452" s="1245"/>
      <c r="I6452" s="1245"/>
    </row>
    <row r="6453" spans="8:9">
      <c r="H6453" s="1245"/>
      <c r="I6453" s="1245"/>
    </row>
    <row r="6454" spans="8:9">
      <c r="H6454" s="1245"/>
      <c r="I6454" s="1245"/>
    </row>
    <row r="6455" spans="8:9">
      <c r="H6455" s="1245"/>
      <c r="I6455" s="1245"/>
    </row>
    <row r="6456" spans="8:9">
      <c r="H6456" s="1245"/>
      <c r="I6456" s="1245"/>
    </row>
    <row r="6457" spans="8:9">
      <c r="H6457" s="1245"/>
      <c r="I6457" s="1245"/>
    </row>
    <row r="6458" spans="8:9">
      <c r="H6458" s="1245"/>
      <c r="I6458" s="1245"/>
    </row>
    <row r="6459" spans="8:9">
      <c r="H6459" s="1245"/>
      <c r="I6459" s="1245"/>
    </row>
    <row r="6460" spans="8:9">
      <c r="H6460" s="1245"/>
      <c r="I6460" s="1245"/>
    </row>
    <row r="6461" spans="8:9">
      <c r="H6461" s="1245"/>
      <c r="I6461" s="1245"/>
    </row>
    <row r="6462" spans="8:9">
      <c r="H6462" s="1245"/>
      <c r="I6462" s="1245"/>
    </row>
    <row r="6463" spans="8:9">
      <c r="H6463" s="1245"/>
      <c r="I6463" s="1245"/>
    </row>
    <row r="6464" spans="8:9">
      <c r="H6464" s="1245"/>
      <c r="I6464" s="1245"/>
    </row>
    <row r="6465" spans="8:9">
      <c r="H6465" s="1245"/>
      <c r="I6465" s="1245"/>
    </row>
    <row r="6466" spans="8:9">
      <c r="H6466" s="1245"/>
      <c r="I6466" s="1245"/>
    </row>
    <row r="6467" spans="8:9">
      <c r="H6467" s="1245"/>
      <c r="I6467" s="1245"/>
    </row>
    <row r="6468" spans="8:9">
      <c r="H6468" s="1245"/>
      <c r="I6468" s="1245"/>
    </row>
    <row r="6469" spans="8:9">
      <c r="H6469" s="1245"/>
      <c r="I6469" s="1245"/>
    </row>
    <row r="6470" spans="8:9">
      <c r="H6470" s="1245"/>
      <c r="I6470" s="1245"/>
    </row>
    <row r="6471" spans="8:9">
      <c r="H6471" s="1245"/>
      <c r="I6471" s="1245"/>
    </row>
    <row r="6472" spans="8:9">
      <c r="H6472" s="1245"/>
      <c r="I6472" s="1245"/>
    </row>
    <row r="6473" spans="8:9">
      <c r="H6473" s="1245"/>
      <c r="I6473" s="1245"/>
    </row>
    <row r="6474" spans="8:9">
      <c r="H6474" s="1245"/>
      <c r="I6474" s="1245"/>
    </row>
    <row r="6475" spans="8:9">
      <c r="H6475" s="1245"/>
      <c r="I6475" s="1245"/>
    </row>
    <row r="6476" spans="8:9">
      <c r="H6476" s="1245"/>
      <c r="I6476" s="1245"/>
    </row>
    <row r="6477" spans="8:9">
      <c r="H6477" s="1245"/>
      <c r="I6477" s="1245"/>
    </row>
    <row r="6478" spans="8:9">
      <c r="H6478" s="1245"/>
      <c r="I6478" s="1245"/>
    </row>
    <row r="6479" spans="8:9">
      <c r="H6479" s="1245"/>
      <c r="I6479" s="1245"/>
    </row>
    <row r="6480" spans="8:9">
      <c r="H6480" s="1245"/>
      <c r="I6480" s="1245"/>
    </row>
    <row r="6481" spans="8:9">
      <c r="H6481" s="1245"/>
      <c r="I6481" s="1245"/>
    </row>
    <row r="6482" spans="8:9">
      <c r="H6482" s="1245"/>
      <c r="I6482" s="1245"/>
    </row>
    <row r="6483" spans="8:9">
      <c r="H6483" s="1245"/>
      <c r="I6483" s="1245"/>
    </row>
    <row r="6484" spans="8:9">
      <c r="H6484" s="1245"/>
      <c r="I6484" s="1245"/>
    </row>
    <row r="6485" spans="8:9">
      <c r="H6485" s="1245"/>
      <c r="I6485" s="1245"/>
    </row>
    <row r="6486" spans="8:9">
      <c r="H6486" s="1245"/>
      <c r="I6486" s="1245"/>
    </row>
    <row r="6487" spans="8:9">
      <c r="H6487" s="1245"/>
      <c r="I6487" s="1245"/>
    </row>
    <row r="6488" spans="8:9">
      <c r="H6488" s="1245"/>
      <c r="I6488" s="1245"/>
    </row>
    <row r="6489" spans="8:9">
      <c r="H6489" s="1245"/>
      <c r="I6489" s="1245"/>
    </row>
    <row r="6490" spans="8:9">
      <c r="H6490" s="1245"/>
      <c r="I6490" s="1245"/>
    </row>
    <row r="6491" spans="8:9">
      <c r="H6491" s="1245"/>
      <c r="I6491" s="1245"/>
    </row>
    <row r="6492" spans="8:9">
      <c r="H6492" s="1245"/>
      <c r="I6492" s="1245"/>
    </row>
    <row r="6493" spans="8:9">
      <c r="H6493" s="1245"/>
      <c r="I6493" s="1245"/>
    </row>
    <row r="6494" spans="8:9">
      <c r="H6494" s="1245"/>
      <c r="I6494" s="1245"/>
    </row>
    <row r="6495" spans="8:9">
      <c r="H6495" s="1245"/>
      <c r="I6495" s="1245"/>
    </row>
    <row r="6496" spans="8:9">
      <c r="H6496" s="1245"/>
      <c r="I6496" s="1245"/>
    </row>
    <row r="6497" spans="8:9">
      <c r="H6497" s="1245"/>
      <c r="I6497" s="1245"/>
    </row>
    <row r="6498" spans="8:9">
      <c r="H6498" s="1245"/>
      <c r="I6498" s="1245"/>
    </row>
    <row r="6499" spans="8:9">
      <c r="H6499" s="1245"/>
      <c r="I6499" s="1245"/>
    </row>
    <row r="6500" spans="8:9">
      <c r="H6500" s="1245"/>
      <c r="I6500" s="1245"/>
    </row>
    <row r="6501" spans="8:9">
      <c r="H6501" s="1245"/>
      <c r="I6501" s="1245"/>
    </row>
    <row r="6502" spans="8:9">
      <c r="H6502" s="1245"/>
      <c r="I6502" s="1245"/>
    </row>
    <row r="6503" spans="8:9">
      <c r="H6503" s="1245"/>
      <c r="I6503" s="1245"/>
    </row>
    <row r="6504" spans="8:9">
      <c r="H6504" s="1245"/>
      <c r="I6504" s="1245"/>
    </row>
    <row r="6505" spans="8:9">
      <c r="H6505" s="1245"/>
      <c r="I6505" s="1245"/>
    </row>
    <row r="6506" spans="8:9">
      <c r="H6506" s="1245"/>
      <c r="I6506" s="1245"/>
    </row>
    <row r="6507" spans="8:9">
      <c r="H6507" s="1245"/>
      <c r="I6507" s="1245"/>
    </row>
    <row r="6508" spans="8:9">
      <c r="H6508" s="1245"/>
      <c r="I6508" s="1245"/>
    </row>
    <row r="6509" spans="8:9">
      <c r="H6509" s="1245"/>
      <c r="I6509" s="1245"/>
    </row>
    <row r="6510" spans="8:9">
      <c r="H6510" s="1245"/>
      <c r="I6510" s="1245"/>
    </row>
    <row r="6511" spans="8:9">
      <c r="H6511" s="1245"/>
      <c r="I6511" s="1245"/>
    </row>
    <row r="6512" spans="8:9">
      <c r="H6512" s="1245"/>
      <c r="I6512" s="1245"/>
    </row>
    <row r="6513" spans="8:9">
      <c r="H6513" s="1245"/>
      <c r="I6513" s="1245"/>
    </row>
    <row r="6514" spans="8:9">
      <c r="H6514" s="1245"/>
      <c r="I6514" s="1245"/>
    </row>
    <row r="6515" spans="8:9">
      <c r="H6515" s="1245"/>
      <c r="I6515" s="1245"/>
    </row>
    <row r="6516" spans="8:9">
      <c r="H6516" s="1245"/>
      <c r="I6516" s="1245"/>
    </row>
    <row r="6517" spans="8:9">
      <c r="H6517" s="1245"/>
      <c r="I6517" s="1245"/>
    </row>
    <row r="6518" spans="8:9">
      <c r="H6518" s="1245"/>
      <c r="I6518" s="1245"/>
    </row>
    <row r="6519" spans="8:9">
      <c r="H6519" s="1245"/>
      <c r="I6519" s="1245"/>
    </row>
    <row r="6520" spans="8:9">
      <c r="H6520" s="1245"/>
      <c r="I6520" s="1245"/>
    </row>
    <row r="6521" spans="8:9">
      <c r="H6521" s="1245"/>
      <c r="I6521" s="1245"/>
    </row>
    <row r="6522" spans="8:9">
      <c r="H6522" s="1245"/>
      <c r="I6522" s="1245"/>
    </row>
    <row r="6523" spans="8:9">
      <c r="H6523" s="1245"/>
      <c r="I6523" s="1245"/>
    </row>
    <row r="6524" spans="8:9">
      <c r="H6524" s="1245"/>
      <c r="I6524" s="1245"/>
    </row>
    <row r="6525" spans="8:9">
      <c r="H6525" s="1245"/>
      <c r="I6525" s="1245"/>
    </row>
    <row r="6526" spans="8:9">
      <c r="H6526" s="1245"/>
      <c r="I6526" s="1245"/>
    </row>
    <row r="6527" spans="8:9">
      <c r="H6527" s="1245"/>
      <c r="I6527" s="1245"/>
    </row>
    <row r="6528" spans="8:9">
      <c r="H6528" s="1245"/>
      <c r="I6528" s="1245"/>
    </row>
    <row r="6529" spans="8:9">
      <c r="H6529" s="1245"/>
      <c r="I6529" s="1245"/>
    </row>
    <row r="6530" spans="8:9">
      <c r="H6530" s="1245"/>
      <c r="I6530" s="1245"/>
    </row>
    <row r="6531" spans="8:9">
      <c r="H6531" s="1245"/>
      <c r="I6531" s="1245"/>
    </row>
    <row r="6532" spans="8:9">
      <c r="H6532" s="1245"/>
      <c r="I6532" s="1245"/>
    </row>
    <row r="6533" spans="8:9">
      <c r="H6533" s="1245"/>
      <c r="I6533" s="1245"/>
    </row>
    <row r="6534" spans="8:9">
      <c r="H6534" s="1245"/>
      <c r="I6534" s="1245"/>
    </row>
    <row r="6535" spans="8:9">
      <c r="H6535" s="1245"/>
      <c r="I6535" s="1245"/>
    </row>
    <row r="6536" spans="8:9">
      <c r="H6536" s="1245"/>
      <c r="I6536" s="1245"/>
    </row>
    <row r="6537" spans="8:9">
      <c r="H6537" s="1245"/>
      <c r="I6537" s="1245"/>
    </row>
    <row r="6538" spans="8:9">
      <c r="H6538" s="1245"/>
      <c r="I6538" s="1245"/>
    </row>
    <row r="6539" spans="8:9">
      <c r="H6539" s="1245"/>
      <c r="I6539" s="1245"/>
    </row>
    <row r="6540" spans="8:9">
      <c r="H6540" s="1245"/>
      <c r="I6540" s="1245"/>
    </row>
    <row r="6541" spans="8:9">
      <c r="H6541" s="1245"/>
      <c r="I6541" s="1245"/>
    </row>
    <row r="6542" spans="8:9">
      <c r="H6542" s="1245"/>
      <c r="I6542" s="1245"/>
    </row>
    <row r="6543" spans="8:9">
      <c r="H6543" s="1245"/>
      <c r="I6543" s="1245"/>
    </row>
    <row r="6544" spans="8:9">
      <c r="H6544" s="1245"/>
      <c r="I6544" s="1245"/>
    </row>
    <row r="6545" spans="8:9">
      <c r="H6545" s="1245"/>
      <c r="I6545" s="1245"/>
    </row>
    <row r="6546" spans="8:9">
      <c r="H6546" s="1245"/>
      <c r="I6546" s="1245"/>
    </row>
    <row r="6547" spans="8:9">
      <c r="H6547" s="1245"/>
      <c r="I6547" s="1245"/>
    </row>
    <row r="6548" spans="8:9">
      <c r="H6548" s="1245"/>
      <c r="I6548" s="1245"/>
    </row>
    <row r="6549" spans="8:9">
      <c r="H6549" s="1245"/>
      <c r="I6549" s="1245"/>
    </row>
    <row r="6550" spans="8:9">
      <c r="H6550" s="1245"/>
      <c r="I6550" s="1245"/>
    </row>
    <row r="6551" spans="8:9">
      <c r="H6551" s="1245"/>
      <c r="I6551" s="1245"/>
    </row>
    <row r="6552" spans="8:9">
      <c r="H6552" s="1245"/>
      <c r="I6552" s="1245"/>
    </row>
    <row r="6553" spans="8:9">
      <c r="H6553" s="1245"/>
      <c r="I6553" s="1245"/>
    </row>
    <row r="6554" spans="8:9">
      <c r="H6554" s="1245"/>
      <c r="I6554" s="1245"/>
    </row>
    <row r="6555" spans="8:9">
      <c r="H6555" s="1245"/>
      <c r="I6555" s="1245"/>
    </row>
    <row r="6556" spans="8:9">
      <c r="H6556" s="1245"/>
      <c r="I6556" s="1245"/>
    </row>
    <row r="6557" spans="8:9">
      <c r="H6557" s="1245"/>
      <c r="I6557" s="1245"/>
    </row>
    <row r="6558" spans="8:9">
      <c r="H6558" s="1245"/>
      <c r="I6558" s="1245"/>
    </row>
    <row r="6559" spans="8:9">
      <c r="H6559" s="1245"/>
      <c r="I6559" s="1245"/>
    </row>
    <row r="6560" spans="8:9">
      <c r="H6560" s="1245"/>
      <c r="I6560" s="1245"/>
    </row>
    <row r="6561" spans="8:9">
      <c r="H6561" s="1245"/>
      <c r="I6561" s="1245"/>
    </row>
    <row r="6562" spans="8:9">
      <c r="H6562" s="1245"/>
      <c r="I6562" s="1245"/>
    </row>
    <row r="6563" spans="8:9">
      <c r="H6563" s="1245"/>
      <c r="I6563" s="1245"/>
    </row>
    <row r="6564" spans="8:9">
      <c r="H6564" s="1245"/>
      <c r="I6564" s="1245"/>
    </row>
    <row r="6565" spans="8:9">
      <c r="H6565" s="1245"/>
      <c r="I6565" s="1245"/>
    </row>
    <row r="6566" spans="8:9">
      <c r="H6566" s="1245"/>
      <c r="I6566" s="1245"/>
    </row>
    <row r="6567" spans="8:9">
      <c r="H6567" s="1245"/>
      <c r="I6567" s="1245"/>
    </row>
    <row r="6568" spans="8:9">
      <c r="H6568" s="1245"/>
      <c r="I6568" s="1245"/>
    </row>
    <row r="6569" spans="8:9">
      <c r="H6569" s="1245"/>
      <c r="I6569" s="1245"/>
    </row>
    <row r="6570" spans="8:9">
      <c r="H6570" s="1245"/>
      <c r="I6570" s="1245"/>
    </row>
    <row r="6571" spans="8:9">
      <c r="H6571" s="1245"/>
      <c r="I6571" s="1245"/>
    </row>
    <row r="6572" spans="8:9">
      <c r="H6572" s="1245"/>
      <c r="I6572" s="1245"/>
    </row>
    <row r="6573" spans="8:9">
      <c r="H6573" s="1245"/>
      <c r="I6573" s="1245"/>
    </row>
    <row r="6574" spans="8:9">
      <c r="H6574" s="1245"/>
      <c r="I6574" s="1245"/>
    </row>
    <row r="6575" spans="8:9">
      <c r="H6575" s="1245"/>
      <c r="I6575" s="1245"/>
    </row>
    <row r="6576" spans="8:9">
      <c r="H6576" s="1245"/>
      <c r="I6576" s="1245"/>
    </row>
    <row r="6577" spans="8:9">
      <c r="H6577" s="1245"/>
      <c r="I6577" s="1245"/>
    </row>
    <row r="6578" spans="8:9">
      <c r="H6578" s="1245"/>
      <c r="I6578" s="1245"/>
    </row>
    <row r="6579" spans="8:9">
      <c r="H6579" s="1245"/>
      <c r="I6579" s="1245"/>
    </row>
    <row r="6580" spans="8:9">
      <c r="H6580" s="1245"/>
      <c r="I6580" s="1245"/>
    </row>
    <row r="6581" spans="8:9">
      <c r="H6581" s="1245"/>
      <c r="I6581" s="1245"/>
    </row>
    <row r="6582" spans="8:9">
      <c r="H6582" s="1245"/>
      <c r="I6582" s="1245"/>
    </row>
    <row r="6583" spans="8:9">
      <c r="H6583" s="1245"/>
      <c r="I6583" s="1245"/>
    </row>
    <row r="6584" spans="8:9">
      <c r="H6584" s="1245"/>
      <c r="I6584" s="1245"/>
    </row>
    <row r="6585" spans="8:9">
      <c r="H6585" s="1245"/>
      <c r="I6585" s="1245"/>
    </row>
    <row r="6586" spans="8:9">
      <c r="H6586" s="1245"/>
      <c r="I6586" s="1245"/>
    </row>
    <row r="6587" spans="8:9">
      <c r="H6587" s="1245"/>
      <c r="I6587" s="1245"/>
    </row>
    <row r="6588" spans="8:9">
      <c r="H6588" s="1245"/>
      <c r="I6588" s="1245"/>
    </row>
    <row r="6589" spans="8:9">
      <c r="H6589" s="1245"/>
      <c r="I6589" s="1245"/>
    </row>
    <row r="6590" spans="8:9">
      <c r="H6590" s="1245"/>
      <c r="I6590" s="1245"/>
    </row>
    <row r="6591" spans="8:9">
      <c r="H6591" s="1245"/>
      <c r="I6591" s="1245"/>
    </row>
    <row r="6592" spans="8:9">
      <c r="H6592" s="1245"/>
      <c r="I6592" s="1245"/>
    </row>
    <row r="6593" spans="8:9">
      <c r="H6593" s="1245"/>
      <c r="I6593" s="1245"/>
    </row>
    <row r="6594" spans="8:9">
      <c r="H6594" s="1245"/>
      <c r="I6594" s="1245"/>
    </row>
    <row r="6595" spans="8:9">
      <c r="H6595" s="1245"/>
      <c r="I6595" s="1245"/>
    </row>
    <row r="6596" spans="8:9">
      <c r="H6596" s="1245"/>
      <c r="I6596" s="1245"/>
    </row>
    <row r="6597" spans="8:9">
      <c r="H6597" s="1245"/>
      <c r="I6597" s="1245"/>
    </row>
    <row r="6598" spans="8:9">
      <c r="H6598" s="1245"/>
      <c r="I6598" s="1245"/>
    </row>
    <row r="6599" spans="8:9">
      <c r="H6599" s="1245"/>
      <c r="I6599" s="1245"/>
    </row>
    <row r="6600" spans="8:9">
      <c r="H6600" s="1245"/>
      <c r="I6600" s="1245"/>
    </row>
    <row r="6601" spans="8:9">
      <c r="H6601" s="1245"/>
      <c r="I6601" s="1245"/>
    </row>
    <row r="6602" spans="8:9">
      <c r="H6602" s="1245"/>
      <c r="I6602" s="1245"/>
    </row>
    <row r="6603" spans="8:9">
      <c r="H6603" s="1245"/>
      <c r="I6603" s="1245"/>
    </row>
    <row r="6604" spans="8:9">
      <c r="H6604" s="1245"/>
      <c r="I6604" s="1245"/>
    </row>
    <row r="6605" spans="8:9">
      <c r="H6605" s="1245"/>
      <c r="I6605" s="1245"/>
    </row>
    <row r="6606" spans="8:9">
      <c r="H6606" s="1245"/>
      <c r="I6606" s="1245"/>
    </row>
    <row r="6607" spans="8:9">
      <c r="H6607" s="1245"/>
      <c r="I6607" s="1245"/>
    </row>
    <row r="6608" spans="8:9">
      <c r="H6608" s="1245"/>
      <c r="I6608" s="1245"/>
    </row>
    <row r="6609" spans="8:9">
      <c r="H6609" s="1245"/>
      <c r="I6609" s="1245"/>
    </row>
    <row r="6610" spans="8:9">
      <c r="H6610" s="1245"/>
      <c r="I6610" s="1245"/>
    </row>
    <row r="6611" spans="8:9">
      <c r="H6611" s="1245"/>
      <c r="I6611" s="1245"/>
    </row>
    <row r="6612" spans="8:9">
      <c r="H6612" s="1245"/>
      <c r="I6612" s="1245"/>
    </row>
    <row r="6613" spans="8:9">
      <c r="H6613" s="1245"/>
      <c r="I6613" s="1245"/>
    </row>
    <row r="6614" spans="8:9">
      <c r="H6614" s="1245"/>
      <c r="I6614" s="1245"/>
    </row>
    <row r="6615" spans="8:9">
      <c r="H6615" s="1245"/>
      <c r="I6615" s="1245"/>
    </row>
    <row r="6616" spans="8:9">
      <c r="H6616" s="1245"/>
      <c r="I6616" s="1245"/>
    </row>
    <row r="6617" spans="8:9">
      <c r="H6617" s="1245"/>
      <c r="I6617" s="1245"/>
    </row>
    <row r="6618" spans="8:9">
      <c r="H6618" s="1245"/>
      <c r="I6618" s="1245"/>
    </row>
    <row r="6619" spans="8:9">
      <c r="H6619" s="1245"/>
      <c r="I6619" s="1245"/>
    </row>
    <row r="6620" spans="8:9">
      <c r="H6620" s="1245"/>
      <c r="I6620" s="1245"/>
    </row>
    <row r="6621" spans="8:9">
      <c r="H6621" s="1245"/>
      <c r="I6621" s="1245"/>
    </row>
    <row r="6622" spans="8:9">
      <c r="H6622" s="1245"/>
      <c r="I6622" s="1245"/>
    </row>
    <row r="6623" spans="8:9">
      <c r="H6623" s="1245"/>
      <c r="I6623" s="1245"/>
    </row>
    <row r="6624" spans="8:9">
      <c r="H6624" s="1245"/>
      <c r="I6624" s="1245"/>
    </row>
    <row r="6625" spans="8:9">
      <c r="H6625" s="1245"/>
      <c r="I6625" s="1245"/>
    </row>
    <row r="6626" spans="8:9">
      <c r="H6626" s="1245"/>
      <c r="I6626" s="1245"/>
    </row>
    <row r="6627" spans="8:9">
      <c r="H6627" s="1245"/>
      <c r="I6627" s="1245"/>
    </row>
    <row r="6628" spans="8:9">
      <c r="H6628" s="1245"/>
      <c r="I6628" s="1245"/>
    </row>
    <row r="6629" spans="8:9">
      <c r="H6629" s="1245"/>
      <c r="I6629" s="1245"/>
    </row>
    <row r="6630" spans="8:9">
      <c r="H6630" s="1245"/>
      <c r="I6630" s="1245"/>
    </row>
    <row r="6631" spans="8:9">
      <c r="H6631" s="1245"/>
      <c r="I6631" s="1245"/>
    </row>
    <row r="6632" spans="8:9">
      <c r="H6632" s="1245"/>
      <c r="I6632" s="1245"/>
    </row>
    <row r="6633" spans="8:9">
      <c r="H6633" s="1245"/>
      <c r="I6633" s="1245"/>
    </row>
    <row r="6634" spans="8:9">
      <c r="H6634" s="1245"/>
      <c r="I6634" s="1245"/>
    </row>
    <row r="6635" spans="8:9">
      <c r="H6635" s="1245"/>
      <c r="I6635" s="1245"/>
    </row>
    <row r="6636" spans="8:9">
      <c r="H6636" s="1245"/>
      <c r="I6636" s="1245"/>
    </row>
    <row r="6637" spans="8:9">
      <c r="H6637" s="1245"/>
      <c r="I6637" s="1245"/>
    </row>
    <row r="6638" spans="8:9">
      <c r="H6638" s="1245"/>
      <c r="I6638" s="1245"/>
    </row>
    <row r="6639" spans="8:9">
      <c r="H6639" s="1245"/>
      <c r="I6639" s="1245"/>
    </row>
    <row r="6640" spans="8:9">
      <c r="H6640" s="1245"/>
      <c r="I6640" s="1245"/>
    </row>
    <row r="6641" spans="8:9">
      <c r="H6641" s="1245"/>
      <c r="I6641" s="1245"/>
    </row>
    <row r="6642" spans="8:9">
      <c r="H6642" s="1245"/>
      <c r="I6642" s="1245"/>
    </row>
    <row r="6643" spans="8:9">
      <c r="H6643" s="1245"/>
      <c r="I6643" s="1245"/>
    </row>
    <row r="6644" spans="8:9">
      <c r="H6644" s="1245"/>
      <c r="I6644" s="1245"/>
    </row>
    <row r="6645" spans="8:9">
      <c r="H6645" s="1245"/>
      <c r="I6645" s="1245"/>
    </row>
    <row r="6646" spans="8:9">
      <c r="H6646" s="1245"/>
      <c r="I6646" s="1245"/>
    </row>
    <row r="6647" spans="8:9">
      <c r="H6647" s="1245"/>
      <c r="I6647" s="1245"/>
    </row>
    <row r="6648" spans="8:9">
      <c r="H6648" s="1245"/>
      <c r="I6648" s="1245"/>
    </row>
    <row r="6649" spans="8:9">
      <c r="H6649" s="1245"/>
      <c r="I6649" s="1245"/>
    </row>
    <row r="6650" spans="8:9">
      <c r="H6650" s="1245"/>
      <c r="I6650" s="1245"/>
    </row>
    <row r="6651" spans="8:9">
      <c r="H6651" s="1245"/>
      <c r="I6651" s="1245"/>
    </row>
    <row r="6652" spans="8:9">
      <c r="H6652" s="1245"/>
      <c r="I6652" s="1245"/>
    </row>
    <row r="6653" spans="8:9">
      <c r="H6653" s="1245"/>
      <c r="I6653" s="1245"/>
    </row>
    <row r="6654" spans="8:9">
      <c r="H6654" s="1245"/>
      <c r="I6654" s="1245"/>
    </row>
    <row r="6655" spans="8:9">
      <c r="H6655" s="1245"/>
      <c r="I6655" s="1245"/>
    </row>
    <row r="6656" spans="8:9">
      <c r="H6656" s="1245"/>
      <c r="I6656" s="1245"/>
    </row>
    <row r="6657" spans="8:9">
      <c r="H6657" s="1245"/>
      <c r="I6657" s="1245"/>
    </row>
    <row r="6658" spans="8:9">
      <c r="H6658" s="1245"/>
      <c r="I6658" s="1245"/>
    </row>
    <row r="6659" spans="8:9">
      <c r="H6659" s="1245"/>
      <c r="I6659" s="1245"/>
    </row>
    <row r="6660" spans="8:9">
      <c r="H6660" s="1245"/>
      <c r="I6660" s="1245"/>
    </row>
    <row r="6661" spans="8:9">
      <c r="H6661" s="1245"/>
      <c r="I6661" s="1245"/>
    </row>
    <row r="6662" spans="8:9">
      <c r="H6662" s="1245"/>
      <c r="I6662" s="1245"/>
    </row>
    <row r="6663" spans="8:9">
      <c r="H6663" s="1245"/>
      <c r="I6663" s="1245"/>
    </row>
    <row r="6664" spans="8:9">
      <c r="H6664" s="1245"/>
      <c r="I6664" s="1245"/>
    </row>
    <row r="6665" spans="8:9">
      <c r="H6665" s="1245"/>
      <c r="I6665" s="1245"/>
    </row>
    <row r="6666" spans="8:9">
      <c r="H6666" s="1245"/>
      <c r="I6666" s="1245"/>
    </row>
    <row r="6667" spans="8:9">
      <c r="H6667" s="1245"/>
      <c r="I6667" s="1245"/>
    </row>
    <row r="6668" spans="8:9">
      <c r="H6668" s="1245"/>
      <c r="I6668" s="1245"/>
    </row>
    <row r="6669" spans="8:9">
      <c r="H6669" s="1245"/>
      <c r="I6669" s="1245"/>
    </row>
    <row r="6670" spans="8:9">
      <c r="H6670" s="1245"/>
      <c r="I6670" s="1245"/>
    </row>
    <row r="6671" spans="8:9">
      <c r="H6671" s="1245"/>
      <c r="I6671" s="1245"/>
    </row>
    <row r="6672" spans="8:9">
      <c r="H6672" s="1245"/>
      <c r="I6672" s="1245"/>
    </row>
    <row r="6673" spans="8:9">
      <c r="H6673" s="1245"/>
      <c r="I6673" s="1245"/>
    </row>
    <row r="6674" spans="8:9">
      <c r="H6674" s="1245"/>
      <c r="I6674" s="1245"/>
    </row>
    <row r="6675" spans="8:9">
      <c r="H6675" s="1245"/>
      <c r="I6675" s="1245"/>
    </row>
    <row r="6676" spans="8:9">
      <c r="H6676" s="1245"/>
      <c r="I6676" s="1245"/>
    </row>
    <row r="6677" spans="8:9">
      <c r="H6677" s="1245"/>
      <c r="I6677" s="1245"/>
    </row>
    <row r="6678" spans="8:9">
      <c r="H6678" s="1245"/>
      <c r="I6678" s="1245"/>
    </row>
    <row r="6679" spans="8:9">
      <c r="H6679" s="1245"/>
      <c r="I6679" s="1245"/>
    </row>
    <row r="6680" spans="8:9">
      <c r="H6680" s="1245"/>
      <c r="I6680" s="1245"/>
    </row>
    <row r="6681" spans="8:9">
      <c r="H6681" s="1245"/>
      <c r="I6681" s="1245"/>
    </row>
    <row r="6682" spans="8:9">
      <c r="H6682" s="1245"/>
      <c r="I6682" s="1245"/>
    </row>
    <row r="6683" spans="8:9">
      <c r="H6683" s="1245"/>
      <c r="I6683" s="1245"/>
    </row>
    <row r="6684" spans="8:9">
      <c r="H6684" s="1245"/>
      <c r="I6684" s="1245"/>
    </row>
    <row r="6685" spans="8:9">
      <c r="H6685" s="1245"/>
      <c r="I6685" s="1245"/>
    </row>
    <row r="6686" spans="8:9">
      <c r="H6686" s="1245"/>
      <c r="I6686" s="1245"/>
    </row>
    <row r="6687" spans="8:9">
      <c r="H6687" s="1245"/>
      <c r="I6687" s="1245"/>
    </row>
    <row r="6688" spans="8:9">
      <c r="H6688" s="1245"/>
      <c r="I6688" s="1245"/>
    </row>
    <row r="6689" spans="8:9">
      <c r="H6689" s="1245"/>
      <c r="I6689" s="1245"/>
    </row>
    <row r="6690" spans="8:9">
      <c r="H6690" s="1245"/>
      <c r="I6690" s="1245"/>
    </row>
    <row r="6691" spans="8:9">
      <c r="H6691" s="1245"/>
      <c r="I6691" s="1245"/>
    </row>
    <row r="6692" spans="8:9">
      <c r="H6692" s="1245"/>
      <c r="I6692" s="1245"/>
    </row>
    <row r="6693" spans="8:9">
      <c r="H6693" s="1245"/>
      <c r="I6693" s="1245"/>
    </row>
    <row r="6694" spans="8:9">
      <c r="H6694" s="1245"/>
      <c r="I6694" s="1245"/>
    </row>
    <row r="6695" spans="8:9">
      <c r="H6695" s="1245"/>
      <c r="I6695" s="1245"/>
    </row>
    <row r="6696" spans="8:9">
      <c r="H6696" s="1245"/>
      <c r="I6696" s="1245"/>
    </row>
    <row r="6697" spans="8:9">
      <c r="H6697" s="1245"/>
      <c r="I6697" s="1245"/>
    </row>
    <row r="6698" spans="8:9">
      <c r="H6698" s="1245"/>
      <c r="I6698" s="1245"/>
    </row>
    <row r="6699" spans="8:9">
      <c r="H6699" s="1245"/>
      <c r="I6699" s="1245"/>
    </row>
    <row r="6700" spans="8:9">
      <c r="H6700" s="1245"/>
      <c r="I6700" s="1245"/>
    </row>
    <row r="6701" spans="8:9">
      <c r="H6701" s="1245"/>
      <c r="I6701" s="1245"/>
    </row>
    <row r="6702" spans="8:9">
      <c r="H6702" s="1245"/>
      <c r="I6702" s="1245"/>
    </row>
    <row r="6703" spans="8:9">
      <c r="H6703" s="1245"/>
      <c r="I6703" s="1245"/>
    </row>
    <row r="6704" spans="8:9">
      <c r="H6704" s="1245"/>
      <c r="I6704" s="1245"/>
    </row>
    <row r="6705" spans="8:9">
      <c r="H6705" s="1245"/>
      <c r="I6705" s="1245"/>
    </row>
    <row r="6706" spans="8:9">
      <c r="H6706" s="1245"/>
      <c r="I6706" s="1245"/>
    </row>
    <row r="6707" spans="8:9">
      <c r="H6707" s="1245"/>
      <c r="I6707" s="1245"/>
    </row>
    <row r="6708" spans="8:9">
      <c r="H6708" s="1245"/>
      <c r="I6708" s="1245"/>
    </row>
    <row r="6709" spans="8:9">
      <c r="H6709" s="1245"/>
      <c r="I6709" s="1245"/>
    </row>
    <row r="6710" spans="8:9">
      <c r="H6710" s="1245"/>
      <c r="I6710" s="1245"/>
    </row>
    <row r="6711" spans="8:9">
      <c r="H6711" s="1245"/>
      <c r="I6711" s="1245"/>
    </row>
    <row r="6712" spans="8:9">
      <c r="H6712" s="1245"/>
      <c r="I6712" s="1245"/>
    </row>
    <row r="6713" spans="8:9">
      <c r="H6713" s="1245"/>
      <c r="I6713" s="1245"/>
    </row>
    <row r="6714" spans="8:9">
      <c r="H6714" s="1245"/>
      <c r="I6714" s="1245"/>
    </row>
    <row r="6715" spans="8:9">
      <c r="H6715" s="1245"/>
      <c r="I6715" s="1245"/>
    </row>
    <row r="6716" spans="8:9">
      <c r="H6716" s="1245"/>
      <c r="I6716" s="1245"/>
    </row>
    <row r="6717" spans="8:9">
      <c r="H6717" s="1245"/>
      <c r="I6717" s="1245"/>
    </row>
    <row r="6718" spans="8:9">
      <c r="H6718" s="1245"/>
      <c r="I6718" s="1245"/>
    </row>
    <row r="6719" spans="8:9">
      <c r="H6719" s="1245"/>
      <c r="I6719" s="1245"/>
    </row>
    <row r="6720" spans="8:9">
      <c r="H6720" s="1245"/>
      <c r="I6720" s="1245"/>
    </row>
    <row r="6721" spans="8:9">
      <c r="H6721" s="1245"/>
      <c r="I6721" s="1245"/>
    </row>
    <row r="6722" spans="8:9">
      <c r="H6722" s="1245"/>
      <c r="I6722" s="1245"/>
    </row>
    <row r="6723" spans="8:9">
      <c r="H6723" s="1245"/>
      <c r="I6723" s="1245"/>
    </row>
    <row r="6724" spans="8:9">
      <c r="H6724" s="1245"/>
      <c r="I6724" s="1245"/>
    </row>
    <row r="6725" spans="8:9">
      <c r="H6725" s="1245"/>
      <c r="I6725" s="1245"/>
    </row>
    <row r="6726" spans="8:9">
      <c r="H6726" s="1245"/>
      <c r="I6726" s="1245"/>
    </row>
    <row r="6727" spans="8:9">
      <c r="H6727" s="1245"/>
      <c r="I6727" s="1245"/>
    </row>
    <row r="6728" spans="8:9">
      <c r="H6728" s="1245"/>
      <c r="I6728" s="1245"/>
    </row>
    <row r="6729" spans="8:9">
      <c r="H6729" s="1245"/>
      <c r="I6729" s="1245"/>
    </row>
    <row r="6730" spans="8:9">
      <c r="H6730" s="1245"/>
      <c r="I6730" s="1245"/>
    </row>
    <row r="6731" spans="8:9">
      <c r="H6731" s="1245"/>
      <c r="I6731" s="1245"/>
    </row>
    <row r="6732" spans="8:9">
      <c r="H6732" s="1245"/>
      <c r="I6732" s="1245"/>
    </row>
    <row r="6733" spans="8:9">
      <c r="H6733" s="1245"/>
      <c r="I6733" s="1245"/>
    </row>
    <row r="6734" spans="8:9">
      <c r="H6734" s="1245"/>
      <c r="I6734" s="1245"/>
    </row>
    <row r="6735" spans="8:9">
      <c r="H6735" s="1245"/>
      <c r="I6735" s="1245"/>
    </row>
    <row r="6736" spans="8:9">
      <c r="H6736" s="1245"/>
      <c r="I6736" s="1245"/>
    </row>
    <row r="6737" spans="8:9">
      <c r="H6737" s="1245"/>
      <c r="I6737" s="1245"/>
    </row>
    <row r="6738" spans="8:9">
      <c r="H6738" s="1245"/>
      <c r="I6738" s="1245"/>
    </row>
    <row r="6739" spans="8:9">
      <c r="H6739" s="1245"/>
      <c r="I6739" s="1245"/>
    </row>
    <row r="6740" spans="8:9">
      <c r="H6740" s="1245"/>
      <c r="I6740" s="1245"/>
    </row>
    <row r="6741" spans="8:9">
      <c r="H6741" s="1245"/>
      <c r="I6741" s="1245"/>
    </row>
    <row r="6742" spans="8:9">
      <c r="H6742" s="1245"/>
      <c r="I6742" s="1245"/>
    </row>
    <row r="6743" spans="8:9">
      <c r="H6743" s="1245"/>
      <c r="I6743" s="1245"/>
    </row>
    <row r="6744" spans="8:9">
      <c r="H6744" s="1245"/>
      <c r="I6744" s="1245"/>
    </row>
    <row r="6745" spans="8:9">
      <c r="H6745" s="1245"/>
      <c r="I6745" s="1245"/>
    </row>
    <row r="6746" spans="8:9">
      <c r="H6746" s="1245"/>
      <c r="I6746" s="1245"/>
    </row>
    <row r="6747" spans="8:9">
      <c r="H6747" s="1245"/>
      <c r="I6747" s="1245"/>
    </row>
    <row r="6748" spans="8:9">
      <c r="H6748" s="1245"/>
      <c r="I6748" s="1245"/>
    </row>
    <row r="6749" spans="8:9">
      <c r="H6749" s="1245"/>
      <c r="I6749" s="1245"/>
    </row>
    <row r="6750" spans="8:9">
      <c r="H6750" s="1245"/>
      <c r="I6750" s="1245"/>
    </row>
    <row r="6751" spans="8:9">
      <c r="H6751" s="1245"/>
      <c r="I6751" s="1245"/>
    </row>
    <row r="6752" spans="8:9">
      <c r="H6752" s="1245"/>
      <c r="I6752" s="1245"/>
    </row>
    <row r="6753" spans="8:9">
      <c r="H6753" s="1245"/>
      <c r="I6753" s="1245"/>
    </row>
    <row r="6754" spans="8:9">
      <c r="H6754" s="1245"/>
      <c r="I6754" s="1245"/>
    </row>
    <row r="6755" spans="8:9">
      <c r="H6755" s="1245"/>
      <c r="I6755" s="1245"/>
    </row>
    <row r="6756" spans="8:9">
      <c r="H6756" s="1245"/>
      <c r="I6756" s="1245"/>
    </row>
    <row r="6757" spans="8:9">
      <c r="H6757" s="1245"/>
      <c r="I6757" s="1245"/>
    </row>
    <row r="6758" spans="8:9">
      <c r="H6758" s="1245"/>
      <c r="I6758" s="1245"/>
    </row>
    <row r="6759" spans="8:9">
      <c r="H6759" s="1245"/>
      <c r="I6759" s="1245"/>
    </row>
    <row r="6760" spans="8:9">
      <c r="H6760" s="1245"/>
      <c r="I6760" s="1245"/>
    </row>
    <row r="6761" spans="8:9">
      <c r="H6761" s="1245"/>
      <c r="I6761" s="1245"/>
    </row>
    <row r="6762" spans="8:9">
      <c r="H6762" s="1245"/>
      <c r="I6762" s="1245"/>
    </row>
    <row r="6763" spans="8:9">
      <c r="H6763" s="1245"/>
      <c r="I6763" s="1245"/>
    </row>
    <row r="6764" spans="8:9">
      <c r="H6764" s="1245"/>
      <c r="I6764" s="1245"/>
    </row>
    <row r="6765" spans="8:9">
      <c r="H6765" s="1245"/>
      <c r="I6765" s="1245"/>
    </row>
    <row r="6766" spans="8:9">
      <c r="H6766" s="1245"/>
      <c r="I6766" s="1245"/>
    </row>
    <row r="6767" spans="8:9">
      <c r="H6767" s="1245"/>
      <c r="I6767" s="1245"/>
    </row>
    <row r="6768" spans="8:9">
      <c r="H6768" s="1245"/>
      <c r="I6768" s="1245"/>
    </row>
    <row r="6769" spans="8:9">
      <c r="H6769" s="1245"/>
      <c r="I6769" s="1245"/>
    </row>
    <row r="6770" spans="8:9">
      <c r="H6770" s="1245"/>
      <c r="I6770" s="1245"/>
    </row>
    <row r="6771" spans="8:9">
      <c r="H6771" s="1245"/>
      <c r="I6771" s="1245"/>
    </row>
    <row r="6772" spans="8:9">
      <c r="H6772" s="1245"/>
      <c r="I6772" s="1245"/>
    </row>
    <row r="6773" spans="8:9">
      <c r="H6773" s="1245"/>
      <c r="I6773" s="1245"/>
    </row>
    <row r="6774" spans="8:9">
      <c r="H6774" s="1245"/>
      <c r="I6774" s="1245"/>
    </row>
    <row r="6775" spans="8:9">
      <c r="H6775" s="1245"/>
      <c r="I6775" s="1245"/>
    </row>
    <row r="6776" spans="8:9">
      <c r="H6776" s="1245"/>
      <c r="I6776" s="1245"/>
    </row>
    <row r="6777" spans="8:9">
      <c r="H6777" s="1245"/>
      <c r="I6777" s="1245"/>
    </row>
    <row r="6778" spans="8:9">
      <c r="H6778" s="1245"/>
      <c r="I6778" s="1245"/>
    </row>
    <row r="6779" spans="8:9">
      <c r="H6779" s="1245"/>
      <c r="I6779" s="1245"/>
    </row>
    <row r="6780" spans="8:9">
      <c r="H6780" s="1245"/>
      <c r="I6780" s="1245"/>
    </row>
    <row r="6781" spans="8:9">
      <c r="H6781" s="1245"/>
      <c r="I6781" s="1245"/>
    </row>
    <row r="6782" spans="8:9">
      <c r="H6782" s="1245"/>
      <c r="I6782" s="1245"/>
    </row>
    <row r="6783" spans="8:9">
      <c r="H6783" s="1245"/>
      <c r="I6783" s="1245"/>
    </row>
    <row r="6784" spans="8:9">
      <c r="H6784" s="1245"/>
      <c r="I6784" s="1245"/>
    </row>
    <row r="6785" spans="8:9">
      <c r="H6785" s="1245"/>
      <c r="I6785" s="1245"/>
    </row>
    <row r="6786" spans="8:9">
      <c r="H6786" s="1245"/>
      <c r="I6786" s="1245"/>
    </row>
    <row r="6787" spans="8:9">
      <c r="H6787" s="1245"/>
      <c r="I6787" s="1245"/>
    </row>
    <row r="6788" spans="8:9">
      <c r="H6788" s="1245"/>
      <c r="I6788" s="1245"/>
    </row>
    <row r="6789" spans="8:9">
      <c r="H6789" s="1245"/>
      <c r="I6789" s="1245"/>
    </row>
    <row r="6790" spans="8:9">
      <c r="H6790" s="1245"/>
      <c r="I6790" s="1245"/>
    </row>
    <row r="6791" spans="8:9">
      <c r="H6791" s="1245"/>
      <c r="I6791" s="1245"/>
    </row>
    <row r="6792" spans="8:9">
      <c r="H6792" s="1245"/>
      <c r="I6792" s="1245"/>
    </row>
    <row r="6793" spans="8:9">
      <c r="H6793" s="1245"/>
      <c r="I6793" s="1245"/>
    </row>
    <row r="6794" spans="8:9">
      <c r="H6794" s="1245"/>
      <c r="I6794" s="1245"/>
    </row>
    <row r="6795" spans="8:9">
      <c r="H6795" s="1245"/>
      <c r="I6795" s="1245"/>
    </row>
    <row r="6796" spans="8:9">
      <c r="H6796" s="1245"/>
      <c r="I6796" s="1245"/>
    </row>
    <row r="6797" spans="8:9">
      <c r="H6797" s="1245"/>
      <c r="I6797" s="1245"/>
    </row>
    <row r="6798" spans="8:9">
      <c r="H6798" s="1245"/>
      <c r="I6798" s="1245"/>
    </row>
    <row r="6799" spans="8:9">
      <c r="H6799" s="1245"/>
      <c r="I6799" s="1245"/>
    </row>
    <row r="6800" spans="8:9">
      <c r="H6800" s="1245"/>
      <c r="I6800" s="1245"/>
    </row>
    <row r="6801" spans="8:9">
      <c r="H6801" s="1245"/>
      <c r="I6801" s="1245"/>
    </row>
    <row r="6802" spans="8:9">
      <c r="H6802" s="1245"/>
      <c r="I6802" s="1245"/>
    </row>
    <row r="6803" spans="8:9">
      <c r="H6803" s="1245"/>
      <c r="I6803" s="1245"/>
    </row>
    <row r="6804" spans="8:9">
      <c r="H6804" s="1245"/>
      <c r="I6804" s="1245"/>
    </row>
    <row r="6805" spans="8:9">
      <c r="H6805" s="1245"/>
      <c r="I6805" s="1245"/>
    </row>
    <row r="6806" spans="8:9">
      <c r="H6806" s="1245"/>
      <c r="I6806" s="1245"/>
    </row>
    <row r="6807" spans="8:9">
      <c r="H6807" s="1245"/>
      <c r="I6807" s="1245"/>
    </row>
    <row r="6808" spans="8:9">
      <c r="H6808" s="1245"/>
      <c r="I6808" s="1245"/>
    </row>
    <row r="6809" spans="8:9">
      <c r="H6809" s="1245"/>
      <c r="I6809" s="1245"/>
    </row>
    <row r="6810" spans="8:9">
      <c r="H6810" s="1245"/>
      <c r="I6810" s="1245"/>
    </row>
    <row r="6811" spans="8:9">
      <c r="H6811" s="1245"/>
      <c r="I6811" s="1245"/>
    </row>
    <row r="6812" spans="8:9">
      <c r="H6812" s="1245"/>
      <c r="I6812" s="1245"/>
    </row>
    <row r="6813" spans="8:9">
      <c r="H6813" s="1245"/>
      <c r="I6813" s="1245"/>
    </row>
    <row r="6814" spans="8:9">
      <c r="H6814" s="1245"/>
      <c r="I6814" s="1245"/>
    </row>
    <row r="6815" spans="8:9">
      <c r="H6815" s="1245"/>
      <c r="I6815" s="1245"/>
    </row>
    <row r="6816" spans="8:9">
      <c r="H6816" s="1245"/>
      <c r="I6816" s="1245"/>
    </row>
    <row r="6817" spans="8:9">
      <c r="H6817" s="1245"/>
      <c r="I6817" s="1245"/>
    </row>
    <row r="6818" spans="8:9">
      <c r="H6818" s="1245"/>
      <c r="I6818" s="1245"/>
    </row>
    <row r="6819" spans="8:9">
      <c r="H6819" s="1245"/>
      <c r="I6819" s="1245"/>
    </row>
    <row r="6820" spans="8:9">
      <c r="H6820" s="1245"/>
      <c r="I6820" s="1245"/>
    </row>
    <row r="6821" spans="8:9">
      <c r="H6821" s="1245"/>
      <c r="I6821" s="1245"/>
    </row>
    <row r="6822" spans="8:9">
      <c r="H6822" s="1245"/>
      <c r="I6822" s="1245"/>
    </row>
    <row r="6823" spans="8:9">
      <c r="H6823" s="1245"/>
      <c r="I6823" s="1245"/>
    </row>
    <row r="6824" spans="8:9">
      <c r="H6824" s="1245"/>
      <c r="I6824" s="1245"/>
    </row>
    <row r="6825" spans="8:9">
      <c r="H6825" s="1245"/>
      <c r="I6825" s="1245"/>
    </row>
    <row r="6826" spans="8:9">
      <c r="H6826" s="1245"/>
      <c r="I6826" s="1245"/>
    </row>
    <row r="6827" spans="8:9">
      <c r="H6827" s="1245"/>
      <c r="I6827" s="1245"/>
    </row>
    <row r="6828" spans="8:9">
      <c r="H6828" s="1245"/>
      <c r="I6828" s="1245"/>
    </row>
    <row r="6829" spans="8:9">
      <c r="H6829" s="1245"/>
      <c r="I6829" s="1245"/>
    </row>
    <row r="6830" spans="8:9">
      <c r="H6830" s="1245"/>
      <c r="I6830" s="1245"/>
    </row>
    <row r="6831" spans="8:9">
      <c r="H6831" s="1245"/>
      <c r="I6831" s="1245"/>
    </row>
    <row r="6832" spans="8:9">
      <c r="H6832" s="1245"/>
      <c r="I6832" s="1245"/>
    </row>
    <row r="6833" spans="8:9">
      <c r="H6833" s="1245"/>
      <c r="I6833" s="1245"/>
    </row>
    <row r="6834" spans="8:9">
      <c r="H6834" s="1245"/>
      <c r="I6834" s="1245"/>
    </row>
    <row r="6835" spans="8:9">
      <c r="H6835" s="1245"/>
      <c r="I6835" s="1245"/>
    </row>
    <row r="6836" spans="8:9">
      <c r="H6836" s="1245"/>
      <c r="I6836" s="1245"/>
    </row>
    <row r="6837" spans="8:9">
      <c r="H6837" s="1245"/>
      <c r="I6837" s="1245"/>
    </row>
    <row r="6838" spans="8:9">
      <c r="H6838" s="1245"/>
      <c r="I6838" s="1245"/>
    </row>
    <row r="6839" spans="8:9">
      <c r="H6839" s="1245"/>
      <c r="I6839" s="1245"/>
    </row>
    <row r="6840" spans="8:9">
      <c r="H6840" s="1245"/>
      <c r="I6840" s="1245"/>
    </row>
    <row r="6841" spans="8:9">
      <c r="H6841" s="1245"/>
      <c r="I6841" s="1245"/>
    </row>
    <row r="6842" spans="8:9">
      <c r="H6842" s="1245"/>
      <c r="I6842" s="1245"/>
    </row>
    <row r="6843" spans="8:9">
      <c r="H6843" s="1245"/>
      <c r="I6843" s="1245"/>
    </row>
    <row r="6844" spans="8:9">
      <c r="H6844" s="1245"/>
      <c r="I6844" s="1245"/>
    </row>
    <row r="6845" spans="8:9">
      <c r="H6845" s="1245"/>
      <c r="I6845" s="1245"/>
    </row>
    <row r="6846" spans="8:9">
      <c r="H6846" s="1245"/>
      <c r="I6846" s="1245"/>
    </row>
    <row r="6847" spans="8:9">
      <c r="H6847" s="1245"/>
      <c r="I6847" s="1245"/>
    </row>
    <row r="6848" spans="8:9">
      <c r="H6848" s="1245"/>
      <c r="I6848" s="1245"/>
    </row>
    <row r="6849" spans="8:9">
      <c r="H6849" s="1245"/>
      <c r="I6849" s="1245"/>
    </row>
    <row r="6850" spans="8:9">
      <c r="H6850" s="1245"/>
      <c r="I6850" s="1245"/>
    </row>
    <row r="6851" spans="8:9">
      <c r="H6851" s="1245"/>
      <c r="I6851" s="1245"/>
    </row>
    <row r="6852" spans="8:9">
      <c r="H6852" s="1245"/>
      <c r="I6852" s="1245"/>
    </row>
    <row r="6853" spans="8:9">
      <c r="H6853" s="1245"/>
      <c r="I6853" s="1245"/>
    </row>
    <row r="6854" spans="8:9">
      <c r="H6854" s="1245"/>
      <c r="I6854" s="1245"/>
    </row>
    <row r="6855" spans="8:9">
      <c r="H6855" s="1245"/>
      <c r="I6855" s="1245"/>
    </row>
    <row r="6856" spans="8:9">
      <c r="H6856" s="1245"/>
      <c r="I6856" s="1245"/>
    </row>
    <row r="6857" spans="8:9">
      <c r="H6857" s="1245"/>
      <c r="I6857" s="1245"/>
    </row>
    <row r="6858" spans="8:9">
      <c r="H6858" s="1245"/>
      <c r="I6858" s="1245"/>
    </row>
    <row r="6859" spans="8:9">
      <c r="H6859" s="1245"/>
      <c r="I6859" s="1245"/>
    </row>
    <row r="6860" spans="8:9">
      <c r="H6860" s="1245"/>
      <c r="I6860" s="1245"/>
    </row>
    <row r="6861" spans="8:9">
      <c r="H6861" s="1245"/>
      <c r="I6861" s="1245"/>
    </row>
    <row r="6862" spans="8:9">
      <c r="H6862" s="1245"/>
      <c r="I6862" s="1245"/>
    </row>
    <row r="6863" spans="8:9">
      <c r="H6863" s="1245"/>
      <c r="I6863" s="1245"/>
    </row>
    <row r="6864" spans="8:9">
      <c r="H6864" s="1245"/>
      <c r="I6864" s="1245"/>
    </row>
    <row r="6865" spans="8:9">
      <c r="H6865" s="1245"/>
      <c r="I6865" s="1245"/>
    </row>
    <row r="6866" spans="8:9">
      <c r="H6866" s="1245"/>
      <c r="I6866" s="1245"/>
    </row>
    <row r="6867" spans="8:9">
      <c r="H6867" s="1245"/>
      <c r="I6867" s="1245"/>
    </row>
    <row r="6868" spans="8:9">
      <c r="H6868" s="1245"/>
      <c r="I6868" s="1245"/>
    </row>
    <row r="6869" spans="8:9">
      <c r="H6869" s="1245"/>
      <c r="I6869" s="1245"/>
    </row>
    <row r="6870" spans="8:9">
      <c r="H6870" s="1245"/>
      <c r="I6870" s="1245"/>
    </row>
    <row r="6871" spans="8:9">
      <c r="H6871" s="1245"/>
      <c r="I6871" s="1245"/>
    </row>
    <row r="6872" spans="8:9">
      <c r="H6872" s="1245"/>
      <c r="I6872" s="1245"/>
    </row>
    <row r="6873" spans="8:9">
      <c r="H6873" s="1245"/>
      <c r="I6873" s="1245"/>
    </row>
    <row r="6874" spans="8:9">
      <c r="H6874" s="1245"/>
      <c r="I6874" s="1245"/>
    </row>
    <row r="6875" spans="8:9">
      <c r="H6875" s="1245"/>
      <c r="I6875" s="1245"/>
    </row>
    <row r="6876" spans="8:9">
      <c r="H6876" s="1245"/>
      <c r="I6876" s="1245"/>
    </row>
    <row r="6877" spans="8:9">
      <c r="H6877" s="1245"/>
      <c r="I6877" s="1245"/>
    </row>
    <row r="6878" spans="8:9">
      <c r="H6878" s="1245"/>
      <c r="I6878" s="1245"/>
    </row>
    <row r="6879" spans="8:9">
      <c r="H6879" s="1245"/>
      <c r="I6879" s="1245"/>
    </row>
    <row r="6880" spans="8:9">
      <c r="H6880" s="1245"/>
      <c r="I6880" s="1245"/>
    </row>
    <row r="6881" spans="8:9">
      <c r="H6881" s="1245"/>
      <c r="I6881" s="1245"/>
    </row>
    <row r="6882" spans="8:9">
      <c r="H6882" s="1245"/>
      <c r="I6882" s="1245"/>
    </row>
    <row r="6883" spans="8:9">
      <c r="H6883" s="1245"/>
      <c r="I6883" s="1245"/>
    </row>
    <row r="6884" spans="8:9">
      <c r="H6884" s="1245"/>
      <c r="I6884" s="1245"/>
    </row>
    <row r="6885" spans="8:9">
      <c r="H6885" s="1245"/>
      <c r="I6885" s="1245"/>
    </row>
    <row r="6886" spans="8:9">
      <c r="H6886" s="1245"/>
      <c r="I6886" s="1245"/>
    </row>
    <row r="6887" spans="8:9">
      <c r="H6887" s="1245"/>
      <c r="I6887" s="1245"/>
    </row>
    <row r="6888" spans="8:9">
      <c r="H6888" s="1245"/>
      <c r="I6888" s="1245"/>
    </row>
    <row r="6889" spans="8:9">
      <c r="H6889" s="1245"/>
      <c r="I6889" s="1245"/>
    </row>
    <row r="6890" spans="8:9">
      <c r="H6890" s="1245"/>
      <c r="I6890" s="1245"/>
    </row>
    <row r="6891" spans="8:9">
      <c r="H6891" s="1245"/>
      <c r="I6891" s="1245"/>
    </row>
    <row r="6892" spans="8:9">
      <c r="H6892" s="1245"/>
      <c r="I6892" s="1245"/>
    </row>
    <row r="6893" spans="8:9">
      <c r="H6893" s="1245"/>
      <c r="I6893" s="1245"/>
    </row>
    <row r="6894" spans="8:9">
      <c r="H6894" s="1245"/>
      <c r="I6894" s="1245"/>
    </row>
    <row r="6895" spans="8:9">
      <c r="H6895" s="1245"/>
      <c r="I6895" s="1245"/>
    </row>
    <row r="6896" spans="8:9">
      <c r="H6896" s="1245"/>
      <c r="I6896" s="1245"/>
    </row>
    <row r="6897" spans="8:9">
      <c r="H6897" s="1245"/>
      <c r="I6897" s="1245"/>
    </row>
    <row r="6898" spans="8:9">
      <c r="H6898" s="1245"/>
      <c r="I6898" s="1245"/>
    </row>
    <row r="6899" spans="8:9">
      <c r="H6899" s="1245"/>
      <c r="I6899" s="1245"/>
    </row>
    <row r="6900" spans="8:9">
      <c r="H6900" s="1245"/>
      <c r="I6900" s="1245"/>
    </row>
    <row r="6901" spans="8:9">
      <c r="H6901" s="1245"/>
      <c r="I6901" s="1245"/>
    </row>
    <row r="6902" spans="8:9">
      <c r="H6902" s="1245"/>
      <c r="I6902" s="1245"/>
    </row>
    <row r="6903" spans="8:9">
      <c r="H6903" s="1245"/>
      <c r="I6903" s="1245"/>
    </row>
    <row r="6904" spans="8:9">
      <c r="H6904" s="1245"/>
      <c r="I6904" s="1245"/>
    </row>
    <row r="6905" spans="8:9">
      <c r="H6905" s="1245"/>
      <c r="I6905" s="1245"/>
    </row>
    <row r="6906" spans="8:9">
      <c r="H6906" s="1245"/>
      <c r="I6906" s="1245"/>
    </row>
    <row r="6907" spans="8:9">
      <c r="H6907" s="1245"/>
      <c r="I6907" s="1245"/>
    </row>
    <row r="6908" spans="8:9">
      <c r="H6908" s="1245"/>
      <c r="I6908" s="1245"/>
    </row>
    <row r="6909" spans="8:9">
      <c r="H6909" s="1245"/>
      <c r="I6909" s="1245"/>
    </row>
    <row r="6910" spans="8:9">
      <c r="H6910" s="1245"/>
      <c r="I6910" s="1245"/>
    </row>
    <row r="6911" spans="8:9">
      <c r="H6911" s="1245"/>
      <c r="I6911" s="1245"/>
    </row>
    <row r="6912" spans="8:9">
      <c r="H6912" s="1245"/>
      <c r="I6912" s="1245"/>
    </row>
    <row r="6913" spans="8:9">
      <c r="H6913" s="1245"/>
      <c r="I6913" s="1245"/>
    </row>
    <row r="6914" spans="8:9">
      <c r="H6914" s="1245"/>
      <c r="I6914" s="1245"/>
    </row>
    <row r="6915" spans="8:9">
      <c r="H6915" s="1245"/>
      <c r="I6915" s="1245"/>
    </row>
    <row r="6916" spans="8:9">
      <c r="H6916" s="1245"/>
      <c r="I6916" s="1245"/>
    </row>
    <row r="6917" spans="8:9">
      <c r="H6917" s="1245"/>
      <c r="I6917" s="1245"/>
    </row>
    <row r="6918" spans="8:9">
      <c r="H6918" s="1245"/>
      <c r="I6918" s="1245"/>
    </row>
    <row r="6919" spans="8:9">
      <c r="H6919" s="1245"/>
      <c r="I6919" s="1245"/>
    </row>
    <row r="6920" spans="8:9">
      <c r="H6920" s="1245"/>
      <c r="I6920" s="1245"/>
    </row>
    <row r="6921" spans="8:9">
      <c r="H6921" s="1245"/>
      <c r="I6921" s="1245"/>
    </row>
    <row r="6922" spans="8:9">
      <c r="H6922" s="1245"/>
      <c r="I6922" s="1245"/>
    </row>
    <row r="6923" spans="8:9">
      <c r="H6923" s="1245"/>
      <c r="I6923" s="1245"/>
    </row>
    <row r="6924" spans="8:9">
      <c r="H6924" s="1245"/>
      <c r="I6924" s="1245"/>
    </row>
    <row r="6925" spans="8:9">
      <c r="H6925" s="1245"/>
      <c r="I6925" s="1245"/>
    </row>
    <row r="6926" spans="8:9">
      <c r="H6926" s="1245"/>
      <c r="I6926" s="1245"/>
    </row>
    <row r="6927" spans="8:9">
      <c r="H6927" s="1245"/>
      <c r="I6927" s="1245"/>
    </row>
    <row r="6928" spans="8:9">
      <c r="H6928" s="1245"/>
      <c r="I6928" s="1245"/>
    </row>
    <row r="6929" spans="8:9">
      <c r="H6929" s="1245"/>
      <c r="I6929" s="1245"/>
    </row>
    <row r="6930" spans="8:9">
      <c r="H6930" s="1245"/>
      <c r="I6930" s="1245"/>
    </row>
    <row r="6931" spans="8:9">
      <c r="H6931" s="1245"/>
      <c r="I6931" s="1245"/>
    </row>
    <row r="6932" spans="8:9">
      <c r="H6932" s="1245"/>
      <c r="I6932" s="1245"/>
    </row>
    <row r="6933" spans="8:9">
      <c r="H6933" s="1245"/>
      <c r="I6933" s="1245"/>
    </row>
    <row r="6934" spans="8:9">
      <c r="H6934" s="1245"/>
      <c r="I6934" s="1245"/>
    </row>
    <row r="6935" spans="8:9">
      <c r="H6935" s="1245"/>
      <c r="I6935" s="1245"/>
    </row>
    <row r="6936" spans="8:9">
      <c r="H6936" s="1245"/>
      <c r="I6936" s="1245"/>
    </row>
    <row r="6937" spans="8:9">
      <c r="H6937" s="1245"/>
      <c r="I6937" s="1245"/>
    </row>
    <row r="6938" spans="8:9">
      <c r="H6938" s="1245"/>
      <c r="I6938" s="1245"/>
    </row>
    <row r="6939" spans="8:9">
      <c r="H6939" s="1245"/>
      <c r="I6939" s="1245"/>
    </row>
    <row r="6940" spans="8:9">
      <c r="H6940" s="1245"/>
      <c r="I6940" s="1245"/>
    </row>
    <row r="6941" spans="8:9">
      <c r="H6941" s="1245"/>
      <c r="I6941" s="1245"/>
    </row>
    <row r="6942" spans="8:9">
      <c r="H6942" s="1245"/>
      <c r="I6942" s="1245"/>
    </row>
    <row r="6943" spans="8:9">
      <c r="H6943" s="1245"/>
      <c r="I6943" s="1245"/>
    </row>
    <row r="6944" spans="8:9">
      <c r="H6944" s="1245"/>
      <c r="I6944" s="1245"/>
    </row>
    <row r="6945" spans="8:9">
      <c r="H6945" s="1245"/>
      <c r="I6945" s="1245"/>
    </row>
    <row r="6946" spans="8:9">
      <c r="H6946" s="1245"/>
      <c r="I6946" s="1245"/>
    </row>
    <row r="6947" spans="8:9">
      <c r="H6947" s="1245"/>
      <c r="I6947" s="1245"/>
    </row>
    <row r="6948" spans="8:9">
      <c r="H6948" s="1245"/>
      <c r="I6948" s="1245"/>
    </row>
    <row r="6949" spans="8:9">
      <c r="H6949" s="1245"/>
      <c r="I6949" s="1245"/>
    </row>
    <row r="6950" spans="8:9">
      <c r="H6950" s="1245"/>
      <c r="I6950" s="1245"/>
    </row>
    <row r="6951" spans="8:9">
      <c r="H6951" s="1245"/>
      <c r="I6951" s="1245"/>
    </row>
    <row r="6952" spans="8:9">
      <c r="H6952" s="1245"/>
      <c r="I6952" s="1245"/>
    </row>
    <row r="6953" spans="8:9">
      <c r="H6953" s="1245"/>
      <c r="I6953" s="1245"/>
    </row>
    <row r="6954" spans="8:9">
      <c r="H6954" s="1245"/>
      <c r="I6954" s="1245"/>
    </row>
    <row r="6955" spans="8:9">
      <c r="H6955" s="1245"/>
      <c r="I6955" s="1245"/>
    </row>
    <row r="6956" spans="8:9">
      <c r="H6956" s="1245"/>
      <c r="I6956" s="1245"/>
    </row>
    <row r="6957" spans="8:9">
      <c r="H6957" s="1245"/>
      <c r="I6957" s="1245"/>
    </row>
    <row r="6958" spans="8:9">
      <c r="H6958" s="1245"/>
      <c r="I6958" s="1245"/>
    </row>
    <row r="6959" spans="8:9">
      <c r="H6959" s="1245"/>
      <c r="I6959" s="1245"/>
    </row>
    <row r="6960" spans="8:9">
      <c r="H6960" s="1245"/>
      <c r="I6960" s="1245"/>
    </row>
    <row r="6961" spans="8:9">
      <c r="H6961" s="1245"/>
      <c r="I6961" s="1245"/>
    </row>
    <row r="6962" spans="8:9">
      <c r="H6962" s="1245"/>
      <c r="I6962" s="1245"/>
    </row>
    <row r="6963" spans="8:9">
      <c r="H6963" s="1245"/>
      <c r="I6963" s="1245"/>
    </row>
    <row r="6964" spans="8:9">
      <c r="H6964" s="1245"/>
      <c r="I6964" s="1245"/>
    </row>
    <row r="6965" spans="8:9">
      <c r="H6965" s="1245"/>
      <c r="I6965" s="1245"/>
    </row>
    <row r="6966" spans="8:9">
      <c r="H6966" s="1245"/>
      <c r="I6966" s="1245"/>
    </row>
    <row r="6967" spans="8:9">
      <c r="H6967" s="1245"/>
      <c r="I6967" s="1245"/>
    </row>
    <row r="6968" spans="8:9">
      <c r="H6968" s="1245"/>
      <c r="I6968" s="1245"/>
    </row>
    <row r="6969" spans="8:9">
      <c r="H6969" s="1245"/>
      <c r="I6969" s="1245"/>
    </row>
    <row r="6970" spans="8:9">
      <c r="H6970" s="1245"/>
      <c r="I6970" s="1245"/>
    </row>
    <row r="6971" spans="8:9">
      <c r="H6971" s="1245"/>
      <c r="I6971" s="1245"/>
    </row>
    <row r="6972" spans="8:9">
      <c r="H6972" s="1245"/>
      <c r="I6972" s="1245"/>
    </row>
    <row r="6973" spans="8:9">
      <c r="H6973" s="1245"/>
      <c r="I6973" s="1245"/>
    </row>
    <row r="6974" spans="8:9">
      <c r="H6974" s="1245"/>
      <c r="I6974" s="1245"/>
    </row>
    <row r="6975" spans="8:9">
      <c r="H6975" s="1245"/>
      <c r="I6975" s="1245"/>
    </row>
    <row r="6976" spans="8:9">
      <c r="H6976" s="1245"/>
      <c r="I6976" s="1245"/>
    </row>
    <row r="6977" spans="8:9">
      <c r="H6977" s="1245"/>
      <c r="I6977" s="1245"/>
    </row>
    <row r="6978" spans="8:9">
      <c r="H6978" s="1245"/>
      <c r="I6978" s="1245"/>
    </row>
    <row r="6979" spans="8:9">
      <c r="H6979" s="1245"/>
      <c r="I6979" s="1245"/>
    </row>
    <row r="6980" spans="8:9">
      <c r="H6980" s="1245"/>
      <c r="I6980" s="1245"/>
    </row>
    <row r="6981" spans="8:9">
      <c r="H6981" s="1245"/>
      <c r="I6981" s="1245"/>
    </row>
    <row r="6982" spans="8:9">
      <c r="H6982" s="1245"/>
      <c r="I6982" s="1245"/>
    </row>
    <row r="6983" spans="8:9">
      <c r="H6983" s="1245"/>
      <c r="I6983" s="1245"/>
    </row>
    <row r="6984" spans="8:9">
      <c r="H6984" s="1245"/>
      <c r="I6984" s="1245"/>
    </row>
    <row r="6985" spans="8:9">
      <c r="H6985" s="1245"/>
      <c r="I6985" s="1245"/>
    </row>
    <row r="6986" spans="8:9">
      <c r="H6986" s="1245"/>
      <c r="I6986" s="1245"/>
    </row>
    <row r="6987" spans="8:9">
      <c r="H6987" s="1245"/>
      <c r="I6987" s="1245"/>
    </row>
    <row r="6988" spans="8:9">
      <c r="H6988" s="1245"/>
      <c r="I6988" s="1245"/>
    </row>
    <row r="6989" spans="8:9">
      <c r="H6989" s="1245"/>
      <c r="I6989" s="1245"/>
    </row>
    <row r="6990" spans="8:9">
      <c r="H6990" s="1245"/>
      <c r="I6990" s="1245"/>
    </row>
    <row r="6991" spans="8:9">
      <c r="H6991" s="1245"/>
      <c r="I6991" s="1245"/>
    </row>
    <row r="6992" spans="8:9">
      <c r="H6992" s="1245"/>
      <c r="I6992" s="1245"/>
    </row>
    <row r="6993" spans="8:9">
      <c r="H6993" s="1245"/>
      <c r="I6993" s="1245"/>
    </row>
    <row r="6994" spans="8:9">
      <c r="H6994" s="1245"/>
      <c r="I6994" s="1245"/>
    </row>
    <row r="6995" spans="8:9">
      <c r="H6995" s="1245"/>
      <c r="I6995" s="1245"/>
    </row>
    <row r="6996" spans="8:9">
      <c r="H6996" s="1245"/>
      <c r="I6996" s="1245"/>
    </row>
    <row r="6997" spans="8:9">
      <c r="H6997" s="1245"/>
      <c r="I6997" s="1245"/>
    </row>
    <row r="6998" spans="8:9">
      <c r="H6998" s="1245"/>
      <c r="I6998" s="1245"/>
    </row>
    <row r="6999" spans="8:9">
      <c r="H6999" s="1245"/>
      <c r="I6999" s="1245"/>
    </row>
    <row r="7000" spans="8:9">
      <c r="H7000" s="1245"/>
      <c r="I7000" s="1245"/>
    </row>
    <row r="7001" spans="8:9">
      <c r="H7001" s="1245"/>
      <c r="I7001" s="1245"/>
    </row>
    <row r="7002" spans="8:9">
      <c r="H7002" s="1245"/>
      <c r="I7002" s="1245"/>
    </row>
    <row r="7003" spans="8:9">
      <c r="H7003" s="1245"/>
      <c r="I7003" s="1245"/>
    </row>
    <row r="7004" spans="8:9">
      <c r="H7004" s="1245"/>
      <c r="I7004" s="1245"/>
    </row>
    <row r="7005" spans="8:9">
      <c r="H7005" s="1245"/>
      <c r="I7005" s="1245"/>
    </row>
    <row r="7006" spans="8:9">
      <c r="H7006" s="1245"/>
      <c r="I7006" s="1245"/>
    </row>
    <row r="7007" spans="8:9">
      <c r="H7007" s="1245"/>
      <c r="I7007" s="1245"/>
    </row>
    <row r="7008" spans="8:9">
      <c r="H7008" s="1245"/>
      <c r="I7008" s="1245"/>
    </row>
    <row r="7009" spans="8:9">
      <c r="H7009" s="1245"/>
      <c r="I7009" s="1245"/>
    </row>
    <row r="7010" spans="8:9">
      <c r="H7010" s="1245"/>
      <c r="I7010" s="1245"/>
    </row>
    <row r="7011" spans="8:9">
      <c r="H7011" s="1245"/>
      <c r="I7011" s="1245"/>
    </row>
    <row r="7012" spans="8:9">
      <c r="H7012" s="1245"/>
      <c r="I7012" s="1245"/>
    </row>
    <row r="7013" spans="8:9">
      <c r="H7013" s="1245"/>
      <c r="I7013" s="1245"/>
    </row>
    <row r="7014" spans="8:9">
      <c r="H7014" s="1245"/>
      <c r="I7014" s="1245"/>
    </row>
    <row r="7015" spans="8:9">
      <c r="H7015" s="1245"/>
      <c r="I7015" s="1245"/>
    </row>
    <row r="7016" spans="8:9">
      <c r="H7016" s="1245"/>
      <c r="I7016" s="1245"/>
    </row>
    <row r="7017" spans="8:9">
      <c r="H7017" s="1245"/>
      <c r="I7017" s="1245"/>
    </row>
    <row r="7018" spans="8:9">
      <c r="H7018" s="1245"/>
      <c r="I7018" s="1245"/>
    </row>
    <row r="7019" spans="8:9">
      <c r="H7019" s="1245"/>
      <c r="I7019" s="1245"/>
    </row>
    <row r="7020" spans="8:9">
      <c r="H7020" s="1245"/>
      <c r="I7020" s="1245"/>
    </row>
    <row r="7021" spans="8:9">
      <c r="H7021" s="1245"/>
      <c r="I7021" s="1245"/>
    </row>
    <row r="7022" spans="8:9">
      <c r="H7022" s="1245"/>
      <c r="I7022" s="1245"/>
    </row>
    <row r="7023" spans="8:9">
      <c r="H7023" s="1245"/>
      <c r="I7023" s="1245"/>
    </row>
    <row r="7024" spans="8:9">
      <c r="H7024" s="1245"/>
      <c r="I7024" s="1245"/>
    </row>
    <row r="7025" spans="8:9">
      <c r="H7025" s="1245"/>
      <c r="I7025" s="1245"/>
    </row>
    <row r="7026" spans="8:9">
      <c r="H7026" s="1245"/>
      <c r="I7026" s="1245"/>
    </row>
    <row r="7027" spans="8:9">
      <c r="H7027" s="1245"/>
      <c r="I7027" s="1245"/>
    </row>
    <row r="7028" spans="8:9">
      <c r="H7028" s="1245"/>
      <c r="I7028" s="1245"/>
    </row>
    <row r="7029" spans="8:9">
      <c r="H7029" s="1245"/>
      <c r="I7029" s="1245"/>
    </row>
    <row r="7030" spans="8:9">
      <c r="H7030" s="1245"/>
      <c r="I7030" s="1245"/>
    </row>
    <row r="7031" spans="8:9">
      <c r="H7031" s="1245"/>
      <c r="I7031" s="1245"/>
    </row>
    <row r="7032" spans="8:9">
      <c r="H7032" s="1245"/>
      <c r="I7032" s="1245"/>
    </row>
    <row r="7033" spans="8:9">
      <c r="H7033" s="1245"/>
      <c r="I7033" s="1245"/>
    </row>
    <row r="7034" spans="8:9">
      <c r="H7034" s="1245"/>
      <c r="I7034" s="1245"/>
    </row>
    <row r="7035" spans="8:9">
      <c r="H7035" s="1245"/>
      <c r="I7035" s="1245"/>
    </row>
    <row r="7036" spans="8:9">
      <c r="H7036" s="1245"/>
      <c r="I7036" s="1245"/>
    </row>
    <row r="7037" spans="8:9">
      <c r="H7037" s="1245"/>
      <c r="I7037" s="1245"/>
    </row>
    <row r="7038" spans="8:9">
      <c r="H7038" s="1245"/>
      <c r="I7038" s="1245"/>
    </row>
    <row r="7039" spans="8:9">
      <c r="H7039" s="1245"/>
      <c r="I7039" s="1245"/>
    </row>
    <row r="7040" spans="8:9">
      <c r="H7040" s="1245"/>
      <c r="I7040" s="1245"/>
    </row>
    <row r="7041" spans="8:9">
      <c r="H7041" s="1245"/>
      <c r="I7041" s="1245"/>
    </row>
    <row r="7042" spans="8:9">
      <c r="H7042" s="1245"/>
      <c r="I7042" s="1245"/>
    </row>
    <row r="7043" spans="8:9">
      <c r="H7043" s="1245"/>
      <c r="I7043" s="1245"/>
    </row>
    <row r="7044" spans="8:9">
      <c r="H7044" s="1245"/>
      <c r="I7044" s="1245"/>
    </row>
    <row r="7045" spans="8:9">
      <c r="H7045" s="1245"/>
      <c r="I7045" s="1245"/>
    </row>
    <row r="7046" spans="8:9">
      <c r="H7046" s="1245"/>
      <c r="I7046" s="1245"/>
    </row>
    <row r="7047" spans="8:9">
      <c r="H7047" s="1245"/>
      <c r="I7047" s="1245"/>
    </row>
    <row r="7048" spans="8:9">
      <c r="H7048" s="1245"/>
      <c r="I7048" s="1245"/>
    </row>
    <row r="7049" spans="8:9">
      <c r="H7049" s="1245"/>
      <c r="I7049" s="1245"/>
    </row>
    <row r="7050" spans="8:9">
      <c r="H7050" s="1245"/>
      <c r="I7050" s="1245"/>
    </row>
    <row r="7051" spans="8:9">
      <c r="H7051" s="1245"/>
      <c r="I7051" s="1245"/>
    </row>
    <row r="7052" spans="8:9">
      <c r="H7052" s="1245"/>
      <c r="I7052" s="1245"/>
    </row>
    <row r="7053" spans="8:9">
      <c r="H7053" s="1245"/>
      <c r="I7053" s="1245"/>
    </row>
    <row r="7054" spans="8:9">
      <c r="H7054" s="1245"/>
      <c r="I7054" s="1245"/>
    </row>
    <row r="7055" spans="8:9">
      <c r="H7055" s="1245"/>
      <c r="I7055" s="1245"/>
    </row>
    <row r="7056" spans="8:9">
      <c r="H7056" s="1245"/>
      <c r="I7056" s="1245"/>
    </row>
    <row r="7057" spans="8:9">
      <c r="H7057" s="1245"/>
      <c r="I7057" s="1245"/>
    </row>
    <row r="7058" spans="8:9">
      <c r="H7058" s="1245"/>
      <c r="I7058" s="1245"/>
    </row>
    <row r="7059" spans="8:9">
      <c r="H7059" s="1245"/>
      <c r="I7059" s="1245"/>
    </row>
    <row r="7060" spans="8:9">
      <c r="H7060" s="1245"/>
      <c r="I7060" s="1245"/>
    </row>
    <row r="7061" spans="8:9">
      <c r="H7061" s="1245"/>
      <c r="I7061" s="1245"/>
    </row>
    <row r="7062" spans="8:9">
      <c r="H7062" s="1245"/>
      <c r="I7062" s="1245"/>
    </row>
    <row r="7063" spans="8:9">
      <c r="H7063" s="1245"/>
      <c r="I7063" s="1245"/>
    </row>
    <row r="7064" spans="8:9">
      <c r="H7064" s="1245"/>
      <c r="I7064" s="1245"/>
    </row>
    <row r="7065" spans="8:9">
      <c r="H7065" s="1245"/>
      <c r="I7065" s="1245"/>
    </row>
    <row r="7066" spans="8:9">
      <c r="H7066" s="1245"/>
      <c r="I7066" s="1245"/>
    </row>
    <row r="7067" spans="8:9">
      <c r="H7067" s="1245"/>
      <c r="I7067" s="1245"/>
    </row>
    <row r="7068" spans="8:9">
      <c r="H7068" s="1245"/>
      <c r="I7068" s="1245"/>
    </row>
    <row r="7069" spans="8:9">
      <c r="H7069" s="1245"/>
      <c r="I7069" s="1245"/>
    </row>
    <row r="7070" spans="8:9">
      <c r="H7070" s="1245"/>
      <c r="I7070" s="1245"/>
    </row>
    <row r="7071" spans="8:9">
      <c r="H7071" s="1245"/>
      <c r="I7071" s="1245"/>
    </row>
    <row r="7072" spans="8:9">
      <c r="H7072" s="1245"/>
      <c r="I7072" s="1245"/>
    </row>
    <row r="7073" spans="8:9">
      <c r="H7073" s="1245"/>
      <c r="I7073" s="1245"/>
    </row>
    <row r="7074" spans="8:9">
      <c r="H7074" s="1245"/>
      <c r="I7074" s="1245"/>
    </row>
    <row r="7075" spans="8:9">
      <c r="H7075" s="1245"/>
      <c r="I7075" s="1245"/>
    </row>
    <row r="7076" spans="8:9">
      <c r="H7076" s="1245"/>
      <c r="I7076" s="1245"/>
    </row>
    <row r="7077" spans="8:9">
      <c r="H7077" s="1245"/>
      <c r="I7077" s="1245"/>
    </row>
    <row r="7078" spans="8:9">
      <c r="H7078" s="1245"/>
      <c r="I7078" s="1245"/>
    </row>
    <row r="7079" spans="8:9">
      <c r="H7079" s="1245"/>
      <c r="I7079" s="1245"/>
    </row>
    <row r="7080" spans="8:9">
      <c r="H7080" s="1245"/>
      <c r="I7080" s="1245"/>
    </row>
    <row r="7081" spans="8:9">
      <c r="H7081" s="1245"/>
      <c r="I7081" s="1245"/>
    </row>
    <row r="7082" spans="8:9">
      <c r="H7082" s="1245"/>
      <c r="I7082" s="1245"/>
    </row>
    <row r="7083" spans="8:9">
      <c r="H7083" s="1245"/>
      <c r="I7083" s="1245"/>
    </row>
    <row r="7084" spans="8:9">
      <c r="H7084" s="1245"/>
      <c r="I7084" s="1245"/>
    </row>
    <row r="7085" spans="8:9">
      <c r="H7085" s="1245"/>
      <c r="I7085" s="1245"/>
    </row>
    <row r="7086" spans="8:9">
      <c r="H7086" s="1245"/>
      <c r="I7086" s="1245"/>
    </row>
    <row r="7087" spans="8:9">
      <c r="H7087" s="1245"/>
      <c r="I7087" s="1245"/>
    </row>
    <row r="7088" spans="8:9">
      <c r="H7088" s="1245"/>
      <c r="I7088" s="1245"/>
    </row>
    <row r="7089" spans="8:9">
      <c r="H7089" s="1245"/>
      <c r="I7089" s="1245"/>
    </row>
    <row r="7090" spans="8:9">
      <c r="H7090" s="1245"/>
      <c r="I7090" s="1245"/>
    </row>
    <row r="7091" spans="8:9">
      <c r="H7091" s="1245"/>
      <c r="I7091" s="1245"/>
    </row>
    <row r="7092" spans="8:9">
      <c r="H7092" s="1245"/>
      <c r="I7092" s="1245"/>
    </row>
    <row r="7093" spans="8:9">
      <c r="H7093" s="1245"/>
      <c r="I7093" s="1245"/>
    </row>
    <row r="7094" spans="8:9">
      <c r="H7094" s="1245"/>
      <c r="I7094" s="1245"/>
    </row>
    <row r="7095" spans="8:9">
      <c r="H7095" s="1245"/>
      <c r="I7095" s="1245"/>
    </row>
    <row r="7096" spans="8:9">
      <c r="H7096" s="1245"/>
      <c r="I7096" s="1245"/>
    </row>
    <row r="7097" spans="8:9">
      <c r="H7097" s="1245"/>
      <c r="I7097" s="1245"/>
    </row>
    <row r="7098" spans="8:9">
      <c r="H7098" s="1245"/>
      <c r="I7098" s="1245"/>
    </row>
    <row r="7099" spans="8:9">
      <c r="H7099" s="1245"/>
      <c r="I7099" s="1245"/>
    </row>
    <row r="7100" spans="8:9">
      <c r="H7100" s="1245"/>
      <c r="I7100" s="1245"/>
    </row>
    <row r="7101" spans="8:9">
      <c r="H7101" s="1245"/>
      <c r="I7101" s="1245"/>
    </row>
    <row r="7102" spans="8:9">
      <c r="H7102" s="1245"/>
      <c r="I7102" s="1245"/>
    </row>
    <row r="7103" spans="8:9">
      <c r="H7103" s="1245"/>
      <c r="I7103" s="1245"/>
    </row>
    <row r="7104" spans="8:9">
      <c r="H7104" s="1245"/>
      <c r="I7104" s="1245"/>
    </row>
    <row r="7105" spans="8:9">
      <c r="H7105" s="1245"/>
      <c r="I7105" s="1245"/>
    </row>
    <row r="7106" spans="8:9">
      <c r="H7106" s="1245"/>
      <c r="I7106" s="1245"/>
    </row>
    <row r="7107" spans="8:9">
      <c r="H7107" s="1245"/>
      <c r="I7107" s="1245"/>
    </row>
    <row r="7108" spans="8:9">
      <c r="H7108" s="1245"/>
      <c r="I7108" s="1245"/>
    </row>
    <row r="7109" spans="8:9">
      <c r="H7109" s="1245"/>
      <c r="I7109" s="1245"/>
    </row>
    <row r="7110" spans="8:9">
      <c r="H7110" s="1245"/>
      <c r="I7110" s="1245"/>
    </row>
    <row r="7111" spans="8:9">
      <c r="H7111" s="1245"/>
      <c r="I7111" s="1245"/>
    </row>
    <row r="7112" spans="8:9">
      <c r="H7112" s="1245"/>
      <c r="I7112" s="1245"/>
    </row>
    <row r="7113" spans="8:9">
      <c r="H7113" s="1245"/>
      <c r="I7113" s="1245"/>
    </row>
    <row r="7114" spans="8:9">
      <c r="H7114" s="1245"/>
      <c r="I7114" s="1245"/>
    </row>
    <row r="7115" spans="8:9">
      <c r="H7115" s="1245"/>
      <c r="I7115" s="1245"/>
    </row>
    <row r="7116" spans="8:9">
      <c r="H7116" s="1245"/>
      <c r="I7116" s="1245"/>
    </row>
    <row r="7117" spans="8:9">
      <c r="H7117" s="1245"/>
      <c r="I7117" s="1245"/>
    </row>
    <row r="7118" spans="8:9">
      <c r="H7118" s="1245"/>
      <c r="I7118" s="1245"/>
    </row>
    <row r="7119" spans="8:9">
      <c r="H7119" s="1245"/>
      <c r="I7119" s="1245"/>
    </row>
    <row r="7120" spans="8:9">
      <c r="H7120" s="1245"/>
      <c r="I7120" s="1245"/>
    </row>
    <row r="7121" spans="8:9">
      <c r="H7121" s="1245"/>
      <c r="I7121" s="1245"/>
    </row>
    <row r="7122" spans="8:9">
      <c r="H7122" s="1245"/>
      <c r="I7122" s="1245"/>
    </row>
    <row r="7123" spans="8:9">
      <c r="H7123" s="1245"/>
      <c r="I7123" s="1245"/>
    </row>
    <row r="7124" spans="8:9">
      <c r="H7124" s="1245"/>
      <c r="I7124" s="1245"/>
    </row>
    <row r="7125" spans="8:9">
      <c r="H7125" s="1245"/>
      <c r="I7125" s="1245"/>
    </row>
    <row r="7126" spans="8:9">
      <c r="H7126" s="1245"/>
      <c r="I7126" s="1245"/>
    </row>
    <row r="7127" spans="8:9">
      <c r="H7127" s="1245"/>
      <c r="I7127" s="1245"/>
    </row>
    <row r="7128" spans="8:9">
      <c r="H7128" s="1245"/>
      <c r="I7128" s="1245"/>
    </row>
    <row r="7129" spans="8:9">
      <c r="H7129" s="1245"/>
      <c r="I7129" s="1245"/>
    </row>
    <row r="7130" spans="8:9">
      <c r="H7130" s="1245"/>
      <c r="I7130" s="1245"/>
    </row>
    <row r="7131" spans="8:9">
      <c r="H7131" s="1245"/>
      <c r="I7131" s="1245"/>
    </row>
    <row r="7132" spans="8:9">
      <c r="H7132" s="1245"/>
      <c r="I7132" s="1245"/>
    </row>
    <row r="7133" spans="8:9">
      <c r="H7133" s="1245"/>
      <c r="I7133" s="1245"/>
    </row>
    <row r="7134" spans="8:9">
      <c r="H7134" s="1245"/>
      <c r="I7134" s="1245"/>
    </row>
    <row r="7135" spans="8:9">
      <c r="H7135" s="1245"/>
      <c r="I7135" s="1245"/>
    </row>
    <row r="7136" spans="8:9">
      <c r="H7136" s="1245"/>
      <c r="I7136" s="1245"/>
    </row>
    <row r="7137" spans="8:9">
      <c r="H7137" s="1245"/>
      <c r="I7137" s="1245"/>
    </row>
    <row r="7138" spans="8:9">
      <c r="H7138" s="1245"/>
      <c r="I7138" s="1245"/>
    </row>
    <row r="7139" spans="8:9">
      <c r="H7139" s="1245"/>
      <c r="I7139" s="1245"/>
    </row>
    <row r="7140" spans="8:9">
      <c r="H7140" s="1245"/>
      <c r="I7140" s="1245"/>
    </row>
    <row r="7141" spans="8:9">
      <c r="H7141" s="1245"/>
      <c r="I7141" s="1245"/>
    </row>
    <row r="7142" spans="8:9">
      <c r="H7142" s="1245"/>
      <c r="I7142" s="1245"/>
    </row>
    <row r="7143" spans="8:9">
      <c r="H7143" s="1245"/>
      <c r="I7143" s="1245"/>
    </row>
    <row r="7144" spans="8:9">
      <c r="H7144" s="1245"/>
      <c r="I7144" s="1245"/>
    </row>
    <row r="7145" spans="8:9">
      <c r="H7145" s="1245"/>
      <c r="I7145" s="1245"/>
    </row>
    <row r="7146" spans="8:9">
      <c r="H7146" s="1245"/>
      <c r="I7146" s="1245"/>
    </row>
    <row r="7147" spans="8:9">
      <c r="H7147" s="1245"/>
      <c r="I7147" s="1245"/>
    </row>
    <row r="7148" spans="8:9">
      <c r="H7148" s="1245"/>
      <c r="I7148" s="1245"/>
    </row>
    <row r="7149" spans="8:9">
      <c r="H7149" s="1245"/>
      <c r="I7149" s="1245"/>
    </row>
    <row r="7150" spans="8:9">
      <c r="H7150" s="1245"/>
      <c r="I7150" s="1245"/>
    </row>
    <row r="7151" spans="8:9">
      <c r="H7151" s="1245"/>
      <c r="I7151" s="1245"/>
    </row>
    <row r="7152" spans="8:9">
      <c r="H7152" s="1245"/>
      <c r="I7152" s="1245"/>
    </row>
    <row r="7153" spans="8:9">
      <c r="H7153" s="1245"/>
      <c r="I7153" s="1245"/>
    </row>
    <row r="7154" spans="8:9">
      <c r="H7154" s="1245"/>
      <c r="I7154" s="1245"/>
    </row>
    <row r="7155" spans="8:9">
      <c r="H7155" s="1245"/>
      <c r="I7155" s="1245"/>
    </row>
    <row r="7156" spans="8:9">
      <c r="H7156" s="1245"/>
      <c r="I7156" s="1245"/>
    </row>
    <row r="7157" spans="8:9">
      <c r="H7157" s="1245"/>
      <c r="I7157" s="1245"/>
    </row>
    <row r="7158" spans="8:9">
      <c r="H7158" s="1245"/>
      <c r="I7158" s="1245"/>
    </row>
    <row r="7159" spans="8:9">
      <c r="H7159" s="1245"/>
      <c r="I7159" s="1245"/>
    </row>
    <row r="7160" spans="8:9">
      <c r="H7160" s="1245"/>
      <c r="I7160" s="1245"/>
    </row>
    <row r="7161" spans="8:9">
      <c r="H7161" s="1245"/>
      <c r="I7161" s="1245"/>
    </row>
    <row r="7162" spans="8:9">
      <c r="H7162" s="1245"/>
      <c r="I7162" s="1245"/>
    </row>
    <row r="7163" spans="8:9">
      <c r="H7163" s="1245"/>
      <c r="I7163" s="1245"/>
    </row>
    <row r="7164" spans="8:9">
      <c r="H7164" s="1245"/>
      <c r="I7164" s="1245"/>
    </row>
    <row r="7165" spans="8:9">
      <c r="H7165" s="1245"/>
      <c r="I7165" s="1245"/>
    </row>
    <row r="7166" spans="8:9">
      <c r="H7166" s="1245"/>
      <c r="I7166" s="1245"/>
    </row>
    <row r="7167" spans="8:9">
      <c r="H7167" s="1245"/>
      <c r="I7167" s="1245"/>
    </row>
    <row r="7168" spans="8:9">
      <c r="H7168" s="1245"/>
      <c r="I7168" s="1245"/>
    </row>
    <row r="7169" spans="8:9">
      <c r="H7169" s="1245"/>
      <c r="I7169" s="1245"/>
    </row>
    <row r="7170" spans="8:9">
      <c r="H7170" s="1245"/>
      <c r="I7170" s="1245"/>
    </row>
    <row r="7171" spans="8:9">
      <c r="H7171" s="1245"/>
      <c r="I7171" s="1245"/>
    </row>
    <row r="7172" spans="8:9">
      <c r="H7172" s="1245"/>
      <c r="I7172" s="1245"/>
    </row>
    <row r="7173" spans="8:9">
      <c r="H7173" s="1245"/>
      <c r="I7173" s="1245"/>
    </row>
    <row r="7174" spans="8:9">
      <c r="H7174" s="1245"/>
      <c r="I7174" s="1245"/>
    </row>
    <row r="7175" spans="8:9">
      <c r="H7175" s="1245"/>
      <c r="I7175" s="1245"/>
    </row>
    <row r="7176" spans="8:9">
      <c r="H7176" s="1245"/>
      <c r="I7176" s="1245"/>
    </row>
    <row r="7177" spans="8:9">
      <c r="H7177" s="1245"/>
      <c r="I7177" s="1245"/>
    </row>
    <row r="7178" spans="8:9">
      <c r="H7178" s="1245"/>
      <c r="I7178" s="1245"/>
    </row>
    <row r="7179" spans="8:9">
      <c r="H7179" s="1245"/>
      <c r="I7179" s="1245"/>
    </row>
    <row r="7180" spans="8:9">
      <c r="H7180" s="1245"/>
      <c r="I7180" s="1245"/>
    </row>
    <row r="7181" spans="8:9">
      <c r="H7181" s="1245"/>
      <c r="I7181" s="1245"/>
    </row>
    <row r="7182" spans="8:9">
      <c r="H7182" s="1245"/>
      <c r="I7182" s="1245"/>
    </row>
    <row r="7183" spans="8:9">
      <c r="H7183" s="1245"/>
      <c r="I7183" s="1245"/>
    </row>
    <row r="7184" spans="8:9">
      <c r="H7184" s="1245"/>
      <c r="I7184" s="1245"/>
    </row>
    <row r="7185" spans="8:9">
      <c r="H7185" s="1245"/>
      <c r="I7185" s="1245"/>
    </row>
    <row r="7186" spans="8:9">
      <c r="H7186" s="1245"/>
      <c r="I7186" s="1245"/>
    </row>
    <row r="7187" spans="8:9">
      <c r="H7187" s="1245"/>
      <c r="I7187" s="1245"/>
    </row>
    <row r="7188" spans="8:9">
      <c r="H7188" s="1245"/>
      <c r="I7188" s="1245"/>
    </row>
    <row r="7189" spans="8:9">
      <c r="H7189" s="1245"/>
      <c r="I7189" s="1245"/>
    </row>
    <row r="7190" spans="8:9">
      <c r="H7190" s="1245"/>
      <c r="I7190" s="1245"/>
    </row>
    <row r="7191" spans="8:9">
      <c r="H7191" s="1245"/>
      <c r="I7191" s="1245"/>
    </row>
    <row r="7192" spans="8:9">
      <c r="H7192" s="1245"/>
      <c r="I7192" s="1245"/>
    </row>
    <row r="7193" spans="8:9">
      <c r="H7193" s="1245"/>
      <c r="I7193" s="1245"/>
    </row>
    <row r="7194" spans="8:9">
      <c r="H7194" s="1245"/>
      <c r="I7194" s="1245"/>
    </row>
    <row r="7195" spans="8:9">
      <c r="H7195" s="1245"/>
      <c r="I7195" s="1245"/>
    </row>
    <row r="7196" spans="8:9">
      <c r="H7196" s="1245"/>
      <c r="I7196" s="1245"/>
    </row>
    <row r="7197" spans="8:9">
      <c r="H7197" s="1245"/>
      <c r="I7197" s="1245"/>
    </row>
    <row r="7198" spans="8:9">
      <c r="H7198" s="1245"/>
      <c r="I7198" s="1245"/>
    </row>
    <row r="7199" spans="8:9">
      <c r="H7199" s="1245"/>
      <c r="I7199" s="1245"/>
    </row>
    <row r="7200" spans="8:9">
      <c r="H7200" s="1245"/>
      <c r="I7200" s="1245"/>
    </row>
    <row r="7201" spans="8:9">
      <c r="H7201" s="1245"/>
      <c r="I7201" s="1245"/>
    </row>
    <row r="7202" spans="8:9">
      <c r="H7202" s="1245"/>
      <c r="I7202" s="1245"/>
    </row>
    <row r="7203" spans="8:9">
      <c r="H7203" s="1245"/>
      <c r="I7203" s="1245"/>
    </row>
    <row r="7204" spans="8:9">
      <c r="H7204" s="1245"/>
      <c r="I7204" s="1245"/>
    </row>
    <row r="7205" spans="8:9">
      <c r="H7205" s="1245"/>
      <c r="I7205" s="1245"/>
    </row>
    <row r="7206" spans="8:9">
      <c r="H7206" s="1245"/>
      <c r="I7206" s="1245"/>
    </row>
    <row r="7207" spans="8:9">
      <c r="H7207" s="1245"/>
      <c r="I7207" s="1245"/>
    </row>
    <row r="7208" spans="8:9">
      <c r="H7208" s="1245"/>
      <c r="I7208" s="1245"/>
    </row>
    <row r="7209" spans="8:9">
      <c r="H7209" s="1245"/>
      <c r="I7209" s="1245"/>
    </row>
    <row r="7210" spans="8:9">
      <c r="H7210" s="1245"/>
      <c r="I7210" s="1245"/>
    </row>
    <row r="7211" spans="8:9">
      <c r="H7211" s="1245"/>
      <c r="I7211" s="1245"/>
    </row>
    <row r="7212" spans="8:9">
      <c r="H7212" s="1245"/>
      <c r="I7212" s="1245"/>
    </row>
    <row r="7213" spans="8:9">
      <c r="H7213" s="1245"/>
      <c r="I7213" s="1245"/>
    </row>
    <row r="7214" spans="8:9">
      <c r="H7214" s="1245"/>
      <c r="I7214" s="1245"/>
    </row>
    <row r="7215" spans="8:9">
      <c r="H7215" s="1245"/>
      <c r="I7215" s="1245"/>
    </row>
    <row r="7216" spans="8:9">
      <c r="H7216" s="1245"/>
      <c r="I7216" s="1245"/>
    </row>
    <row r="7217" spans="8:9">
      <c r="H7217" s="1245"/>
      <c r="I7217" s="1245"/>
    </row>
    <row r="7218" spans="8:9">
      <c r="H7218" s="1245"/>
      <c r="I7218" s="1245"/>
    </row>
    <row r="7219" spans="8:9">
      <c r="H7219" s="1245"/>
      <c r="I7219" s="1245"/>
    </row>
    <row r="7220" spans="8:9">
      <c r="H7220" s="1245"/>
      <c r="I7220" s="1245"/>
    </row>
    <row r="7221" spans="8:9">
      <c r="H7221" s="1245"/>
      <c r="I7221" s="1245"/>
    </row>
    <row r="7222" spans="8:9">
      <c r="H7222" s="1245"/>
      <c r="I7222" s="1245"/>
    </row>
    <row r="7223" spans="8:9">
      <c r="H7223" s="1245"/>
      <c r="I7223" s="1245"/>
    </row>
    <row r="7224" spans="8:9">
      <c r="H7224" s="1245"/>
      <c r="I7224" s="1245"/>
    </row>
    <row r="7225" spans="8:9">
      <c r="H7225" s="1245"/>
      <c r="I7225" s="1245"/>
    </row>
    <row r="7226" spans="8:9">
      <c r="H7226" s="1245"/>
      <c r="I7226" s="1245"/>
    </row>
    <row r="7227" spans="8:9">
      <c r="H7227" s="1245"/>
      <c r="I7227" s="1245"/>
    </row>
    <row r="7228" spans="8:9">
      <c r="H7228" s="1245"/>
      <c r="I7228" s="1245"/>
    </row>
    <row r="7229" spans="8:9">
      <c r="H7229" s="1245"/>
      <c r="I7229" s="1245"/>
    </row>
    <row r="7230" spans="8:9">
      <c r="H7230" s="1245"/>
      <c r="I7230" s="1245"/>
    </row>
    <row r="7231" spans="8:9">
      <c r="H7231" s="1245"/>
      <c r="I7231" s="1245"/>
    </row>
    <row r="7232" spans="8:9">
      <c r="H7232" s="1245"/>
      <c r="I7232" s="1245"/>
    </row>
    <row r="7233" spans="8:9">
      <c r="H7233" s="1245"/>
      <c r="I7233" s="1245"/>
    </row>
    <row r="7234" spans="8:9">
      <c r="H7234" s="1245"/>
      <c r="I7234" s="1245"/>
    </row>
    <row r="7235" spans="8:9">
      <c r="H7235" s="1245"/>
      <c r="I7235" s="1245"/>
    </row>
    <row r="7236" spans="8:9">
      <c r="H7236" s="1245"/>
      <c r="I7236" s="1245"/>
    </row>
    <row r="7237" spans="8:9">
      <c r="H7237" s="1245"/>
      <c r="I7237" s="1245"/>
    </row>
    <row r="7238" spans="8:9">
      <c r="H7238" s="1245"/>
      <c r="I7238" s="1245"/>
    </row>
    <row r="7239" spans="8:9">
      <c r="H7239" s="1245"/>
      <c r="I7239" s="1245"/>
    </row>
    <row r="7240" spans="8:9">
      <c r="H7240" s="1245"/>
      <c r="I7240" s="1245"/>
    </row>
    <row r="7241" spans="8:9">
      <c r="H7241" s="1245"/>
      <c r="I7241" s="1245"/>
    </row>
    <row r="7242" spans="8:9">
      <c r="H7242" s="1245"/>
      <c r="I7242" s="1245"/>
    </row>
    <row r="7243" spans="8:9">
      <c r="H7243" s="1245"/>
      <c r="I7243" s="1245"/>
    </row>
    <row r="7244" spans="8:9">
      <c r="H7244" s="1245"/>
      <c r="I7244" s="1245"/>
    </row>
    <row r="7245" spans="8:9">
      <c r="H7245" s="1245"/>
      <c r="I7245" s="1245"/>
    </row>
    <row r="7246" spans="8:9">
      <c r="H7246" s="1245"/>
      <c r="I7246" s="1245"/>
    </row>
    <row r="7247" spans="8:9">
      <c r="H7247" s="1245"/>
      <c r="I7247" s="1245"/>
    </row>
    <row r="7248" spans="8:9">
      <c r="H7248" s="1245"/>
      <c r="I7248" s="1245"/>
    </row>
    <row r="7249" spans="8:9">
      <c r="H7249" s="1245"/>
      <c r="I7249" s="1245"/>
    </row>
    <row r="7250" spans="8:9">
      <c r="H7250" s="1245"/>
      <c r="I7250" s="1245"/>
    </row>
    <row r="7251" spans="8:9">
      <c r="H7251" s="1245"/>
      <c r="I7251" s="1245"/>
    </row>
    <row r="7252" spans="8:9">
      <c r="H7252" s="1245"/>
      <c r="I7252" s="1245"/>
    </row>
    <row r="7253" spans="8:9">
      <c r="H7253" s="1245"/>
      <c r="I7253" s="1245"/>
    </row>
    <row r="7254" spans="8:9">
      <c r="H7254" s="1245"/>
      <c r="I7254" s="1245"/>
    </row>
    <row r="7255" spans="8:9">
      <c r="H7255" s="1245"/>
      <c r="I7255" s="1245"/>
    </row>
    <row r="7256" spans="8:9">
      <c r="H7256" s="1245"/>
      <c r="I7256" s="1245"/>
    </row>
    <row r="7257" spans="8:9">
      <c r="H7257" s="1245"/>
      <c r="I7257" s="1245"/>
    </row>
    <row r="7258" spans="8:9">
      <c r="H7258" s="1245"/>
      <c r="I7258" s="1245"/>
    </row>
    <row r="7259" spans="8:9">
      <c r="H7259" s="1245"/>
      <c r="I7259" s="1245"/>
    </row>
    <row r="7260" spans="8:9">
      <c r="H7260" s="1245"/>
      <c r="I7260" s="1245"/>
    </row>
    <row r="7261" spans="8:9">
      <c r="H7261" s="1245"/>
      <c r="I7261" s="1245"/>
    </row>
    <row r="7262" spans="8:9">
      <c r="H7262" s="1245"/>
      <c r="I7262" s="1245"/>
    </row>
    <row r="7263" spans="8:9">
      <c r="H7263" s="1245"/>
      <c r="I7263" s="1245"/>
    </row>
    <row r="7264" spans="8:9">
      <c r="H7264" s="1245"/>
      <c r="I7264" s="1245"/>
    </row>
    <row r="7265" spans="8:9">
      <c r="H7265" s="1245"/>
      <c r="I7265" s="1245"/>
    </row>
    <row r="7266" spans="8:9">
      <c r="H7266" s="1245"/>
      <c r="I7266" s="1245"/>
    </row>
    <row r="7267" spans="8:9">
      <c r="H7267" s="1245"/>
      <c r="I7267" s="1245"/>
    </row>
    <row r="7268" spans="8:9">
      <c r="H7268" s="1245"/>
      <c r="I7268" s="1245"/>
    </row>
    <row r="7269" spans="8:9">
      <c r="H7269" s="1245"/>
      <c r="I7269" s="1245"/>
    </row>
    <row r="7270" spans="8:9">
      <c r="H7270" s="1245"/>
      <c r="I7270" s="1245"/>
    </row>
    <row r="7271" spans="8:9">
      <c r="H7271" s="1245"/>
      <c r="I7271" s="1245"/>
    </row>
    <row r="7272" spans="8:9">
      <c r="H7272" s="1245"/>
      <c r="I7272" s="1245"/>
    </row>
    <row r="7273" spans="8:9">
      <c r="H7273" s="1245"/>
      <c r="I7273" s="1245"/>
    </row>
    <row r="7274" spans="8:9">
      <c r="H7274" s="1245"/>
      <c r="I7274" s="1245"/>
    </row>
    <row r="7275" spans="8:9">
      <c r="H7275" s="1245"/>
      <c r="I7275" s="1245"/>
    </row>
    <row r="7276" spans="8:9">
      <c r="H7276" s="1245"/>
      <c r="I7276" s="1245"/>
    </row>
    <row r="7277" spans="8:9">
      <c r="H7277" s="1245"/>
      <c r="I7277" s="1245"/>
    </row>
    <row r="7278" spans="8:9">
      <c r="H7278" s="1245"/>
      <c r="I7278" s="1245"/>
    </row>
    <row r="7279" spans="8:9">
      <c r="H7279" s="1245"/>
      <c r="I7279" s="1245"/>
    </row>
    <row r="7280" spans="8:9">
      <c r="H7280" s="1245"/>
      <c r="I7280" s="1245"/>
    </row>
    <row r="7281" spans="8:9">
      <c r="H7281" s="1245"/>
      <c r="I7281" s="1245"/>
    </row>
    <row r="7282" spans="8:9">
      <c r="H7282" s="1245"/>
      <c r="I7282" s="1245"/>
    </row>
    <row r="7283" spans="8:9">
      <c r="H7283" s="1245"/>
      <c r="I7283" s="1245"/>
    </row>
    <row r="7284" spans="8:9">
      <c r="H7284" s="1245"/>
      <c r="I7284" s="1245"/>
    </row>
    <row r="7285" spans="8:9">
      <c r="H7285" s="1245"/>
      <c r="I7285" s="1245"/>
    </row>
    <row r="7286" spans="8:9">
      <c r="H7286" s="1245"/>
      <c r="I7286" s="1245"/>
    </row>
    <row r="7287" spans="8:9">
      <c r="H7287" s="1245"/>
      <c r="I7287" s="1245"/>
    </row>
    <row r="7288" spans="8:9">
      <c r="H7288" s="1245"/>
      <c r="I7288" s="1245"/>
    </row>
    <row r="7289" spans="8:9">
      <c r="H7289" s="1245"/>
      <c r="I7289" s="1245"/>
    </row>
    <row r="7290" spans="8:9">
      <c r="H7290" s="1245"/>
      <c r="I7290" s="1245"/>
    </row>
    <row r="7291" spans="8:9">
      <c r="H7291" s="1245"/>
      <c r="I7291" s="1245"/>
    </row>
    <row r="7292" spans="8:9">
      <c r="H7292" s="1245"/>
      <c r="I7292" s="1245"/>
    </row>
    <row r="7293" spans="8:9">
      <c r="H7293" s="1245"/>
      <c r="I7293" s="1245"/>
    </row>
    <row r="7294" spans="8:9">
      <c r="H7294" s="1245"/>
      <c r="I7294" s="1245"/>
    </row>
    <row r="7295" spans="8:9">
      <c r="H7295" s="1245"/>
      <c r="I7295" s="1245"/>
    </row>
    <row r="7296" spans="8:9">
      <c r="H7296" s="1245"/>
      <c r="I7296" s="1245"/>
    </row>
    <row r="7297" spans="8:9">
      <c r="H7297" s="1245"/>
      <c r="I7297" s="1245"/>
    </row>
    <row r="7298" spans="8:9">
      <c r="H7298" s="1245"/>
      <c r="I7298" s="1245"/>
    </row>
    <row r="7299" spans="8:9">
      <c r="H7299" s="1245"/>
      <c r="I7299" s="1245"/>
    </row>
    <row r="7300" spans="8:9">
      <c r="H7300" s="1245"/>
      <c r="I7300" s="1245"/>
    </row>
    <row r="7301" spans="8:9">
      <c r="H7301" s="1245"/>
      <c r="I7301" s="1245"/>
    </row>
    <row r="7302" spans="8:9">
      <c r="H7302" s="1245"/>
      <c r="I7302" s="1245"/>
    </row>
    <row r="7303" spans="8:9">
      <c r="H7303" s="1245"/>
      <c r="I7303" s="1245"/>
    </row>
    <row r="7304" spans="8:9">
      <c r="H7304" s="1245"/>
      <c r="I7304" s="1245"/>
    </row>
    <row r="7305" spans="8:9">
      <c r="H7305" s="1245"/>
      <c r="I7305" s="1245"/>
    </row>
    <row r="7306" spans="8:9">
      <c r="H7306" s="1245"/>
      <c r="I7306" s="1245"/>
    </row>
    <row r="7307" spans="8:9">
      <c r="H7307" s="1245"/>
      <c r="I7307" s="1245"/>
    </row>
    <row r="7308" spans="8:9">
      <c r="H7308" s="1245"/>
      <c r="I7308" s="1245"/>
    </row>
    <row r="7309" spans="8:9">
      <c r="H7309" s="1245"/>
      <c r="I7309" s="1245"/>
    </row>
    <row r="7310" spans="8:9">
      <c r="H7310" s="1245"/>
      <c r="I7310" s="1245"/>
    </row>
    <row r="7311" spans="8:9">
      <c r="H7311" s="1245"/>
      <c r="I7311" s="1245"/>
    </row>
    <row r="7312" spans="8:9">
      <c r="H7312" s="1245"/>
      <c r="I7312" s="1245"/>
    </row>
    <row r="7313" spans="8:9">
      <c r="H7313" s="1245"/>
      <c r="I7313" s="1245"/>
    </row>
    <row r="7314" spans="8:9">
      <c r="H7314" s="1245"/>
      <c r="I7314" s="1245"/>
    </row>
    <row r="7315" spans="8:9">
      <c r="H7315" s="1245"/>
      <c r="I7315" s="1245"/>
    </row>
    <row r="7316" spans="8:9">
      <c r="H7316" s="1245"/>
      <c r="I7316" s="1245"/>
    </row>
    <row r="7317" spans="8:9">
      <c r="H7317" s="1245"/>
      <c r="I7317" s="1245"/>
    </row>
    <row r="7318" spans="8:9">
      <c r="H7318" s="1245"/>
      <c r="I7318" s="1245"/>
    </row>
    <row r="7319" spans="8:9">
      <c r="H7319" s="1245"/>
      <c r="I7319" s="1245"/>
    </row>
    <row r="7320" spans="8:9">
      <c r="H7320" s="1245"/>
      <c r="I7320" s="1245"/>
    </row>
    <row r="7321" spans="8:9">
      <c r="H7321" s="1245"/>
      <c r="I7321" s="1245"/>
    </row>
    <row r="7322" spans="8:9">
      <c r="H7322" s="1245"/>
      <c r="I7322" s="1245"/>
    </row>
    <row r="7323" spans="8:9">
      <c r="H7323" s="1245"/>
      <c r="I7323" s="1245"/>
    </row>
    <row r="7324" spans="8:9">
      <c r="H7324" s="1245"/>
      <c r="I7324" s="1245"/>
    </row>
    <row r="7325" spans="8:9">
      <c r="H7325" s="1245"/>
      <c r="I7325" s="1245"/>
    </row>
    <row r="7326" spans="8:9">
      <c r="H7326" s="1245"/>
      <c r="I7326" s="1245"/>
    </row>
    <row r="7327" spans="8:9">
      <c r="H7327" s="1245"/>
      <c r="I7327" s="1245"/>
    </row>
    <row r="7328" spans="8:9">
      <c r="H7328" s="1245"/>
      <c r="I7328" s="1245"/>
    </row>
    <row r="7329" spans="8:9">
      <c r="H7329" s="1245"/>
      <c r="I7329" s="1245"/>
    </row>
    <row r="7330" spans="8:9">
      <c r="H7330" s="1245"/>
      <c r="I7330" s="1245"/>
    </row>
    <row r="7331" spans="8:9">
      <c r="H7331" s="1245"/>
      <c r="I7331" s="1245"/>
    </row>
    <row r="7332" spans="8:9">
      <c r="H7332" s="1245"/>
      <c r="I7332" s="1245"/>
    </row>
    <row r="7333" spans="8:9">
      <c r="H7333" s="1245"/>
      <c r="I7333" s="1245"/>
    </row>
    <row r="7334" spans="8:9">
      <c r="H7334" s="1245"/>
      <c r="I7334" s="1245"/>
    </row>
    <row r="7335" spans="8:9">
      <c r="H7335" s="1245"/>
      <c r="I7335" s="1245"/>
    </row>
    <row r="7336" spans="8:9">
      <c r="H7336" s="1245"/>
      <c r="I7336" s="1245"/>
    </row>
    <row r="7337" spans="8:9">
      <c r="H7337" s="1245"/>
      <c r="I7337" s="1245"/>
    </row>
    <row r="7338" spans="8:9">
      <c r="H7338" s="1245"/>
      <c r="I7338" s="1245"/>
    </row>
    <row r="7339" spans="8:9">
      <c r="H7339" s="1245"/>
      <c r="I7339" s="1245"/>
    </row>
    <row r="7340" spans="8:9">
      <c r="H7340" s="1245"/>
      <c r="I7340" s="1245"/>
    </row>
    <row r="7341" spans="8:9">
      <c r="H7341" s="1245"/>
      <c r="I7341" s="1245"/>
    </row>
    <row r="7342" spans="8:9">
      <c r="H7342" s="1245"/>
      <c r="I7342" s="1245"/>
    </row>
    <row r="7343" spans="8:9">
      <c r="H7343" s="1245"/>
      <c r="I7343" s="1245"/>
    </row>
    <row r="7344" spans="8:9">
      <c r="H7344" s="1245"/>
      <c r="I7344" s="1245"/>
    </row>
    <row r="7345" spans="8:9">
      <c r="H7345" s="1245"/>
      <c r="I7345" s="1245"/>
    </row>
    <row r="7346" spans="8:9">
      <c r="H7346" s="1245"/>
      <c r="I7346" s="1245"/>
    </row>
    <row r="7347" spans="8:9">
      <c r="H7347" s="1245"/>
      <c r="I7347" s="1245"/>
    </row>
    <row r="7348" spans="8:9">
      <c r="H7348" s="1245"/>
      <c r="I7348" s="1245"/>
    </row>
    <row r="7349" spans="8:9">
      <c r="H7349" s="1245"/>
      <c r="I7349" s="1245"/>
    </row>
    <row r="7350" spans="8:9">
      <c r="H7350" s="1245"/>
      <c r="I7350" s="1245"/>
    </row>
    <row r="7351" spans="8:9">
      <c r="H7351" s="1245"/>
      <c r="I7351" s="1245"/>
    </row>
    <row r="7352" spans="8:9">
      <c r="H7352" s="1245"/>
      <c r="I7352" s="1245"/>
    </row>
    <row r="7353" spans="8:9">
      <c r="H7353" s="1245"/>
      <c r="I7353" s="1245"/>
    </row>
    <row r="7354" spans="8:9">
      <c r="H7354" s="1245"/>
      <c r="I7354" s="1245"/>
    </row>
    <row r="7355" spans="8:9">
      <c r="H7355" s="1245"/>
      <c r="I7355" s="1245"/>
    </row>
    <row r="7356" spans="8:9">
      <c r="H7356" s="1245"/>
      <c r="I7356" s="1245"/>
    </row>
    <row r="7357" spans="8:9">
      <c r="H7357" s="1245"/>
      <c r="I7357" s="1245"/>
    </row>
    <row r="7358" spans="8:9">
      <c r="H7358" s="1245"/>
      <c r="I7358" s="1245"/>
    </row>
    <row r="7359" spans="8:9">
      <c r="H7359" s="1245"/>
      <c r="I7359" s="1245"/>
    </row>
    <row r="7360" spans="8:9">
      <c r="H7360" s="1245"/>
      <c r="I7360" s="1245"/>
    </row>
    <row r="7361" spans="8:9">
      <c r="H7361" s="1245"/>
      <c r="I7361" s="1245"/>
    </row>
    <row r="7362" spans="8:9">
      <c r="H7362" s="1245"/>
      <c r="I7362" s="1245"/>
    </row>
    <row r="7363" spans="8:9">
      <c r="H7363" s="1245"/>
      <c r="I7363" s="1245"/>
    </row>
    <row r="7364" spans="8:9">
      <c r="H7364" s="1245"/>
      <c r="I7364" s="1245"/>
    </row>
    <row r="7365" spans="8:9">
      <c r="H7365" s="1245"/>
      <c r="I7365" s="1245"/>
    </row>
    <row r="7366" spans="8:9">
      <c r="H7366" s="1245"/>
      <c r="I7366" s="1245"/>
    </row>
    <row r="7367" spans="8:9">
      <c r="H7367" s="1245"/>
      <c r="I7367" s="1245"/>
    </row>
    <row r="7368" spans="8:9">
      <c r="H7368" s="1245"/>
      <c r="I7368" s="1245"/>
    </row>
    <row r="7369" spans="8:9">
      <c r="H7369" s="1245"/>
      <c r="I7369" s="1245"/>
    </row>
    <row r="7370" spans="8:9">
      <c r="H7370" s="1245"/>
      <c r="I7370" s="1245"/>
    </row>
    <row r="7371" spans="8:9">
      <c r="H7371" s="1245"/>
      <c r="I7371" s="1245"/>
    </row>
    <row r="7372" spans="8:9">
      <c r="H7372" s="1245"/>
      <c r="I7372" s="1245"/>
    </row>
    <row r="7373" spans="8:9">
      <c r="H7373" s="1245"/>
      <c r="I7373" s="1245"/>
    </row>
    <row r="7374" spans="8:9">
      <c r="H7374" s="1245"/>
      <c r="I7374" s="1245"/>
    </row>
    <row r="7375" spans="8:9">
      <c r="H7375" s="1245"/>
      <c r="I7375" s="1245"/>
    </row>
    <row r="7376" spans="8:9">
      <c r="H7376" s="1245"/>
      <c r="I7376" s="1245"/>
    </row>
    <row r="7377" spans="8:9">
      <c r="H7377" s="1245"/>
      <c r="I7377" s="1245"/>
    </row>
    <row r="7378" spans="8:9">
      <c r="H7378" s="1245"/>
      <c r="I7378" s="1245"/>
    </row>
    <row r="7379" spans="8:9">
      <c r="H7379" s="1245"/>
      <c r="I7379" s="1245"/>
    </row>
    <row r="7380" spans="8:9">
      <c r="H7380" s="1245"/>
      <c r="I7380" s="1245"/>
    </row>
    <row r="7381" spans="8:9">
      <c r="H7381" s="1245"/>
      <c r="I7381" s="1245"/>
    </row>
    <row r="7382" spans="8:9">
      <c r="H7382" s="1245"/>
      <c r="I7382" s="1245"/>
    </row>
    <row r="7383" spans="8:9">
      <c r="H7383" s="1245"/>
      <c r="I7383" s="1245"/>
    </row>
    <row r="7384" spans="8:9">
      <c r="H7384" s="1245"/>
      <c r="I7384" s="1245"/>
    </row>
    <row r="7385" spans="8:9">
      <c r="H7385" s="1245"/>
      <c r="I7385" s="1245"/>
    </row>
    <row r="7386" spans="8:9">
      <c r="H7386" s="1245"/>
      <c r="I7386" s="1245"/>
    </row>
    <row r="7387" spans="8:9">
      <c r="H7387" s="1245"/>
      <c r="I7387" s="1245"/>
    </row>
    <row r="7388" spans="8:9">
      <c r="H7388" s="1245"/>
      <c r="I7388" s="1245"/>
    </row>
    <row r="7389" spans="8:9">
      <c r="H7389" s="1245"/>
      <c r="I7389" s="1245"/>
    </row>
    <row r="7390" spans="8:9">
      <c r="H7390" s="1245"/>
      <c r="I7390" s="1245"/>
    </row>
    <row r="7391" spans="8:9">
      <c r="H7391" s="1245"/>
      <c r="I7391" s="1245"/>
    </row>
    <row r="7392" spans="8:9">
      <c r="H7392" s="1245"/>
      <c r="I7392" s="1245"/>
    </row>
    <row r="7393" spans="8:9">
      <c r="H7393" s="1245"/>
      <c r="I7393" s="1245"/>
    </row>
    <row r="7394" spans="8:9">
      <c r="H7394" s="1245"/>
      <c r="I7394" s="1245"/>
    </row>
    <row r="7395" spans="8:9">
      <c r="H7395" s="1245"/>
      <c r="I7395" s="1245"/>
    </row>
    <row r="7396" spans="8:9">
      <c r="H7396" s="1245"/>
      <c r="I7396" s="1245"/>
    </row>
    <row r="7397" spans="8:9">
      <c r="H7397" s="1245"/>
      <c r="I7397" s="1245"/>
    </row>
    <row r="7398" spans="8:9">
      <c r="H7398" s="1245"/>
      <c r="I7398" s="1245"/>
    </row>
    <row r="7399" spans="8:9">
      <c r="H7399" s="1245"/>
      <c r="I7399" s="1245"/>
    </row>
    <row r="7400" spans="8:9">
      <c r="H7400" s="1245"/>
      <c r="I7400" s="1245"/>
    </row>
    <row r="7401" spans="8:9">
      <c r="H7401" s="1245"/>
      <c r="I7401" s="1245"/>
    </row>
    <row r="7402" spans="8:9">
      <c r="H7402" s="1245"/>
      <c r="I7402" s="1245"/>
    </row>
    <row r="7403" spans="8:9">
      <c r="H7403" s="1245"/>
      <c r="I7403" s="1245"/>
    </row>
    <row r="7404" spans="8:9">
      <c r="H7404" s="1245"/>
      <c r="I7404" s="1245"/>
    </row>
    <row r="7405" spans="8:9">
      <c r="H7405" s="1245"/>
      <c r="I7405" s="1245"/>
    </row>
    <row r="7406" spans="8:9">
      <c r="H7406" s="1245"/>
      <c r="I7406" s="1245"/>
    </row>
    <row r="7407" spans="8:9">
      <c r="H7407" s="1245"/>
      <c r="I7407" s="1245"/>
    </row>
    <row r="7408" spans="8:9">
      <c r="H7408" s="1245"/>
      <c r="I7408" s="1245"/>
    </row>
    <row r="7409" spans="8:9">
      <c r="H7409" s="1245"/>
      <c r="I7409" s="1245"/>
    </row>
    <row r="7410" spans="8:9">
      <c r="H7410" s="1245"/>
      <c r="I7410" s="1245"/>
    </row>
    <row r="7411" spans="8:9">
      <c r="H7411" s="1245"/>
      <c r="I7411" s="1245"/>
    </row>
    <row r="7412" spans="8:9">
      <c r="H7412" s="1245"/>
      <c r="I7412" s="1245"/>
    </row>
    <row r="7413" spans="8:9">
      <c r="H7413" s="1245"/>
      <c r="I7413" s="1245"/>
    </row>
    <row r="7414" spans="8:9">
      <c r="H7414" s="1245"/>
      <c r="I7414" s="1245"/>
    </row>
    <row r="7415" spans="8:9">
      <c r="H7415" s="1245"/>
      <c r="I7415" s="1245"/>
    </row>
    <row r="7416" spans="8:9">
      <c r="H7416" s="1245"/>
      <c r="I7416" s="1245"/>
    </row>
    <row r="7417" spans="8:9">
      <c r="H7417" s="1245"/>
      <c r="I7417" s="1245"/>
    </row>
    <row r="7418" spans="8:9">
      <c r="H7418" s="1245"/>
      <c r="I7418" s="1245"/>
    </row>
    <row r="7419" spans="8:9">
      <c r="H7419" s="1245"/>
      <c r="I7419" s="1245"/>
    </row>
    <row r="7420" spans="8:9">
      <c r="H7420" s="1245"/>
      <c r="I7420" s="1245"/>
    </row>
    <row r="7421" spans="8:9">
      <c r="H7421" s="1245"/>
      <c r="I7421" s="1245"/>
    </row>
    <row r="7422" spans="8:9">
      <c r="H7422" s="1245"/>
      <c r="I7422" s="1245"/>
    </row>
    <row r="7423" spans="8:9">
      <c r="H7423" s="1245"/>
      <c r="I7423" s="1245"/>
    </row>
    <row r="7424" spans="8:9">
      <c r="H7424" s="1245"/>
      <c r="I7424" s="1245"/>
    </row>
    <row r="7425" spans="8:9">
      <c r="H7425" s="1245"/>
      <c r="I7425" s="1245"/>
    </row>
    <row r="7426" spans="8:9">
      <c r="H7426" s="1245"/>
      <c r="I7426" s="1245"/>
    </row>
    <row r="7427" spans="8:9">
      <c r="H7427" s="1245"/>
      <c r="I7427" s="1245"/>
    </row>
    <row r="7428" spans="8:9">
      <c r="H7428" s="1245"/>
      <c r="I7428" s="1245"/>
    </row>
    <row r="7429" spans="8:9">
      <c r="H7429" s="1245"/>
      <c r="I7429" s="1245"/>
    </row>
    <row r="7430" spans="8:9">
      <c r="H7430" s="1245"/>
      <c r="I7430" s="1245"/>
    </row>
    <row r="7431" spans="8:9">
      <c r="H7431" s="1245"/>
      <c r="I7431" s="1245"/>
    </row>
    <row r="7432" spans="8:9">
      <c r="H7432" s="1245"/>
      <c r="I7432" s="1245"/>
    </row>
    <row r="7433" spans="8:9">
      <c r="H7433" s="1245"/>
      <c r="I7433" s="1245"/>
    </row>
    <row r="7434" spans="8:9">
      <c r="H7434" s="1245"/>
      <c r="I7434" s="1245"/>
    </row>
    <row r="7435" spans="8:9">
      <c r="H7435" s="1245"/>
      <c r="I7435" s="1245"/>
    </row>
    <row r="7436" spans="8:9">
      <c r="H7436" s="1245"/>
      <c r="I7436" s="1245"/>
    </row>
    <row r="7437" spans="8:9">
      <c r="H7437" s="1245"/>
      <c r="I7437" s="1245"/>
    </row>
    <row r="7438" spans="8:9">
      <c r="H7438" s="1245"/>
      <c r="I7438" s="1245"/>
    </row>
    <row r="7439" spans="8:9">
      <c r="H7439" s="1245"/>
      <c r="I7439" s="1245"/>
    </row>
    <row r="7440" spans="8:9">
      <c r="H7440" s="1245"/>
      <c r="I7440" s="1245"/>
    </row>
    <row r="7441" spans="8:9">
      <c r="H7441" s="1245"/>
      <c r="I7441" s="1245"/>
    </row>
    <row r="7442" spans="8:9">
      <c r="H7442" s="1245"/>
      <c r="I7442" s="1245"/>
    </row>
    <row r="7443" spans="8:9">
      <c r="H7443" s="1245"/>
      <c r="I7443" s="1245"/>
    </row>
    <row r="7444" spans="8:9">
      <c r="H7444" s="1245"/>
      <c r="I7444" s="1245"/>
    </row>
    <row r="7445" spans="8:9">
      <c r="H7445" s="1245"/>
      <c r="I7445" s="1245"/>
    </row>
    <row r="7446" spans="8:9">
      <c r="H7446" s="1245"/>
      <c r="I7446" s="1245"/>
    </row>
    <row r="7447" spans="8:9">
      <c r="H7447" s="1245"/>
      <c r="I7447" s="1245"/>
    </row>
    <row r="7448" spans="8:9">
      <c r="H7448" s="1245"/>
      <c r="I7448" s="1245"/>
    </row>
    <row r="7449" spans="8:9">
      <c r="H7449" s="1245"/>
      <c r="I7449" s="1245"/>
    </row>
    <row r="7450" spans="8:9">
      <c r="H7450" s="1245"/>
      <c r="I7450" s="1245"/>
    </row>
    <row r="7451" spans="8:9">
      <c r="H7451" s="1245"/>
      <c r="I7451" s="1245"/>
    </row>
    <row r="7452" spans="8:9">
      <c r="H7452" s="1245"/>
      <c r="I7452" s="1245"/>
    </row>
    <row r="7453" spans="8:9">
      <c r="H7453" s="1245"/>
      <c r="I7453" s="1245"/>
    </row>
    <row r="7454" spans="8:9">
      <c r="H7454" s="1245"/>
      <c r="I7454" s="1245"/>
    </row>
    <row r="7455" spans="8:9">
      <c r="H7455" s="1245"/>
      <c r="I7455" s="1245"/>
    </row>
    <row r="7456" spans="8:9">
      <c r="H7456" s="1245"/>
      <c r="I7456" s="1245"/>
    </row>
    <row r="7457" spans="8:9">
      <c r="H7457" s="1245"/>
      <c r="I7457" s="1245"/>
    </row>
    <row r="7458" spans="8:9">
      <c r="H7458" s="1245"/>
      <c r="I7458" s="1245"/>
    </row>
    <row r="7459" spans="8:9">
      <c r="H7459" s="1245"/>
      <c r="I7459" s="1245"/>
    </row>
    <row r="7460" spans="8:9">
      <c r="H7460" s="1245"/>
      <c r="I7460" s="1245"/>
    </row>
    <row r="7461" spans="8:9">
      <c r="H7461" s="1245"/>
      <c r="I7461" s="1245"/>
    </row>
    <row r="7462" spans="8:9">
      <c r="H7462" s="1245"/>
      <c r="I7462" s="1245"/>
    </row>
    <row r="7463" spans="8:9">
      <c r="H7463" s="1245"/>
      <c r="I7463" s="1245"/>
    </row>
    <row r="7464" spans="8:9">
      <c r="H7464" s="1245"/>
      <c r="I7464" s="1245"/>
    </row>
    <row r="7465" spans="8:9">
      <c r="H7465" s="1245"/>
      <c r="I7465" s="1245"/>
    </row>
    <row r="7466" spans="8:9">
      <c r="H7466" s="1245"/>
      <c r="I7466" s="1245"/>
    </row>
    <row r="7467" spans="8:9">
      <c r="H7467" s="1245"/>
      <c r="I7467" s="1245"/>
    </row>
    <row r="7468" spans="8:9">
      <c r="H7468" s="1245"/>
      <c r="I7468" s="1245"/>
    </row>
    <row r="7469" spans="8:9">
      <c r="H7469" s="1245"/>
      <c r="I7469" s="1245"/>
    </row>
    <row r="7470" spans="8:9">
      <c r="H7470" s="1245"/>
      <c r="I7470" s="1245"/>
    </row>
    <row r="7471" spans="8:9">
      <c r="H7471" s="1245"/>
      <c r="I7471" s="1245"/>
    </row>
    <row r="7472" spans="8:9">
      <c r="H7472" s="1245"/>
      <c r="I7472" s="1245"/>
    </row>
    <row r="7473" spans="8:9">
      <c r="H7473" s="1245"/>
      <c r="I7473" s="1245"/>
    </row>
    <row r="7474" spans="8:9">
      <c r="H7474" s="1245"/>
      <c r="I7474" s="1245"/>
    </row>
    <row r="7475" spans="8:9">
      <c r="H7475" s="1245"/>
      <c r="I7475" s="1245"/>
    </row>
    <row r="7476" spans="8:9">
      <c r="H7476" s="1245"/>
      <c r="I7476" s="1245"/>
    </row>
    <row r="7477" spans="8:9">
      <c r="H7477" s="1245"/>
      <c r="I7477" s="1245"/>
    </row>
    <row r="7478" spans="8:9">
      <c r="H7478" s="1245"/>
      <c r="I7478" s="1245"/>
    </row>
    <row r="7479" spans="8:9">
      <c r="H7479" s="1245"/>
      <c r="I7479" s="1245"/>
    </row>
    <row r="7480" spans="8:9">
      <c r="H7480" s="1245"/>
      <c r="I7480" s="1245"/>
    </row>
    <row r="7481" spans="8:9">
      <c r="H7481" s="1245"/>
      <c r="I7481" s="1245"/>
    </row>
    <row r="7482" spans="8:9">
      <c r="H7482" s="1245"/>
      <c r="I7482" s="1245"/>
    </row>
    <row r="7483" spans="8:9">
      <c r="H7483" s="1245"/>
      <c r="I7483" s="1245"/>
    </row>
    <row r="7484" spans="8:9">
      <c r="H7484" s="1245"/>
      <c r="I7484" s="1245"/>
    </row>
    <row r="7485" spans="8:9">
      <c r="H7485" s="1245"/>
      <c r="I7485" s="1245"/>
    </row>
    <row r="7486" spans="8:9">
      <c r="H7486" s="1245"/>
      <c r="I7486" s="1245"/>
    </row>
    <row r="7487" spans="8:9">
      <c r="H7487" s="1245"/>
      <c r="I7487" s="1245"/>
    </row>
    <row r="7488" spans="8:9">
      <c r="H7488" s="1245"/>
      <c r="I7488" s="1245"/>
    </row>
    <row r="7489" spans="8:9">
      <c r="H7489" s="1245"/>
      <c r="I7489" s="1245"/>
    </row>
    <row r="7490" spans="8:9">
      <c r="H7490" s="1245"/>
      <c r="I7490" s="1245"/>
    </row>
    <row r="7491" spans="8:9">
      <c r="H7491" s="1245"/>
      <c r="I7491" s="1245"/>
    </row>
    <row r="7492" spans="8:9">
      <c r="H7492" s="1245"/>
      <c r="I7492" s="1245"/>
    </row>
    <row r="7493" spans="8:9">
      <c r="H7493" s="1245"/>
      <c r="I7493" s="1245"/>
    </row>
    <row r="7494" spans="8:9">
      <c r="H7494" s="1245"/>
      <c r="I7494" s="1245"/>
    </row>
    <row r="7495" spans="8:9">
      <c r="H7495" s="1245"/>
      <c r="I7495" s="1245"/>
    </row>
    <row r="7496" spans="8:9">
      <c r="H7496" s="1245"/>
      <c r="I7496" s="1245"/>
    </row>
    <row r="7497" spans="8:9">
      <c r="H7497" s="1245"/>
      <c r="I7497" s="1245"/>
    </row>
    <row r="7498" spans="8:9">
      <c r="H7498" s="1245"/>
      <c r="I7498" s="1245"/>
    </row>
    <row r="7499" spans="8:9">
      <c r="H7499" s="1245"/>
      <c r="I7499" s="1245"/>
    </row>
    <row r="7500" spans="8:9">
      <c r="H7500" s="1245"/>
      <c r="I7500" s="1245"/>
    </row>
    <row r="7501" spans="8:9">
      <c r="H7501" s="1245"/>
      <c r="I7501" s="1245"/>
    </row>
    <row r="7502" spans="8:9">
      <c r="H7502" s="1245"/>
      <c r="I7502" s="1245"/>
    </row>
    <row r="7503" spans="8:9">
      <c r="H7503" s="1245"/>
      <c r="I7503" s="1245"/>
    </row>
    <row r="7504" spans="8:9">
      <c r="H7504" s="1245"/>
      <c r="I7504" s="1245"/>
    </row>
    <row r="7505" spans="8:9">
      <c r="H7505" s="1245"/>
      <c r="I7505" s="1245"/>
    </row>
    <row r="7506" spans="8:9">
      <c r="H7506" s="1245"/>
      <c r="I7506" s="1245"/>
    </row>
    <row r="7507" spans="8:9">
      <c r="H7507" s="1245"/>
      <c r="I7507" s="1245"/>
    </row>
    <row r="7508" spans="8:9">
      <c r="H7508" s="1245"/>
      <c r="I7508" s="1245"/>
    </row>
    <row r="7509" spans="8:9">
      <c r="H7509" s="1245"/>
      <c r="I7509" s="1245"/>
    </row>
    <row r="7510" spans="8:9">
      <c r="H7510" s="1245"/>
      <c r="I7510" s="1245"/>
    </row>
    <row r="7511" spans="8:9">
      <c r="H7511" s="1245"/>
      <c r="I7511" s="1245"/>
    </row>
    <row r="7512" spans="8:9">
      <c r="H7512" s="1245"/>
      <c r="I7512" s="1245"/>
    </row>
    <row r="7513" spans="8:9">
      <c r="H7513" s="1245"/>
      <c r="I7513" s="1245"/>
    </row>
    <row r="7514" spans="8:9">
      <c r="H7514" s="1245"/>
      <c r="I7514" s="1245"/>
    </row>
    <row r="7515" spans="8:9">
      <c r="H7515" s="1245"/>
      <c r="I7515" s="1245"/>
    </row>
    <row r="7516" spans="8:9">
      <c r="H7516" s="1245"/>
      <c r="I7516" s="1245"/>
    </row>
    <row r="7517" spans="8:9">
      <c r="H7517" s="1245"/>
      <c r="I7517" s="1245"/>
    </row>
    <row r="7518" spans="8:9">
      <c r="H7518" s="1245"/>
      <c r="I7518" s="1245"/>
    </row>
    <row r="7519" spans="8:9">
      <c r="H7519" s="1245"/>
      <c r="I7519" s="1245"/>
    </row>
    <row r="7520" spans="8:9">
      <c r="H7520" s="1245"/>
      <c r="I7520" s="1245"/>
    </row>
    <row r="7521" spans="8:9">
      <c r="H7521" s="1245"/>
      <c r="I7521" s="1245"/>
    </row>
    <row r="7522" spans="8:9">
      <c r="H7522" s="1245"/>
      <c r="I7522" s="1245"/>
    </row>
    <row r="7523" spans="8:9">
      <c r="H7523" s="1245"/>
      <c r="I7523" s="1245"/>
    </row>
    <row r="7524" spans="8:9">
      <c r="H7524" s="1245"/>
      <c r="I7524" s="1245"/>
    </row>
    <row r="7525" spans="8:9">
      <c r="H7525" s="1245"/>
      <c r="I7525" s="1245"/>
    </row>
    <row r="7526" spans="8:9">
      <c r="H7526" s="1245"/>
      <c r="I7526" s="1245"/>
    </row>
    <row r="7527" spans="8:9">
      <c r="H7527" s="1245"/>
      <c r="I7527" s="1245"/>
    </row>
    <row r="7528" spans="8:9">
      <c r="H7528" s="1245"/>
      <c r="I7528" s="1245"/>
    </row>
    <row r="7529" spans="8:9">
      <c r="H7529" s="1245"/>
      <c r="I7529" s="1245"/>
    </row>
    <row r="7530" spans="8:9">
      <c r="H7530" s="1245"/>
      <c r="I7530" s="1245"/>
    </row>
    <row r="7531" spans="8:9">
      <c r="H7531" s="1245"/>
      <c r="I7531" s="1245"/>
    </row>
    <row r="7532" spans="8:9">
      <c r="H7532" s="1245"/>
      <c r="I7532" s="1245"/>
    </row>
    <row r="7533" spans="8:9">
      <c r="H7533" s="1245"/>
      <c r="I7533" s="1245"/>
    </row>
    <row r="7534" spans="8:9">
      <c r="H7534" s="1245"/>
      <c r="I7534" s="1245"/>
    </row>
    <row r="7535" spans="8:9">
      <c r="H7535" s="1245"/>
      <c r="I7535" s="1245"/>
    </row>
    <row r="7536" spans="8:9">
      <c r="H7536" s="1245"/>
      <c r="I7536" s="1245"/>
    </row>
    <row r="7537" spans="8:9">
      <c r="H7537" s="1245"/>
      <c r="I7537" s="1245"/>
    </row>
    <row r="7538" spans="8:9">
      <c r="H7538" s="1245"/>
      <c r="I7538" s="1245"/>
    </row>
    <row r="7539" spans="8:9">
      <c r="H7539" s="1245"/>
      <c r="I7539" s="1245"/>
    </row>
    <row r="7540" spans="8:9">
      <c r="H7540" s="1245"/>
      <c r="I7540" s="1245"/>
    </row>
    <row r="7541" spans="8:9">
      <c r="H7541" s="1245"/>
      <c r="I7541" s="1245"/>
    </row>
    <row r="7542" spans="8:9">
      <c r="H7542" s="1245"/>
      <c r="I7542" s="1245"/>
    </row>
    <row r="7543" spans="8:9">
      <c r="H7543" s="1245"/>
      <c r="I7543" s="1245"/>
    </row>
    <row r="7544" spans="8:9">
      <c r="H7544" s="1245"/>
      <c r="I7544" s="1245"/>
    </row>
    <row r="7545" spans="8:9">
      <c r="H7545" s="1245"/>
      <c r="I7545" s="1245"/>
    </row>
    <row r="7546" spans="8:9">
      <c r="H7546" s="1245"/>
      <c r="I7546" s="1245"/>
    </row>
    <row r="7547" spans="8:9">
      <c r="H7547" s="1245"/>
      <c r="I7547" s="1245"/>
    </row>
    <row r="7548" spans="8:9">
      <c r="H7548" s="1245"/>
      <c r="I7548" s="1245"/>
    </row>
    <row r="7549" spans="8:9">
      <c r="H7549" s="1245"/>
      <c r="I7549" s="1245"/>
    </row>
    <row r="7550" spans="8:9">
      <c r="H7550" s="1245"/>
      <c r="I7550" s="1245"/>
    </row>
    <row r="7551" spans="8:9">
      <c r="H7551" s="1245"/>
      <c r="I7551" s="1245"/>
    </row>
    <row r="7552" spans="8:9">
      <c r="H7552" s="1245"/>
      <c r="I7552" s="1245"/>
    </row>
    <row r="7553" spans="8:9">
      <c r="H7553" s="1245"/>
      <c r="I7553" s="1245"/>
    </row>
    <row r="7554" spans="8:9">
      <c r="H7554" s="1245"/>
      <c r="I7554" s="1245"/>
    </row>
    <row r="7555" spans="8:9">
      <c r="H7555" s="1245"/>
      <c r="I7555" s="1245"/>
    </row>
    <row r="7556" spans="8:9">
      <c r="H7556" s="1245"/>
      <c r="I7556" s="1245"/>
    </row>
    <row r="7557" spans="8:9">
      <c r="H7557" s="1245"/>
      <c r="I7557" s="1245"/>
    </row>
    <row r="7558" spans="8:9">
      <c r="H7558" s="1245"/>
      <c r="I7558" s="1245"/>
    </row>
    <row r="7559" spans="8:9">
      <c r="H7559" s="1245"/>
      <c r="I7559" s="1245"/>
    </row>
    <row r="7560" spans="8:9">
      <c r="H7560" s="1245"/>
      <c r="I7560" s="1245"/>
    </row>
    <row r="7561" spans="8:9">
      <c r="H7561" s="1245"/>
      <c r="I7561" s="1245"/>
    </row>
    <row r="7562" spans="8:9">
      <c r="H7562" s="1245"/>
      <c r="I7562" s="1245"/>
    </row>
    <row r="7563" spans="8:9">
      <c r="H7563" s="1245"/>
      <c r="I7563" s="1245"/>
    </row>
    <row r="7564" spans="8:9">
      <c r="H7564" s="1245"/>
      <c r="I7564" s="1245"/>
    </row>
    <row r="7565" spans="8:9">
      <c r="H7565" s="1245"/>
      <c r="I7565" s="1245"/>
    </row>
    <row r="7566" spans="8:9">
      <c r="H7566" s="1245"/>
      <c r="I7566" s="1245"/>
    </row>
    <row r="7567" spans="8:9">
      <c r="H7567" s="1245"/>
      <c r="I7567" s="1245"/>
    </row>
    <row r="7568" spans="8:9">
      <c r="H7568" s="1245"/>
      <c r="I7568" s="1245"/>
    </row>
    <row r="7569" spans="8:9">
      <c r="H7569" s="1245"/>
      <c r="I7569" s="1245"/>
    </row>
    <row r="7570" spans="8:9">
      <c r="H7570" s="1245"/>
      <c r="I7570" s="1245"/>
    </row>
    <row r="7571" spans="8:9">
      <c r="H7571" s="1245"/>
      <c r="I7571" s="1245"/>
    </row>
    <row r="7572" spans="8:9">
      <c r="H7572" s="1245"/>
      <c r="I7572" s="1245"/>
    </row>
    <row r="7573" spans="8:9">
      <c r="H7573" s="1245"/>
      <c r="I7573" s="1245"/>
    </row>
    <row r="7574" spans="8:9">
      <c r="H7574" s="1245"/>
      <c r="I7574" s="1245"/>
    </row>
    <row r="7575" spans="8:9">
      <c r="H7575" s="1245"/>
      <c r="I7575" s="1245"/>
    </row>
    <row r="7576" spans="8:9">
      <c r="H7576" s="1245"/>
      <c r="I7576" s="1245"/>
    </row>
    <row r="7577" spans="8:9">
      <c r="H7577" s="1245"/>
      <c r="I7577" s="1245"/>
    </row>
    <row r="7578" spans="8:9">
      <c r="H7578" s="1245"/>
      <c r="I7578" s="1245"/>
    </row>
    <row r="7579" spans="8:9">
      <c r="H7579" s="1245"/>
      <c r="I7579" s="1245"/>
    </row>
    <row r="7580" spans="8:9">
      <c r="H7580" s="1245"/>
      <c r="I7580" s="1245"/>
    </row>
    <row r="7581" spans="8:9">
      <c r="H7581" s="1245"/>
      <c r="I7581" s="1245"/>
    </row>
    <row r="7582" spans="8:9">
      <c r="H7582" s="1245"/>
      <c r="I7582" s="1245"/>
    </row>
    <row r="7583" spans="8:9">
      <c r="H7583" s="1245"/>
      <c r="I7583" s="1245"/>
    </row>
    <row r="7584" spans="8:9">
      <c r="H7584" s="1245"/>
      <c r="I7584" s="1245"/>
    </row>
    <row r="7585" spans="8:9">
      <c r="H7585" s="1245"/>
      <c r="I7585" s="1245"/>
    </row>
    <row r="7586" spans="8:9">
      <c r="H7586" s="1245"/>
      <c r="I7586" s="1245"/>
    </row>
    <row r="7587" spans="8:9">
      <c r="H7587" s="1245"/>
      <c r="I7587" s="1245"/>
    </row>
    <row r="7588" spans="8:9">
      <c r="H7588" s="1245"/>
      <c r="I7588" s="1245"/>
    </row>
    <row r="7589" spans="8:9">
      <c r="H7589" s="1245"/>
      <c r="I7589" s="1245"/>
    </row>
    <row r="7590" spans="8:9">
      <c r="H7590" s="1245"/>
      <c r="I7590" s="1245"/>
    </row>
    <row r="7591" spans="8:9">
      <c r="H7591" s="1245"/>
      <c r="I7591" s="1245"/>
    </row>
    <row r="7592" spans="8:9">
      <c r="H7592" s="1245"/>
      <c r="I7592" s="1245"/>
    </row>
    <row r="7593" spans="8:9">
      <c r="H7593" s="1245"/>
      <c r="I7593" s="1245"/>
    </row>
    <row r="7594" spans="8:9">
      <c r="H7594" s="1245"/>
      <c r="I7594" s="1245"/>
    </row>
    <row r="7595" spans="8:9">
      <c r="H7595" s="1245"/>
      <c r="I7595" s="1245"/>
    </row>
    <row r="7596" spans="8:9">
      <c r="H7596" s="1245"/>
      <c r="I7596" s="1245"/>
    </row>
    <row r="7597" spans="8:9">
      <c r="H7597" s="1245"/>
      <c r="I7597" s="1245"/>
    </row>
    <row r="7598" spans="8:9">
      <c r="H7598" s="1245"/>
      <c r="I7598" s="1245"/>
    </row>
    <row r="7599" spans="8:9">
      <c r="H7599" s="1245"/>
      <c r="I7599" s="1245"/>
    </row>
    <row r="7600" spans="8:9">
      <c r="H7600" s="1245"/>
      <c r="I7600" s="1245"/>
    </row>
    <row r="7601" spans="8:9">
      <c r="H7601" s="1245"/>
      <c r="I7601" s="1245"/>
    </row>
    <row r="7602" spans="8:9">
      <c r="H7602" s="1245"/>
      <c r="I7602" s="1245"/>
    </row>
    <row r="7603" spans="8:9">
      <c r="H7603" s="1245"/>
      <c r="I7603" s="1245"/>
    </row>
    <row r="7604" spans="8:9">
      <c r="H7604" s="1245"/>
      <c r="I7604" s="1245"/>
    </row>
    <row r="7605" spans="8:9">
      <c r="H7605" s="1245"/>
      <c r="I7605" s="1245"/>
    </row>
    <row r="7606" spans="8:9">
      <c r="H7606" s="1245"/>
      <c r="I7606" s="1245"/>
    </row>
    <row r="7607" spans="8:9">
      <c r="H7607" s="1245"/>
      <c r="I7607" s="1245"/>
    </row>
    <row r="7608" spans="8:9">
      <c r="H7608" s="1245"/>
      <c r="I7608" s="1245"/>
    </row>
    <row r="7609" spans="8:9">
      <c r="H7609" s="1245"/>
      <c r="I7609" s="1245"/>
    </row>
    <row r="7610" spans="8:9">
      <c r="H7610" s="1245"/>
      <c r="I7610" s="1245"/>
    </row>
    <row r="7611" spans="8:9">
      <c r="H7611" s="1245"/>
      <c r="I7611" s="1245"/>
    </row>
    <row r="7612" spans="8:9">
      <c r="H7612" s="1245"/>
      <c r="I7612" s="1245"/>
    </row>
    <row r="7613" spans="8:9">
      <c r="H7613" s="1245"/>
      <c r="I7613" s="1245"/>
    </row>
    <row r="7614" spans="8:9">
      <c r="H7614" s="1245"/>
      <c r="I7614" s="1245"/>
    </row>
    <row r="7615" spans="8:9">
      <c r="H7615" s="1245"/>
      <c r="I7615" s="1245"/>
    </row>
    <row r="7616" spans="8:9">
      <c r="H7616" s="1245"/>
      <c r="I7616" s="1245"/>
    </row>
    <row r="7617" spans="8:9">
      <c r="H7617" s="1245"/>
      <c r="I7617" s="1245"/>
    </row>
    <row r="7618" spans="8:9">
      <c r="H7618" s="1245"/>
      <c r="I7618" s="1245"/>
    </row>
    <row r="7619" spans="8:9">
      <c r="H7619" s="1245"/>
      <c r="I7619" s="1245"/>
    </row>
    <row r="7620" spans="8:9">
      <c r="H7620" s="1245"/>
      <c r="I7620" s="1245"/>
    </row>
    <row r="7621" spans="8:9">
      <c r="H7621" s="1245"/>
      <c r="I7621" s="1245"/>
    </row>
    <row r="7622" spans="8:9">
      <c r="H7622" s="1245"/>
      <c r="I7622" s="1245"/>
    </row>
    <row r="7623" spans="8:9">
      <c r="H7623" s="1245"/>
      <c r="I7623" s="1245"/>
    </row>
    <row r="7624" spans="8:9">
      <c r="H7624" s="1245"/>
      <c r="I7624" s="1245"/>
    </row>
    <row r="7625" spans="8:9">
      <c r="H7625" s="1245"/>
      <c r="I7625" s="1245"/>
    </row>
    <row r="7626" spans="8:9">
      <c r="H7626" s="1245"/>
      <c r="I7626" s="1245"/>
    </row>
    <row r="7627" spans="8:9">
      <c r="H7627" s="1245"/>
      <c r="I7627" s="1245"/>
    </row>
    <row r="7628" spans="8:9">
      <c r="H7628" s="1245"/>
      <c r="I7628" s="1245"/>
    </row>
    <row r="7629" spans="8:9">
      <c r="H7629" s="1245"/>
      <c r="I7629" s="1245"/>
    </row>
    <row r="7630" spans="8:9">
      <c r="H7630" s="1245"/>
      <c r="I7630" s="1245"/>
    </row>
    <row r="7631" spans="8:9">
      <c r="H7631" s="1245"/>
      <c r="I7631" s="1245"/>
    </row>
    <row r="7632" spans="8:9">
      <c r="H7632" s="1245"/>
      <c r="I7632" s="1245"/>
    </row>
    <row r="7633" spans="8:9">
      <c r="H7633" s="1245"/>
      <c r="I7633" s="1245"/>
    </row>
    <row r="7634" spans="8:9">
      <c r="H7634" s="1245"/>
      <c r="I7634" s="1245"/>
    </row>
    <row r="7635" spans="8:9">
      <c r="H7635" s="1245"/>
      <c r="I7635" s="1245"/>
    </row>
    <row r="7636" spans="8:9">
      <c r="H7636" s="1245"/>
      <c r="I7636" s="1245"/>
    </row>
    <row r="7637" spans="8:9">
      <c r="H7637" s="1245"/>
      <c r="I7637" s="1245"/>
    </row>
    <row r="7638" spans="8:9">
      <c r="H7638" s="1245"/>
      <c r="I7638" s="1245"/>
    </row>
    <row r="7639" spans="8:9">
      <c r="H7639" s="1245"/>
      <c r="I7639" s="1245"/>
    </row>
    <row r="7640" spans="8:9">
      <c r="H7640" s="1245"/>
      <c r="I7640" s="1245"/>
    </row>
    <row r="7641" spans="8:9">
      <c r="H7641" s="1245"/>
      <c r="I7641" s="1245"/>
    </row>
    <row r="7642" spans="8:9">
      <c r="H7642" s="1245"/>
      <c r="I7642" s="1245"/>
    </row>
    <row r="7643" spans="8:9">
      <c r="H7643" s="1245"/>
      <c r="I7643" s="1245"/>
    </row>
    <row r="7644" spans="8:9">
      <c r="H7644" s="1245"/>
      <c r="I7644" s="1245"/>
    </row>
    <row r="7645" spans="8:9">
      <c r="H7645" s="1245"/>
      <c r="I7645" s="1245"/>
    </row>
    <row r="7646" spans="8:9">
      <c r="H7646" s="1245"/>
      <c r="I7646" s="1245"/>
    </row>
    <row r="7647" spans="8:9">
      <c r="H7647" s="1245"/>
      <c r="I7647" s="1245"/>
    </row>
    <row r="7648" spans="8:9">
      <c r="H7648" s="1245"/>
      <c r="I7648" s="1245"/>
    </row>
    <row r="7649" spans="8:9">
      <c r="H7649" s="1245"/>
      <c r="I7649" s="1245"/>
    </row>
    <row r="7650" spans="8:9">
      <c r="H7650" s="1245"/>
      <c r="I7650" s="1245"/>
    </row>
    <row r="7651" spans="8:9">
      <c r="H7651" s="1245"/>
      <c r="I7651" s="1245"/>
    </row>
    <row r="7652" spans="8:9">
      <c r="H7652" s="1245"/>
      <c r="I7652" s="1245"/>
    </row>
    <row r="7653" spans="8:9">
      <c r="H7653" s="1245"/>
      <c r="I7653" s="1245"/>
    </row>
    <row r="7654" spans="8:9">
      <c r="H7654" s="1245"/>
      <c r="I7654" s="1245"/>
    </row>
    <row r="7655" spans="8:9">
      <c r="H7655" s="1245"/>
      <c r="I7655" s="1245"/>
    </row>
    <row r="7656" spans="8:9">
      <c r="H7656" s="1245"/>
      <c r="I7656" s="1245"/>
    </row>
    <row r="7657" spans="8:9">
      <c r="H7657" s="1245"/>
      <c r="I7657" s="1245"/>
    </row>
    <row r="7658" spans="8:9">
      <c r="H7658" s="1245"/>
      <c r="I7658" s="1245"/>
    </row>
    <row r="7659" spans="8:9">
      <c r="H7659" s="1245"/>
      <c r="I7659" s="1245"/>
    </row>
    <row r="7660" spans="8:9">
      <c r="H7660" s="1245"/>
      <c r="I7660" s="1245"/>
    </row>
    <row r="7661" spans="8:9">
      <c r="H7661" s="1245"/>
      <c r="I7661" s="1245"/>
    </row>
    <row r="7662" spans="8:9">
      <c r="H7662" s="1245"/>
      <c r="I7662" s="1245"/>
    </row>
    <row r="7663" spans="8:9">
      <c r="H7663" s="1245"/>
      <c r="I7663" s="1245"/>
    </row>
    <row r="7664" spans="8:9">
      <c r="H7664" s="1245"/>
      <c r="I7664" s="1245"/>
    </row>
    <row r="7665" spans="8:9">
      <c r="H7665" s="1245"/>
      <c r="I7665" s="1245"/>
    </row>
    <row r="7666" spans="8:9">
      <c r="H7666" s="1245"/>
      <c r="I7666" s="1245"/>
    </row>
    <row r="7667" spans="8:9">
      <c r="H7667" s="1245"/>
      <c r="I7667" s="1245"/>
    </row>
    <row r="7668" spans="8:9">
      <c r="H7668" s="1245"/>
      <c r="I7668" s="1245"/>
    </row>
    <row r="7669" spans="8:9">
      <c r="H7669" s="1245"/>
      <c r="I7669" s="1245"/>
    </row>
    <row r="7670" spans="8:9">
      <c r="H7670" s="1245"/>
      <c r="I7670" s="1245"/>
    </row>
    <row r="7671" spans="8:9">
      <c r="H7671" s="1245"/>
      <c r="I7671" s="1245"/>
    </row>
    <row r="7672" spans="8:9">
      <c r="H7672" s="1245"/>
      <c r="I7672" s="1245"/>
    </row>
    <row r="7673" spans="8:9">
      <c r="H7673" s="1245"/>
      <c r="I7673" s="1245"/>
    </row>
    <row r="7674" spans="8:9">
      <c r="H7674" s="1245"/>
      <c r="I7674" s="1245"/>
    </row>
    <row r="7675" spans="8:9">
      <c r="H7675" s="1245"/>
      <c r="I7675" s="1245"/>
    </row>
    <row r="7676" spans="8:9">
      <c r="H7676" s="1245"/>
      <c r="I7676" s="1245"/>
    </row>
    <row r="7677" spans="8:9">
      <c r="H7677" s="1245"/>
      <c r="I7677" s="1245"/>
    </row>
    <row r="7678" spans="8:9">
      <c r="H7678" s="1245"/>
      <c r="I7678" s="1245"/>
    </row>
    <row r="7679" spans="8:9">
      <c r="H7679" s="1245"/>
      <c r="I7679" s="1245"/>
    </row>
    <row r="7680" spans="8:9">
      <c r="H7680" s="1245"/>
      <c r="I7680" s="1245"/>
    </row>
    <row r="7681" spans="8:9">
      <c r="H7681" s="1245"/>
      <c r="I7681" s="1245"/>
    </row>
    <row r="7682" spans="8:9">
      <c r="H7682" s="1245"/>
      <c r="I7682" s="1245"/>
    </row>
    <row r="7683" spans="8:9">
      <c r="H7683" s="1245"/>
      <c r="I7683" s="1245"/>
    </row>
    <row r="7684" spans="8:9">
      <c r="H7684" s="1245"/>
      <c r="I7684" s="1245"/>
    </row>
    <row r="7685" spans="8:9">
      <c r="H7685" s="1245"/>
      <c r="I7685" s="1245"/>
    </row>
    <row r="7686" spans="8:9">
      <c r="H7686" s="1245"/>
      <c r="I7686" s="1245"/>
    </row>
    <row r="7687" spans="8:9">
      <c r="H7687" s="1245"/>
      <c r="I7687" s="1245"/>
    </row>
    <row r="7688" spans="8:9">
      <c r="H7688" s="1245"/>
      <c r="I7688" s="1245"/>
    </row>
    <row r="7689" spans="8:9">
      <c r="H7689" s="1245"/>
      <c r="I7689" s="1245"/>
    </row>
    <row r="7690" spans="8:9">
      <c r="H7690" s="1245"/>
      <c r="I7690" s="1245"/>
    </row>
    <row r="7691" spans="8:9">
      <c r="H7691" s="1245"/>
      <c r="I7691" s="1245"/>
    </row>
    <row r="7692" spans="8:9">
      <c r="H7692" s="1245"/>
      <c r="I7692" s="1245"/>
    </row>
    <row r="7693" spans="8:9">
      <c r="H7693" s="1245"/>
      <c r="I7693" s="1245"/>
    </row>
    <row r="7694" spans="8:9">
      <c r="H7694" s="1245"/>
      <c r="I7694" s="1245"/>
    </row>
    <row r="7695" spans="8:9">
      <c r="H7695" s="1245"/>
      <c r="I7695" s="1245"/>
    </row>
    <row r="7696" spans="8:9">
      <c r="H7696" s="1245"/>
      <c r="I7696" s="1245"/>
    </row>
    <row r="7697" spans="8:9">
      <c r="H7697" s="1245"/>
      <c r="I7697" s="1245"/>
    </row>
    <row r="7698" spans="8:9">
      <c r="H7698" s="1245"/>
      <c r="I7698" s="1245"/>
    </row>
    <row r="7699" spans="8:9">
      <c r="H7699" s="1245"/>
      <c r="I7699" s="1245"/>
    </row>
    <row r="7700" spans="8:9">
      <c r="H7700" s="1245"/>
      <c r="I7700" s="1245"/>
    </row>
    <row r="7701" spans="8:9">
      <c r="H7701" s="1245"/>
      <c r="I7701" s="1245"/>
    </row>
    <row r="7702" spans="8:9">
      <c r="H7702" s="1245"/>
      <c r="I7702" s="1245"/>
    </row>
    <row r="7703" spans="8:9">
      <c r="H7703" s="1245"/>
      <c r="I7703" s="1245"/>
    </row>
    <row r="7704" spans="8:9">
      <c r="H7704" s="1245"/>
      <c r="I7704" s="1245"/>
    </row>
    <row r="7705" spans="8:9">
      <c r="H7705" s="1245"/>
      <c r="I7705" s="1245"/>
    </row>
    <row r="7706" spans="8:9">
      <c r="H7706" s="1245"/>
      <c r="I7706" s="1245"/>
    </row>
    <row r="7707" spans="8:9">
      <c r="H7707" s="1245"/>
      <c r="I7707" s="1245"/>
    </row>
    <row r="7708" spans="8:9">
      <c r="H7708" s="1245"/>
      <c r="I7708" s="1245"/>
    </row>
    <row r="7709" spans="8:9">
      <c r="H7709" s="1245"/>
      <c r="I7709" s="1245"/>
    </row>
    <row r="7710" spans="8:9">
      <c r="H7710" s="1245"/>
      <c r="I7710" s="1245"/>
    </row>
    <row r="7711" spans="8:9">
      <c r="H7711" s="1245"/>
      <c r="I7711" s="1245"/>
    </row>
    <row r="7712" spans="8:9">
      <c r="H7712" s="1245"/>
      <c r="I7712" s="1245"/>
    </row>
    <row r="7713" spans="8:9">
      <c r="H7713" s="1245"/>
      <c r="I7713" s="1245"/>
    </row>
    <row r="7714" spans="8:9">
      <c r="H7714" s="1245"/>
      <c r="I7714" s="1245"/>
    </row>
    <row r="7715" spans="8:9">
      <c r="H7715" s="1245"/>
      <c r="I7715" s="1245"/>
    </row>
    <row r="7716" spans="8:9">
      <c r="H7716" s="1245"/>
      <c r="I7716" s="1245"/>
    </row>
    <row r="7717" spans="8:9">
      <c r="H7717" s="1245"/>
      <c r="I7717" s="1245"/>
    </row>
    <row r="7718" spans="8:9">
      <c r="H7718" s="1245"/>
      <c r="I7718" s="1245"/>
    </row>
    <row r="7719" spans="8:9">
      <c r="H7719" s="1245"/>
      <c r="I7719" s="1245"/>
    </row>
    <row r="7720" spans="8:9">
      <c r="H7720" s="1245"/>
      <c r="I7720" s="1245"/>
    </row>
    <row r="7721" spans="8:9">
      <c r="H7721" s="1245"/>
      <c r="I7721" s="1245"/>
    </row>
    <row r="7722" spans="8:9">
      <c r="H7722" s="1245"/>
      <c r="I7722" s="1245"/>
    </row>
    <row r="7723" spans="8:9">
      <c r="H7723" s="1245"/>
      <c r="I7723" s="1245"/>
    </row>
    <row r="7724" spans="8:9">
      <c r="H7724" s="1245"/>
      <c r="I7724" s="1245"/>
    </row>
    <row r="7725" spans="8:9">
      <c r="H7725" s="1245"/>
      <c r="I7725" s="1245"/>
    </row>
    <row r="7726" spans="8:9">
      <c r="H7726" s="1245"/>
      <c r="I7726" s="1245"/>
    </row>
    <row r="7727" spans="8:9">
      <c r="H7727" s="1245"/>
      <c r="I7727" s="1245"/>
    </row>
    <row r="7728" spans="8:9">
      <c r="H7728" s="1245"/>
      <c r="I7728" s="1245"/>
    </row>
    <row r="7729" spans="8:9">
      <c r="H7729" s="1245"/>
      <c r="I7729" s="1245"/>
    </row>
    <row r="7730" spans="8:9">
      <c r="H7730" s="1245"/>
      <c r="I7730" s="1245"/>
    </row>
    <row r="7731" spans="8:9">
      <c r="H7731" s="1245"/>
      <c r="I7731" s="1245"/>
    </row>
    <row r="7732" spans="8:9">
      <c r="H7732" s="1245"/>
      <c r="I7732" s="1245"/>
    </row>
    <row r="7733" spans="8:9">
      <c r="H7733" s="1245"/>
      <c r="I7733" s="1245"/>
    </row>
    <row r="7734" spans="8:9">
      <c r="H7734" s="1245"/>
      <c r="I7734" s="1245"/>
    </row>
    <row r="7735" spans="8:9">
      <c r="H7735" s="1245"/>
      <c r="I7735" s="1245"/>
    </row>
    <row r="7736" spans="8:9">
      <c r="H7736" s="1245"/>
      <c r="I7736" s="1245"/>
    </row>
    <row r="7737" spans="8:9">
      <c r="H7737" s="1245"/>
      <c r="I7737" s="1245"/>
    </row>
    <row r="7738" spans="8:9">
      <c r="H7738" s="1245"/>
      <c r="I7738" s="1245"/>
    </row>
    <row r="7739" spans="8:9">
      <c r="H7739" s="1245"/>
      <c r="I7739" s="1245"/>
    </row>
    <row r="7740" spans="8:9">
      <c r="H7740" s="1245"/>
      <c r="I7740" s="1245"/>
    </row>
    <row r="7741" spans="8:9">
      <c r="H7741" s="1245"/>
      <c r="I7741" s="1245"/>
    </row>
    <row r="7742" spans="8:9">
      <c r="H7742" s="1245"/>
      <c r="I7742" s="1245"/>
    </row>
    <row r="7743" spans="8:9">
      <c r="H7743" s="1245"/>
      <c r="I7743" s="1245"/>
    </row>
    <row r="7744" spans="8:9">
      <c r="H7744" s="1245"/>
      <c r="I7744" s="1245"/>
    </row>
    <row r="7745" spans="8:9">
      <c r="H7745" s="1245"/>
      <c r="I7745" s="1245"/>
    </row>
    <row r="7746" spans="8:9">
      <c r="H7746" s="1245"/>
      <c r="I7746" s="1245"/>
    </row>
    <row r="7747" spans="8:9">
      <c r="H7747" s="1245"/>
      <c r="I7747" s="1245"/>
    </row>
    <row r="7748" spans="8:9">
      <c r="H7748" s="1245"/>
      <c r="I7748" s="1245"/>
    </row>
    <row r="7749" spans="8:9">
      <c r="H7749" s="1245"/>
      <c r="I7749" s="1245"/>
    </row>
    <row r="7750" spans="8:9">
      <c r="H7750" s="1245"/>
      <c r="I7750" s="1245"/>
    </row>
    <row r="7751" spans="8:9">
      <c r="H7751" s="1245"/>
      <c r="I7751" s="1245"/>
    </row>
    <row r="7752" spans="8:9">
      <c r="H7752" s="1245"/>
      <c r="I7752" s="1245"/>
    </row>
    <row r="7753" spans="8:9">
      <c r="H7753" s="1245"/>
      <c r="I7753" s="1245"/>
    </row>
    <row r="7754" spans="8:9">
      <c r="H7754" s="1245"/>
      <c r="I7754" s="1245"/>
    </row>
    <row r="7755" spans="8:9">
      <c r="H7755" s="1245"/>
      <c r="I7755" s="1245"/>
    </row>
    <row r="7756" spans="8:9">
      <c r="H7756" s="1245"/>
      <c r="I7756" s="1245"/>
    </row>
    <row r="7757" spans="8:9">
      <c r="H7757" s="1245"/>
      <c r="I7757" s="1245"/>
    </row>
    <row r="7758" spans="8:9">
      <c r="H7758" s="1245"/>
      <c r="I7758" s="1245"/>
    </row>
    <row r="7759" spans="8:9">
      <c r="H7759" s="1245"/>
      <c r="I7759" s="1245"/>
    </row>
    <row r="7760" spans="8:9">
      <c r="H7760" s="1245"/>
      <c r="I7760" s="1245"/>
    </row>
    <row r="7761" spans="8:9">
      <c r="H7761" s="1245"/>
      <c r="I7761" s="1245"/>
    </row>
    <row r="7762" spans="8:9">
      <c r="H7762" s="1245"/>
      <c r="I7762" s="1245"/>
    </row>
    <row r="7763" spans="8:9">
      <c r="H7763" s="1245"/>
      <c r="I7763" s="1245"/>
    </row>
    <row r="7764" spans="8:9">
      <c r="H7764" s="1245"/>
      <c r="I7764" s="1245"/>
    </row>
    <row r="7765" spans="8:9">
      <c r="H7765" s="1245"/>
      <c r="I7765" s="1245"/>
    </row>
    <row r="7766" spans="8:9">
      <c r="H7766" s="1245"/>
      <c r="I7766" s="1245"/>
    </row>
    <row r="7767" spans="8:9">
      <c r="H7767" s="1245"/>
      <c r="I7767" s="1245"/>
    </row>
    <row r="7768" spans="8:9">
      <c r="H7768" s="1245"/>
      <c r="I7768" s="1245"/>
    </row>
    <row r="7769" spans="8:9">
      <c r="H7769" s="1245"/>
      <c r="I7769" s="1245"/>
    </row>
    <row r="7770" spans="8:9">
      <c r="H7770" s="1245"/>
      <c r="I7770" s="1245"/>
    </row>
    <row r="7771" spans="8:9">
      <c r="H7771" s="1245"/>
      <c r="I7771" s="1245"/>
    </row>
    <row r="7772" spans="8:9">
      <c r="H7772" s="1245"/>
      <c r="I7772" s="1245"/>
    </row>
    <row r="7773" spans="8:9">
      <c r="H7773" s="1245"/>
      <c r="I7773" s="1245"/>
    </row>
    <row r="7774" spans="8:9">
      <c r="H7774" s="1245"/>
      <c r="I7774" s="1245"/>
    </row>
    <row r="7775" spans="8:9">
      <c r="H7775" s="1245"/>
      <c r="I7775" s="1245"/>
    </row>
    <row r="7776" spans="8:9">
      <c r="H7776" s="1245"/>
      <c r="I7776" s="1245"/>
    </row>
    <row r="7777" spans="8:9">
      <c r="H7777" s="1245"/>
      <c r="I7777" s="1245"/>
    </row>
    <row r="7778" spans="8:9">
      <c r="H7778" s="1245"/>
      <c r="I7778" s="1245"/>
    </row>
    <row r="7779" spans="8:9">
      <c r="H7779" s="1245"/>
      <c r="I7779" s="1245"/>
    </row>
    <row r="7780" spans="8:9">
      <c r="H7780" s="1245"/>
      <c r="I7780" s="1245"/>
    </row>
    <row r="7781" spans="8:9">
      <c r="H7781" s="1245"/>
      <c r="I7781" s="1245"/>
    </row>
    <row r="7782" spans="8:9">
      <c r="H7782" s="1245"/>
      <c r="I7782" s="1245"/>
    </row>
    <row r="7783" spans="8:9">
      <c r="H7783" s="1245"/>
      <c r="I7783" s="1245"/>
    </row>
    <row r="7784" spans="8:9">
      <c r="H7784" s="1245"/>
      <c r="I7784" s="1245"/>
    </row>
    <row r="7785" spans="8:9">
      <c r="H7785" s="1245"/>
      <c r="I7785" s="1245"/>
    </row>
    <row r="7786" spans="8:9">
      <c r="H7786" s="1245"/>
      <c r="I7786" s="1245"/>
    </row>
    <row r="7787" spans="8:9">
      <c r="H7787" s="1245"/>
      <c r="I7787" s="1245"/>
    </row>
    <row r="7788" spans="8:9">
      <c r="H7788" s="1245"/>
      <c r="I7788" s="1245"/>
    </row>
    <row r="7789" spans="8:9">
      <c r="H7789" s="1245"/>
      <c r="I7789" s="1245"/>
    </row>
    <row r="7790" spans="8:9">
      <c r="H7790" s="1245"/>
      <c r="I7790" s="1245"/>
    </row>
    <row r="7791" spans="8:9">
      <c r="H7791" s="1245"/>
      <c r="I7791" s="1245"/>
    </row>
    <row r="7792" spans="8:9">
      <c r="H7792" s="1245"/>
      <c r="I7792" s="1245"/>
    </row>
    <row r="7793" spans="8:9">
      <c r="H7793" s="1245"/>
      <c r="I7793" s="1245"/>
    </row>
    <row r="7794" spans="8:9">
      <c r="H7794" s="1245"/>
      <c r="I7794" s="1245"/>
    </row>
    <row r="7795" spans="8:9">
      <c r="H7795" s="1245"/>
      <c r="I7795" s="1245"/>
    </row>
    <row r="7796" spans="8:9">
      <c r="H7796" s="1245"/>
      <c r="I7796" s="1245"/>
    </row>
    <row r="7797" spans="8:9">
      <c r="H7797" s="1245"/>
      <c r="I7797" s="1245"/>
    </row>
    <row r="7798" spans="8:9">
      <c r="H7798" s="1245"/>
      <c r="I7798" s="1245"/>
    </row>
    <row r="7799" spans="8:9">
      <c r="H7799" s="1245"/>
      <c r="I7799" s="1245"/>
    </row>
    <row r="7800" spans="8:9">
      <c r="H7800" s="1245"/>
      <c r="I7800" s="1245"/>
    </row>
    <row r="7801" spans="8:9">
      <c r="H7801" s="1245"/>
      <c r="I7801" s="1245"/>
    </row>
    <row r="7802" spans="8:9">
      <c r="H7802" s="1245"/>
      <c r="I7802" s="1245"/>
    </row>
    <row r="7803" spans="8:9">
      <c r="H7803" s="1245"/>
      <c r="I7803" s="1245"/>
    </row>
    <row r="7804" spans="8:9">
      <c r="H7804" s="1245"/>
      <c r="I7804" s="1245"/>
    </row>
    <row r="7805" spans="8:9">
      <c r="H7805" s="1245"/>
      <c r="I7805" s="1245"/>
    </row>
    <row r="7806" spans="8:9">
      <c r="H7806" s="1245"/>
      <c r="I7806" s="1245"/>
    </row>
    <row r="7807" spans="8:9">
      <c r="H7807" s="1245"/>
      <c r="I7807" s="1245"/>
    </row>
    <row r="7808" spans="8:9">
      <c r="H7808" s="1245"/>
      <c r="I7808" s="1245"/>
    </row>
    <row r="7809" spans="8:9">
      <c r="H7809" s="1245"/>
      <c r="I7809" s="1245"/>
    </row>
    <row r="7810" spans="8:9">
      <c r="H7810" s="1245"/>
      <c r="I7810" s="1245"/>
    </row>
    <row r="7811" spans="8:9">
      <c r="H7811" s="1245"/>
      <c r="I7811" s="1245"/>
    </row>
    <row r="7812" spans="8:9">
      <c r="H7812" s="1245"/>
      <c r="I7812" s="1245"/>
    </row>
    <row r="7813" spans="8:9">
      <c r="H7813" s="1245"/>
      <c r="I7813" s="1245"/>
    </row>
    <row r="7814" spans="8:9">
      <c r="H7814" s="1245"/>
      <c r="I7814" s="1245"/>
    </row>
    <row r="7815" spans="8:9">
      <c r="H7815" s="1245"/>
      <c r="I7815" s="1245"/>
    </row>
    <row r="7816" spans="8:9">
      <c r="H7816" s="1245"/>
      <c r="I7816" s="1245"/>
    </row>
    <row r="7817" spans="8:9">
      <c r="H7817" s="1245"/>
      <c r="I7817" s="1245"/>
    </row>
    <row r="7818" spans="8:9">
      <c r="H7818" s="1245"/>
      <c r="I7818" s="1245"/>
    </row>
    <row r="7819" spans="8:9">
      <c r="H7819" s="1245"/>
      <c r="I7819" s="1245"/>
    </row>
    <row r="7820" spans="8:9">
      <c r="H7820" s="1245"/>
      <c r="I7820" s="1245"/>
    </row>
    <row r="7821" spans="8:9">
      <c r="H7821" s="1245"/>
      <c r="I7821" s="1245"/>
    </row>
    <row r="7822" spans="8:9">
      <c r="H7822" s="1245"/>
      <c r="I7822" s="1245"/>
    </row>
    <row r="7823" spans="8:9">
      <c r="H7823" s="1245"/>
      <c r="I7823" s="1245"/>
    </row>
    <row r="7824" spans="8:9">
      <c r="H7824" s="1245"/>
      <c r="I7824" s="1245"/>
    </row>
    <row r="7825" spans="8:9">
      <c r="H7825" s="1245"/>
      <c r="I7825" s="1245"/>
    </row>
    <row r="7826" spans="8:9">
      <c r="H7826" s="1245"/>
      <c r="I7826" s="1245"/>
    </row>
    <row r="7827" spans="8:9">
      <c r="H7827" s="1245"/>
      <c r="I7827" s="1245"/>
    </row>
    <row r="7828" spans="8:9">
      <c r="H7828" s="1245"/>
      <c r="I7828" s="1245"/>
    </row>
    <row r="7829" spans="8:9">
      <c r="H7829" s="1245"/>
      <c r="I7829" s="1245"/>
    </row>
    <row r="7830" spans="8:9">
      <c r="H7830" s="1245"/>
      <c r="I7830" s="1245"/>
    </row>
    <row r="7831" spans="8:9">
      <c r="H7831" s="1245"/>
      <c r="I7831" s="1245"/>
    </row>
    <row r="7832" spans="8:9">
      <c r="H7832" s="1245"/>
      <c r="I7832" s="1245"/>
    </row>
    <row r="7833" spans="8:9">
      <c r="H7833" s="1245"/>
      <c r="I7833" s="1245"/>
    </row>
    <row r="7834" spans="8:9">
      <c r="H7834" s="1245"/>
      <c r="I7834" s="1245"/>
    </row>
    <row r="7835" spans="8:9">
      <c r="H7835" s="1245"/>
      <c r="I7835" s="1245"/>
    </row>
    <row r="7836" spans="8:9">
      <c r="H7836" s="1245"/>
      <c r="I7836" s="1245"/>
    </row>
    <row r="7837" spans="8:9">
      <c r="H7837" s="1245"/>
      <c r="I7837" s="1245"/>
    </row>
    <row r="7838" spans="8:9">
      <c r="H7838" s="1245"/>
      <c r="I7838" s="1245"/>
    </row>
    <row r="7839" spans="8:9">
      <c r="H7839" s="1245"/>
      <c r="I7839" s="1245"/>
    </row>
    <row r="7840" spans="8:9">
      <c r="H7840" s="1245"/>
      <c r="I7840" s="1245"/>
    </row>
    <row r="7841" spans="8:9">
      <c r="H7841" s="1245"/>
      <c r="I7841" s="1245"/>
    </row>
    <row r="7842" spans="8:9">
      <c r="H7842" s="1245"/>
      <c r="I7842" s="1245"/>
    </row>
    <row r="7843" spans="8:9">
      <c r="H7843" s="1245"/>
      <c r="I7843" s="1245"/>
    </row>
    <row r="7844" spans="8:9">
      <c r="H7844" s="1245"/>
      <c r="I7844" s="1245"/>
    </row>
    <row r="7845" spans="8:9">
      <c r="H7845" s="1245"/>
      <c r="I7845" s="1245"/>
    </row>
    <row r="7846" spans="8:9">
      <c r="H7846" s="1245"/>
      <c r="I7846" s="1245"/>
    </row>
    <row r="7847" spans="8:9">
      <c r="H7847" s="1245"/>
      <c r="I7847" s="1245"/>
    </row>
    <row r="7848" spans="8:9">
      <c r="H7848" s="1245"/>
      <c r="I7848" s="1245"/>
    </row>
    <row r="7849" spans="8:9">
      <c r="H7849" s="1245"/>
      <c r="I7849" s="1245"/>
    </row>
    <row r="7850" spans="8:9">
      <c r="H7850" s="1245"/>
      <c r="I7850" s="1245"/>
    </row>
    <row r="7851" spans="8:9">
      <c r="H7851" s="1245"/>
      <c r="I7851" s="1245"/>
    </row>
    <row r="7852" spans="8:9">
      <c r="H7852" s="1245"/>
      <c r="I7852" s="1245"/>
    </row>
    <row r="7853" spans="8:9">
      <c r="H7853" s="1245"/>
      <c r="I7853" s="1245"/>
    </row>
    <row r="7854" spans="8:9">
      <c r="H7854" s="1245"/>
      <c r="I7854" s="1245"/>
    </row>
    <row r="7855" spans="8:9">
      <c r="H7855" s="1245"/>
      <c r="I7855" s="1245"/>
    </row>
    <row r="7856" spans="8:9">
      <c r="H7856" s="1245"/>
      <c r="I7856" s="1245"/>
    </row>
    <row r="7857" spans="8:9">
      <c r="H7857" s="1245"/>
      <c r="I7857" s="1245"/>
    </row>
    <row r="7858" spans="8:9">
      <c r="H7858" s="1245"/>
      <c r="I7858" s="1245"/>
    </row>
    <row r="7859" spans="8:9">
      <c r="H7859" s="1245"/>
      <c r="I7859" s="1245"/>
    </row>
    <row r="7860" spans="8:9">
      <c r="H7860" s="1245"/>
      <c r="I7860" s="1245"/>
    </row>
    <row r="7861" spans="8:9">
      <c r="H7861" s="1245"/>
      <c r="I7861" s="1245"/>
    </row>
    <row r="7862" spans="8:9">
      <c r="H7862" s="1245"/>
      <c r="I7862" s="1245"/>
    </row>
    <row r="7863" spans="8:9">
      <c r="H7863" s="1245"/>
      <c r="I7863" s="1245"/>
    </row>
    <row r="7864" spans="8:9">
      <c r="H7864" s="1245"/>
      <c r="I7864" s="1245"/>
    </row>
    <row r="7865" spans="8:9">
      <c r="H7865" s="1245"/>
      <c r="I7865" s="1245"/>
    </row>
    <row r="7866" spans="8:9">
      <c r="H7866" s="1245"/>
      <c r="I7866" s="1245"/>
    </row>
    <row r="7867" spans="8:9">
      <c r="H7867" s="1245"/>
      <c r="I7867" s="1245"/>
    </row>
    <row r="7868" spans="8:9">
      <c r="H7868" s="1245"/>
      <c r="I7868" s="1245"/>
    </row>
    <row r="7869" spans="8:9">
      <c r="H7869" s="1245"/>
      <c r="I7869" s="1245"/>
    </row>
    <row r="7870" spans="8:9">
      <c r="H7870" s="1245"/>
      <c r="I7870" s="1245"/>
    </row>
    <row r="7871" spans="8:9">
      <c r="H7871" s="1245"/>
      <c r="I7871" s="1245"/>
    </row>
    <row r="7872" spans="8:9">
      <c r="H7872" s="1245"/>
      <c r="I7872" s="1245"/>
    </row>
    <row r="7873" spans="8:9">
      <c r="H7873" s="1245"/>
      <c r="I7873" s="1245"/>
    </row>
    <row r="7874" spans="8:9">
      <c r="H7874" s="1245"/>
      <c r="I7874" s="1245"/>
    </row>
    <row r="7875" spans="8:9">
      <c r="H7875" s="1245"/>
      <c r="I7875" s="1245"/>
    </row>
    <row r="7876" spans="8:9">
      <c r="H7876" s="1245"/>
      <c r="I7876" s="1245"/>
    </row>
    <row r="7877" spans="8:9">
      <c r="H7877" s="1245"/>
      <c r="I7877" s="1245"/>
    </row>
    <row r="7878" spans="8:9">
      <c r="H7878" s="1245"/>
      <c r="I7878" s="1245"/>
    </row>
    <row r="7879" spans="8:9">
      <c r="H7879" s="1245"/>
      <c r="I7879" s="1245"/>
    </row>
    <row r="7880" spans="8:9">
      <c r="H7880" s="1245"/>
      <c r="I7880" s="1245"/>
    </row>
    <row r="7881" spans="8:9">
      <c r="H7881" s="1245"/>
      <c r="I7881" s="1245"/>
    </row>
    <row r="7882" spans="8:9">
      <c r="H7882" s="1245"/>
      <c r="I7882" s="1245"/>
    </row>
    <row r="7883" spans="8:9">
      <c r="H7883" s="1245"/>
      <c r="I7883" s="1245"/>
    </row>
    <row r="7884" spans="8:9">
      <c r="H7884" s="1245"/>
      <c r="I7884" s="1245"/>
    </row>
    <row r="7885" spans="8:9">
      <c r="H7885" s="1245"/>
      <c r="I7885" s="1245"/>
    </row>
    <row r="7886" spans="8:9">
      <c r="H7886" s="1245"/>
      <c r="I7886" s="1245"/>
    </row>
    <row r="7887" spans="8:9">
      <c r="H7887" s="1245"/>
      <c r="I7887" s="1245"/>
    </row>
    <row r="7888" spans="8:9">
      <c r="H7888" s="1245"/>
      <c r="I7888" s="1245"/>
    </row>
    <row r="7889" spans="8:9">
      <c r="H7889" s="1245"/>
      <c r="I7889" s="1245"/>
    </row>
    <row r="7890" spans="8:9">
      <c r="H7890" s="1245"/>
      <c r="I7890" s="1245"/>
    </row>
    <row r="7891" spans="8:9">
      <c r="H7891" s="1245"/>
      <c r="I7891" s="1245"/>
    </row>
    <row r="7892" spans="8:9">
      <c r="H7892" s="1245"/>
      <c r="I7892" s="1245"/>
    </row>
    <row r="7893" spans="8:9">
      <c r="H7893" s="1245"/>
      <c r="I7893" s="1245"/>
    </row>
    <row r="7894" spans="8:9">
      <c r="H7894" s="1245"/>
      <c r="I7894" s="1245"/>
    </row>
    <row r="7895" spans="8:9">
      <c r="H7895" s="1245"/>
      <c r="I7895" s="1245"/>
    </row>
    <row r="7896" spans="8:9">
      <c r="H7896" s="1245"/>
      <c r="I7896" s="1245"/>
    </row>
    <row r="7897" spans="8:9">
      <c r="H7897" s="1245"/>
      <c r="I7897" s="1245"/>
    </row>
    <row r="7898" spans="8:9">
      <c r="H7898" s="1245"/>
      <c r="I7898" s="1245"/>
    </row>
    <row r="7899" spans="8:9">
      <c r="H7899" s="1245"/>
      <c r="I7899" s="1245"/>
    </row>
    <row r="7900" spans="8:9">
      <c r="H7900" s="1245"/>
      <c r="I7900" s="1245"/>
    </row>
    <row r="7901" spans="8:9">
      <c r="H7901" s="1245"/>
      <c r="I7901" s="1245"/>
    </row>
    <row r="7902" spans="8:9">
      <c r="H7902" s="1245"/>
      <c r="I7902" s="1245"/>
    </row>
    <row r="7903" spans="8:9">
      <c r="H7903" s="1245"/>
      <c r="I7903" s="1245"/>
    </row>
    <row r="7904" spans="8:9">
      <c r="H7904" s="1245"/>
      <c r="I7904" s="1245"/>
    </row>
    <row r="7905" spans="8:9">
      <c r="H7905" s="1245"/>
      <c r="I7905" s="1245"/>
    </row>
    <row r="7906" spans="8:9">
      <c r="H7906" s="1245"/>
      <c r="I7906" s="1245"/>
    </row>
    <row r="7907" spans="8:9">
      <c r="H7907" s="1245"/>
      <c r="I7907" s="1245"/>
    </row>
    <row r="7908" spans="8:9">
      <c r="H7908" s="1245"/>
      <c r="I7908" s="1245"/>
    </row>
    <row r="7909" spans="8:9">
      <c r="H7909" s="1245"/>
      <c r="I7909" s="1245"/>
    </row>
    <row r="7910" spans="8:9">
      <c r="H7910" s="1245"/>
      <c r="I7910" s="1245"/>
    </row>
    <row r="7911" spans="8:9">
      <c r="H7911" s="1245"/>
      <c r="I7911" s="1245"/>
    </row>
    <row r="7912" spans="8:9">
      <c r="H7912" s="1245"/>
      <c r="I7912" s="1245"/>
    </row>
    <row r="7913" spans="8:9">
      <c r="H7913" s="1245"/>
      <c r="I7913" s="1245"/>
    </row>
    <row r="7914" spans="8:9">
      <c r="H7914" s="1245"/>
      <c r="I7914" s="1245"/>
    </row>
    <row r="7915" spans="8:9">
      <c r="H7915" s="1245"/>
      <c r="I7915" s="1245"/>
    </row>
    <row r="7916" spans="8:9">
      <c r="H7916" s="1245"/>
      <c r="I7916" s="1245"/>
    </row>
    <row r="7917" spans="8:9">
      <c r="H7917" s="1245"/>
      <c r="I7917" s="1245"/>
    </row>
    <row r="7918" spans="8:9">
      <c r="H7918" s="1245"/>
      <c r="I7918" s="1245"/>
    </row>
    <row r="7919" spans="8:9">
      <c r="H7919" s="1245"/>
      <c r="I7919" s="1245"/>
    </row>
    <row r="7920" spans="8:9">
      <c r="H7920" s="1245"/>
      <c r="I7920" s="1245"/>
    </row>
    <row r="7921" spans="8:9">
      <c r="H7921" s="1245"/>
      <c r="I7921" s="1245"/>
    </row>
    <row r="7922" spans="8:9">
      <c r="H7922" s="1245"/>
      <c r="I7922" s="1245"/>
    </row>
    <row r="7923" spans="8:9">
      <c r="H7923" s="1245"/>
      <c r="I7923" s="1245"/>
    </row>
    <row r="7924" spans="8:9">
      <c r="H7924" s="1245"/>
      <c r="I7924" s="1245"/>
    </row>
    <row r="7925" spans="8:9">
      <c r="H7925" s="1245"/>
      <c r="I7925" s="1245"/>
    </row>
    <row r="7926" spans="8:9">
      <c r="H7926" s="1245"/>
      <c r="I7926" s="1245"/>
    </row>
    <row r="7927" spans="8:9">
      <c r="H7927" s="1245"/>
      <c r="I7927" s="1245"/>
    </row>
    <row r="7928" spans="8:9">
      <c r="H7928" s="1245"/>
      <c r="I7928" s="1245"/>
    </row>
    <row r="7929" spans="8:9">
      <c r="H7929" s="1245"/>
      <c r="I7929" s="1245"/>
    </row>
    <row r="7930" spans="8:9">
      <c r="H7930" s="1245"/>
      <c r="I7930" s="1245"/>
    </row>
    <row r="7931" spans="8:9">
      <c r="H7931" s="1245"/>
      <c r="I7931" s="1245"/>
    </row>
    <row r="7932" spans="8:9">
      <c r="H7932" s="1245"/>
      <c r="I7932" s="1245"/>
    </row>
    <row r="7933" spans="8:9">
      <c r="H7933" s="1245"/>
      <c r="I7933" s="1245"/>
    </row>
    <row r="7934" spans="8:9">
      <c r="H7934" s="1245"/>
      <c r="I7934" s="1245"/>
    </row>
    <row r="7935" spans="8:9">
      <c r="H7935" s="1245"/>
      <c r="I7935" s="1245"/>
    </row>
    <row r="7936" spans="8:9">
      <c r="H7936" s="1245"/>
      <c r="I7936" s="1245"/>
    </row>
    <row r="7937" spans="8:9">
      <c r="H7937" s="1245"/>
      <c r="I7937" s="1245"/>
    </row>
    <row r="7938" spans="8:9">
      <c r="H7938" s="1245"/>
      <c r="I7938" s="1245"/>
    </row>
    <row r="7939" spans="8:9">
      <c r="H7939" s="1245"/>
      <c r="I7939" s="1245"/>
    </row>
    <row r="7940" spans="8:9">
      <c r="H7940" s="1245"/>
      <c r="I7940" s="1245"/>
    </row>
    <row r="7941" spans="8:9">
      <c r="H7941" s="1245"/>
      <c r="I7941" s="1245"/>
    </row>
    <row r="7942" spans="8:9">
      <c r="H7942" s="1245"/>
      <c r="I7942" s="1245"/>
    </row>
    <row r="7943" spans="8:9">
      <c r="H7943" s="1245"/>
      <c r="I7943" s="1245"/>
    </row>
    <row r="7944" spans="8:9">
      <c r="H7944" s="1245"/>
      <c r="I7944" s="1245"/>
    </row>
    <row r="7945" spans="8:9">
      <c r="H7945" s="1245"/>
      <c r="I7945" s="1245"/>
    </row>
    <row r="7946" spans="8:9">
      <c r="H7946" s="1245"/>
      <c r="I7946" s="1245"/>
    </row>
    <row r="7947" spans="8:9">
      <c r="H7947" s="1245"/>
      <c r="I7947" s="1245"/>
    </row>
    <row r="7948" spans="8:9">
      <c r="H7948" s="1245"/>
      <c r="I7948" s="1245"/>
    </row>
    <row r="7949" spans="8:9">
      <c r="H7949" s="1245"/>
      <c r="I7949" s="1245"/>
    </row>
    <row r="7950" spans="8:9">
      <c r="H7950" s="1245"/>
      <c r="I7950" s="1245"/>
    </row>
    <row r="7951" spans="8:9">
      <c r="H7951" s="1245"/>
      <c r="I7951" s="1245"/>
    </row>
    <row r="7952" spans="8:9">
      <c r="H7952" s="1245"/>
      <c r="I7952" s="1245"/>
    </row>
    <row r="7953" spans="8:9">
      <c r="H7953" s="1245"/>
      <c r="I7953" s="1245"/>
    </row>
    <row r="7954" spans="8:9">
      <c r="H7954" s="1245"/>
      <c r="I7954" s="1245"/>
    </row>
    <row r="7955" spans="8:9">
      <c r="H7955" s="1245"/>
      <c r="I7955" s="1245"/>
    </row>
    <row r="7956" spans="8:9">
      <c r="H7956" s="1245"/>
      <c r="I7956" s="1245"/>
    </row>
    <row r="7957" spans="8:9">
      <c r="H7957" s="1245"/>
      <c r="I7957" s="1245"/>
    </row>
    <row r="7958" spans="8:9">
      <c r="H7958" s="1245"/>
      <c r="I7958" s="1245"/>
    </row>
    <row r="7959" spans="8:9">
      <c r="H7959" s="1245"/>
      <c r="I7959" s="1245"/>
    </row>
    <row r="7960" spans="8:9">
      <c r="H7960" s="1245"/>
      <c r="I7960" s="1245"/>
    </row>
    <row r="7961" spans="8:9">
      <c r="H7961" s="1245"/>
      <c r="I7961" s="1245"/>
    </row>
    <row r="7962" spans="8:9">
      <c r="H7962" s="1245"/>
      <c r="I7962" s="1245"/>
    </row>
    <row r="7963" spans="8:9">
      <c r="H7963" s="1245"/>
      <c r="I7963" s="1245"/>
    </row>
    <row r="7964" spans="8:9">
      <c r="H7964" s="1245"/>
      <c r="I7964" s="1245"/>
    </row>
    <row r="7965" spans="8:9">
      <c r="H7965" s="1245"/>
      <c r="I7965" s="1245"/>
    </row>
    <row r="7966" spans="8:9">
      <c r="H7966" s="1245"/>
      <c r="I7966" s="1245"/>
    </row>
    <row r="7967" spans="8:9">
      <c r="H7967" s="1245"/>
      <c r="I7967" s="1245"/>
    </row>
    <row r="7968" spans="8:9">
      <c r="H7968" s="1245"/>
      <c r="I7968" s="1245"/>
    </row>
    <row r="7969" spans="8:9">
      <c r="H7969" s="1245"/>
      <c r="I7969" s="1245"/>
    </row>
    <row r="7970" spans="8:9">
      <c r="H7970" s="1245"/>
      <c r="I7970" s="1245"/>
    </row>
    <row r="7971" spans="8:9">
      <c r="H7971" s="1245"/>
      <c r="I7971" s="1245"/>
    </row>
    <row r="7972" spans="8:9">
      <c r="H7972" s="1245"/>
      <c r="I7972" s="1245"/>
    </row>
    <row r="7973" spans="8:9">
      <c r="H7973" s="1245"/>
      <c r="I7973" s="1245"/>
    </row>
    <row r="7974" spans="8:9">
      <c r="H7974" s="1245"/>
      <c r="I7974" s="1245"/>
    </row>
    <row r="7975" spans="8:9">
      <c r="H7975" s="1245"/>
      <c r="I7975" s="1245"/>
    </row>
    <row r="7976" spans="8:9">
      <c r="H7976" s="1245"/>
      <c r="I7976" s="1245"/>
    </row>
    <row r="7977" spans="8:9">
      <c r="H7977" s="1245"/>
      <c r="I7977" s="1245"/>
    </row>
    <row r="7978" spans="8:9">
      <c r="H7978" s="1245"/>
      <c r="I7978" s="1245"/>
    </row>
    <row r="7979" spans="8:9">
      <c r="H7979" s="1245"/>
      <c r="I7979" s="1245"/>
    </row>
    <row r="7980" spans="8:9">
      <c r="H7980" s="1245"/>
      <c r="I7980" s="1245"/>
    </row>
    <row r="7981" spans="8:9">
      <c r="H7981" s="1245"/>
      <c r="I7981" s="1245"/>
    </row>
    <row r="7982" spans="8:9">
      <c r="H7982" s="1245"/>
      <c r="I7982" s="1245"/>
    </row>
    <row r="7983" spans="8:9">
      <c r="H7983" s="1245"/>
      <c r="I7983" s="1245"/>
    </row>
    <row r="7984" spans="8:9">
      <c r="H7984" s="1245"/>
      <c r="I7984" s="1245"/>
    </row>
    <row r="7985" spans="8:9">
      <c r="H7985" s="1245"/>
      <c r="I7985" s="1245"/>
    </row>
    <row r="7986" spans="8:9">
      <c r="H7986" s="1245"/>
      <c r="I7986" s="1245"/>
    </row>
    <row r="7987" spans="8:9">
      <c r="H7987" s="1245"/>
      <c r="I7987" s="1245"/>
    </row>
    <row r="7988" spans="8:9">
      <c r="H7988" s="1245"/>
      <c r="I7988" s="1245"/>
    </row>
    <row r="7989" spans="8:9">
      <c r="H7989" s="1245"/>
      <c r="I7989" s="1245"/>
    </row>
    <row r="7990" spans="8:9">
      <c r="H7990" s="1245"/>
      <c r="I7990" s="1245"/>
    </row>
    <row r="7991" spans="8:9">
      <c r="H7991" s="1245"/>
      <c r="I7991" s="1245"/>
    </row>
    <row r="7992" spans="8:9">
      <c r="H7992" s="1245"/>
      <c r="I7992" s="1245"/>
    </row>
    <row r="7993" spans="8:9">
      <c r="H7993" s="1245"/>
      <c r="I7993" s="1245"/>
    </row>
    <row r="7994" spans="8:9">
      <c r="H7994" s="1245"/>
      <c r="I7994" s="1245"/>
    </row>
    <row r="7995" spans="8:9">
      <c r="H7995" s="1245"/>
      <c r="I7995" s="1245"/>
    </row>
    <row r="7996" spans="8:9">
      <c r="H7996" s="1245"/>
      <c r="I7996" s="1245"/>
    </row>
    <row r="7997" spans="8:9">
      <c r="H7997" s="1245"/>
      <c r="I7997" s="1245"/>
    </row>
    <row r="7998" spans="8:9">
      <c r="H7998" s="1245"/>
      <c r="I7998" s="1245"/>
    </row>
    <row r="7999" spans="8:9">
      <c r="H7999" s="1245"/>
      <c r="I7999" s="1245"/>
    </row>
    <row r="8000" spans="8:9">
      <c r="H8000" s="1245"/>
      <c r="I8000" s="1245"/>
    </row>
    <row r="8001" spans="8:9">
      <c r="H8001" s="1245"/>
      <c r="I8001" s="1245"/>
    </row>
    <row r="8002" spans="8:9">
      <c r="H8002" s="1245"/>
      <c r="I8002" s="1245"/>
    </row>
    <row r="8003" spans="8:9">
      <c r="H8003" s="1245"/>
      <c r="I8003" s="1245"/>
    </row>
    <row r="8004" spans="8:9">
      <c r="H8004" s="1245"/>
      <c r="I8004" s="1245"/>
    </row>
    <row r="8005" spans="8:9">
      <c r="H8005" s="1245"/>
      <c r="I8005" s="1245"/>
    </row>
    <row r="8006" spans="8:9">
      <c r="H8006" s="1245"/>
      <c r="I8006" s="1245"/>
    </row>
    <row r="8007" spans="8:9">
      <c r="H8007" s="1245"/>
      <c r="I8007" s="1245"/>
    </row>
    <row r="8008" spans="8:9">
      <c r="H8008" s="1245"/>
      <c r="I8008" s="1245"/>
    </row>
    <row r="8009" spans="8:9">
      <c r="H8009" s="1245"/>
      <c r="I8009" s="1245"/>
    </row>
    <row r="8010" spans="8:9">
      <c r="H8010" s="1245"/>
      <c r="I8010" s="1245"/>
    </row>
    <row r="8011" spans="8:9">
      <c r="H8011" s="1245"/>
      <c r="I8011" s="1245"/>
    </row>
    <row r="8012" spans="8:9">
      <c r="H8012" s="1245"/>
      <c r="I8012" s="1245"/>
    </row>
    <row r="8013" spans="8:9">
      <c r="H8013" s="1245"/>
      <c r="I8013" s="1245"/>
    </row>
    <row r="8014" spans="8:9">
      <c r="H8014" s="1245"/>
      <c r="I8014" s="1245"/>
    </row>
    <row r="8015" spans="8:9">
      <c r="H8015" s="1245"/>
      <c r="I8015" s="1245"/>
    </row>
    <row r="8016" spans="8:9">
      <c r="H8016" s="1245"/>
      <c r="I8016" s="1245"/>
    </row>
    <row r="8017" spans="8:9">
      <c r="H8017" s="1245"/>
      <c r="I8017" s="1245"/>
    </row>
    <row r="8018" spans="8:9">
      <c r="H8018" s="1245"/>
      <c r="I8018" s="1245"/>
    </row>
    <row r="8019" spans="8:9">
      <c r="H8019" s="1245"/>
      <c r="I8019" s="1245"/>
    </row>
    <row r="8020" spans="8:9">
      <c r="H8020" s="1245"/>
      <c r="I8020" s="1245"/>
    </row>
    <row r="8021" spans="8:9">
      <c r="H8021" s="1245"/>
      <c r="I8021" s="1245"/>
    </row>
    <row r="8022" spans="8:9">
      <c r="H8022" s="1245"/>
      <c r="I8022" s="1245"/>
    </row>
    <row r="8023" spans="8:9">
      <c r="H8023" s="1245"/>
      <c r="I8023" s="1245"/>
    </row>
    <row r="8024" spans="8:9">
      <c r="H8024" s="1245"/>
      <c r="I8024" s="1245"/>
    </row>
    <row r="8025" spans="8:9">
      <c r="H8025" s="1245"/>
      <c r="I8025" s="1245"/>
    </row>
    <row r="8026" spans="8:9">
      <c r="H8026" s="1245"/>
      <c r="I8026" s="1245"/>
    </row>
    <row r="8027" spans="8:9">
      <c r="H8027" s="1245"/>
      <c r="I8027" s="1245"/>
    </row>
    <row r="8028" spans="8:9">
      <c r="H8028" s="1245"/>
      <c r="I8028" s="1245"/>
    </row>
    <row r="8029" spans="8:9">
      <c r="H8029" s="1245"/>
      <c r="I8029" s="1245"/>
    </row>
    <row r="8030" spans="8:9">
      <c r="H8030" s="1245"/>
      <c r="I8030" s="1245"/>
    </row>
    <row r="8031" spans="8:9">
      <c r="H8031" s="1245"/>
      <c r="I8031" s="1245"/>
    </row>
    <row r="8032" spans="8:9">
      <c r="H8032" s="1245"/>
      <c r="I8032" s="1245"/>
    </row>
    <row r="8033" spans="8:9">
      <c r="H8033" s="1245"/>
      <c r="I8033" s="1245"/>
    </row>
    <row r="8034" spans="8:9">
      <c r="H8034" s="1245"/>
      <c r="I8034" s="1245"/>
    </row>
    <row r="8035" spans="8:9">
      <c r="H8035" s="1245"/>
      <c r="I8035" s="1245"/>
    </row>
    <row r="8036" spans="8:9">
      <c r="H8036" s="1245"/>
      <c r="I8036" s="1245"/>
    </row>
    <row r="8037" spans="8:9">
      <c r="H8037" s="1245"/>
      <c r="I8037" s="1245"/>
    </row>
    <row r="8038" spans="8:9">
      <c r="H8038" s="1245"/>
      <c r="I8038" s="1245"/>
    </row>
    <row r="8039" spans="8:9">
      <c r="H8039" s="1245"/>
      <c r="I8039" s="1245"/>
    </row>
    <row r="8040" spans="8:9">
      <c r="H8040" s="1245"/>
      <c r="I8040" s="1245"/>
    </row>
    <row r="8041" spans="8:9">
      <c r="H8041" s="1245"/>
      <c r="I8041" s="1245"/>
    </row>
    <row r="8042" spans="8:9">
      <c r="H8042" s="1245"/>
      <c r="I8042" s="1245"/>
    </row>
    <row r="8043" spans="8:9">
      <c r="H8043" s="1245"/>
      <c r="I8043" s="1245"/>
    </row>
    <row r="8044" spans="8:9">
      <c r="H8044" s="1245"/>
      <c r="I8044" s="1245"/>
    </row>
    <row r="8045" spans="8:9">
      <c r="H8045" s="1245"/>
      <c r="I8045" s="1245"/>
    </row>
    <row r="8046" spans="8:9">
      <c r="H8046" s="1245"/>
      <c r="I8046" s="1245"/>
    </row>
    <row r="8047" spans="8:9">
      <c r="H8047" s="1245"/>
      <c r="I8047" s="1245"/>
    </row>
    <row r="8048" spans="8:9">
      <c r="H8048" s="1245"/>
      <c r="I8048" s="1245"/>
    </row>
    <row r="8049" spans="8:9">
      <c r="H8049" s="1245"/>
      <c r="I8049" s="1245"/>
    </row>
    <row r="8050" spans="8:9">
      <c r="H8050" s="1245"/>
      <c r="I8050" s="1245"/>
    </row>
    <row r="8051" spans="8:9">
      <c r="H8051" s="1245"/>
      <c r="I8051" s="1245"/>
    </row>
    <row r="8052" spans="8:9">
      <c r="H8052" s="1245"/>
      <c r="I8052" s="1245"/>
    </row>
    <row r="8053" spans="8:9">
      <c r="H8053" s="1245"/>
      <c r="I8053" s="1245"/>
    </row>
    <row r="8054" spans="8:9">
      <c r="H8054" s="1245"/>
      <c r="I8054" s="1245"/>
    </row>
    <row r="8055" spans="8:9">
      <c r="H8055" s="1245"/>
      <c r="I8055" s="1245"/>
    </row>
    <row r="8056" spans="8:9">
      <c r="H8056" s="1245"/>
      <c r="I8056" s="1245"/>
    </row>
    <row r="8057" spans="8:9">
      <c r="H8057" s="1245"/>
      <c r="I8057" s="1245"/>
    </row>
    <row r="8058" spans="8:9">
      <c r="H8058" s="1245"/>
      <c r="I8058" s="1245"/>
    </row>
    <row r="8059" spans="8:9">
      <c r="H8059" s="1245"/>
      <c r="I8059" s="1245"/>
    </row>
    <row r="8060" spans="8:9">
      <c r="H8060" s="1245"/>
      <c r="I8060" s="1245"/>
    </row>
    <row r="8061" spans="8:9">
      <c r="H8061" s="1245"/>
      <c r="I8061" s="1245"/>
    </row>
    <row r="8062" spans="8:9">
      <c r="H8062" s="1245"/>
      <c r="I8062" s="1245"/>
    </row>
    <row r="8063" spans="8:9">
      <c r="H8063" s="1245"/>
      <c r="I8063" s="1245"/>
    </row>
    <row r="8064" spans="8:9">
      <c r="H8064" s="1245"/>
      <c r="I8064" s="1245"/>
    </row>
    <row r="8065" spans="8:9">
      <c r="H8065" s="1245"/>
      <c r="I8065" s="1245"/>
    </row>
    <row r="8066" spans="8:9">
      <c r="H8066" s="1245"/>
      <c r="I8066" s="1245"/>
    </row>
    <row r="8067" spans="8:9">
      <c r="H8067" s="1245"/>
      <c r="I8067" s="1245"/>
    </row>
    <row r="8068" spans="8:9">
      <c r="H8068" s="1245"/>
      <c r="I8068" s="1245"/>
    </row>
    <row r="8069" spans="8:9">
      <c r="H8069" s="1245"/>
      <c r="I8069" s="1245"/>
    </row>
    <row r="8070" spans="8:9">
      <c r="H8070" s="1245"/>
      <c r="I8070" s="1245"/>
    </row>
    <row r="8071" spans="8:9">
      <c r="H8071" s="1245"/>
      <c r="I8071" s="1245"/>
    </row>
    <row r="8072" spans="8:9">
      <c r="H8072" s="1245"/>
      <c r="I8072" s="1245"/>
    </row>
    <row r="8073" spans="8:9">
      <c r="H8073" s="1245"/>
      <c r="I8073" s="1245"/>
    </row>
    <row r="8074" spans="8:9">
      <c r="H8074" s="1245"/>
      <c r="I8074" s="1245"/>
    </row>
    <row r="8075" spans="8:9">
      <c r="H8075" s="1245"/>
      <c r="I8075" s="1245"/>
    </row>
    <row r="8076" spans="8:9">
      <c r="H8076" s="1245"/>
      <c r="I8076" s="1245"/>
    </row>
    <row r="8077" spans="8:9">
      <c r="H8077" s="1245"/>
      <c r="I8077" s="1245"/>
    </row>
    <row r="8078" spans="8:9">
      <c r="H8078" s="1245"/>
      <c r="I8078" s="1245"/>
    </row>
    <row r="8079" spans="8:9">
      <c r="H8079" s="1245"/>
      <c r="I8079" s="1245"/>
    </row>
    <row r="8080" spans="8:9">
      <c r="H8080" s="1245"/>
      <c r="I8080" s="1245"/>
    </row>
    <row r="8081" spans="8:9">
      <c r="H8081" s="1245"/>
      <c r="I8081" s="1245"/>
    </row>
    <row r="8082" spans="8:9">
      <c r="H8082" s="1245"/>
      <c r="I8082" s="1245"/>
    </row>
    <row r="8083" spans="8:9">
      <c r="H8083" s="1245"/>
      <c r="I8083" s="1245"/>
    </row>
    <row r="8084" spans="8:9">
      <c r="H8084" s="1245"/>
      <c r="I8084" s="1245"/>
    </row>
    <row r="8085" spans="8:9">
      <c r="H8085" s="1245"/>
      <c r="I8085" s="1245"/>
    </row>
    <row r="8086" spans="8:9">
      <c r="H8086" s="1245"/>
      <c r="I8086" s="1245"/>
    </row>
    <row r="8087" spans="8:9">
      <c r="H8087" s="1245"/>
      <c r="I8087" s="1245"/>
    </row>
    <row r="8088" spans="8:9">
      <c r="H8088" s="1245"/>
      <c r="I8088" s="1245"/>
    </row>
    <row r="8089" spans="8:9">
      <c r="H8089" s="1245"/>
      <c r="I8089" s="1245"/>
    </row>
    <row r="8090" spans="8:9">
      <c r="H8090" s="1245"/>
      <c r="I8090" s="1245"/>
    </row>
    <row r="8091" spans="8:9">
      <c r="H8091" s="1245"/>
      <c r="I8091" s="1245"/>
    </row>
    <row r="8092" spans="8:9">
      <c r="H8092" s="1245"/>
      <c r="I8092" s="1245"/>
    </row>
    <row r="8093" spans="8:9">
      <c r="H8093" s="1245"/>
      <c r="I8093" s="1245"/>
    </row>
    <row r="8094" spans="8:9">
      <c r="H8094" s="1245"/>
      <c r="I8094" s="1245"/>
    </row>
    <row r="8095" spans="8:9">
      <c r="H8095" s="1245"/>
      <c r="I8095" s="1245"/>
    </row>
    <row r="8096" spans="8:9">
      <c r="H8096" s="1245"/>
      <c r="I8096" s="1245"/>
    </row>
    <row r="8097" spans="8:9">
      <c r="H8097" s="1245"/>
      <c r="I8097" s="1245"/>
    </row>
    <row r="8098" spans="8:9">
      <c r="H8098" s="1245"/>
      <c r="I8098" s="1245"/>
    </row>
    <row r="8099" spans="8:9">
      <c r="H8099" s="1245"/>
      <c r="I8099" s="1245"/>
    </row>
    <row r="8100" spans="8:9">
      <c r="H8100" s="1245"/>
      <c r="I8100" s="1245"/>
    </row>
    <row r="8101" spans="8:9">
      <c r="H8101" s="1245"/>
      <c r="I8101" s="1245"/>
    </row>
    <row r="8102" spans="8:9">
      <c r="H8102" s="1245"/>
      <c r="I8102" s="1245"/>
    </row>
    <row r="8103" spans="8:9">
      <c r="H8103" s="1245"/>
      <c r="I8103" s="1245"/>
    </row>
    <row r="8104" spans="8:9">
      <c r="H8104" s="1245"/>
      <c r="I8104" s="1245"/>
    </row>
    <row r="8105" spans="8:9">
      <c r="H8105" s="1245"/>
      <c r="I8105" s="1245"/>
    </row>
    <row r="8106" spans="8:9">
      <c r="H8106" s="1245"/>
      <c r="I8106" s="1245"/>
    </row>
    <row r="8107" spans="8:9">
      <c r="H8107" s="1245"/>
      <c r="I8107" s="1245"/>
    </row>
    <row r="8108" spans="8:9">
      <c r="H8108" s="1245"/>
      <c r="I8108" s="1245"/>
    </row>
    <row r="8109" spans="8:9">
      <c r="H8109" s="1245"/>
      <c r="I8109" s="1245"/>
    </row>
    <row r="8110" spans="8:9">
      <c r="H8110" s="1245"/>
      <c r="I8110" s="1245"/>
    </row>
    <row r="8111" spans="8:9">
      <c r="H8111" s="1245"/>
      <c r="I8111" s="1245"/>
    </row>
    <row r="8112" spans="8:9">
      <c r="H8112" s="1245"/>
      <c r="I8112" s="1245"/>
    </row>
    <row r="8113" spans="8:9">
      <c r="H8113" s="1245"/>
      <c r="I8113" s="1245"/>
    </row>
    <row r="8114" spans="8:9">
      <c r="H8114" s="1245"/>
      <c r="I8114" s="1245"/>
    </row>
    <row r="8115" spans="8:9">
      <c r="H8115" s="1245"/>
      <c r="I8115" s="1245"/>
    </row>
    <row r="8116" spans="8:9">
      <c r="H8116" s="1245"/>
      <c r="I8116" s="1245"/>
    </row>
    <row r="8117" spans="8:9">
      <c r="H8117" s="1245"/>
      <c r="I8117" s="1245"/>
    </row>
    <row r="8118" spans="8:9">
      <c r="H8118" s="1245"/>
      <c r="I8118" s="1245"/>
    </row>
    <row r="8119" spans="8:9">
      <c r="H8119" s="1245"/>
      <c r="I8119" s="1245"/>
    </row>
    <row r="8120" spans="8:9">
      <c r="H8120" s="1245"/>
      <c r="I8120" s="1245"/>
    </row>
    <row r="8121" spans="8:9">
      <c r="H8121" s="1245"/>
      <c r="I8121" s="1245"/>
    </row>
    <row r="8122" spans="8:9">
      <c r="H8122" s="1245"/>
      <c r="I8122" s="1245"/>
    </row>
    <row r="8123" spans="8:9">
      <c r="H8123" s="1245"/>
      <c r="I8123" s="1245"/>
    </row>
    <row r="8124" spans="8:9">
      <c r="H8124" s="1245"/>
      <c r="I8124" s="1245"/>
    </row>
    <row r="8125" spans="8:9">
      <c r="H8125" s="1245"/>
      <c r="I8125" s="1245"/>
    </row>
    <row r="8126" spans="8:9">
      <c r="H8126" s="1245"/>
      <c r="I8126" s="1245"/>
    </row>
    <row r="8127" spans="8:9">
      <c r="H8127" s="1245"/>
      <c r="I8127" s="1245"/>
    </row>
    <row r="8128" spans="8:9">
      <c r="H8128" s="1245"/>
      <c r="I8128" s="1245"/>
    </row>
    <row r="8129" spans="8:9">
      <c r="H8129" s="1245"/>
      <c r="I8129" s="1245"/>
    </row>
    <row r="8130" spans="8:9">
      <c r="H8130" s="1245"/>
      <c r="I8130" s="1245"/>
    </row>
    <row r="8131" spans="8:9">
      <c r="H8131" s="1245"/>
      <c r="I8131" s="1245"/>
    </row>
    <row r="8132" spans="8:9">
      <c r="H8132" s="1245"/>
      <c r="I8132" s="1245"/>
    </row>
    <row r="8133" spans="8:9">
      <c r="H8133" s="1245"/>
      <c r="I8133" s="1245"/>
    </row>
    <row r="8134" spans="8:9">
      <c r="H8134" s="1245"/>
      <c r="I8134" s="1245"/>
    </row>
    <row r="8135" spans="8:9">
      <c r="H8135" s="1245"/>
      <c r="I8135" s="1245"/>
    </row>
    <row r="8136" spans="8:9">
      <c r="H8136" s="1245"/>
      <c r="I8136" s="1245"/>
    </row>
    <row r="8137" spans="8:9">
      <c r="H8137" s="1245"/>
      <c r="I8137" s="1245"/>
    </row>
    <row r="8138" spans="8:9">
      <c r="H8138" s="1245"/>
      <c r="I8138" s="1245"/>
    </row>
    <row r="8139" spans="8:9">
      <c r="H8139" s="1245"/>
      <c r="I8139" s="1245"/>
    </row>
    <row r="8140" spans="8:9">
      <c r="H8140" s="1245"/>
      <c r="I8140" s="1245"/>
    </row>
    <row r="8141" spans="8:9">
      <c r="H8141" s="1245"/>
      <c r="I8141" s="1245"/>
    </row>
    <row r="8142" spans="8:9">
      <c r="H8142" s="1245"/>
      <c r="I8142" s="1245"/>
    </row>
    <row r="8143" spans="8:9">
      <c r="H8143" s="1245"/>
      <c r="I8143" s="1245"/>
    </row>
    <row r="8144" spans="8:9">
      <c r="H8144" s="1245"/>
      <c r="I8144" s="1245"/>
    </row>
    <row r="8145" spans="8:9">
      <c r="H8145" s="1245"/>
      <c r="I8145" s="1245"/>
    </row>
    <row r="8146" spans="8:9">
      <c r="H8146" s="1245"/>
      <c r="I8146" s="1245"/>
    </row>
    <row r="8147" spans="8:9">
      <c r="H8147" s="1245"/>
      <c r="I8147" s="1245"/>
    </row>
    <row r="8148" spans="8:9">
      <c r="H8148" s="1245"/>
      <c r="I8148" s="1245"/>
    </row>
    <row r="8149" spans="8:9">
      <c r="H8149" s="1245"/>
      <c r="I8149" s="1245"/>
    </row>
    <row r="8150" spans="8:9">
      <c r="H8150" s="1245"/>
      <c r="I8150" s="1245"/>
    </row>
    <row r="8151" spans="8:9">
      <c r="H8151" s="1245"/>
      <c r="I8151" s="1245"/>
    </row>
    <row r="8152" spans="8:9">
      <c r="H8152" s="1245"/>
      <c r="I8152" s="1245"/>
    </row>
    <row r="8153" spans="8:9">
      <c r="H8153" s="1245"/>
      <c r="I8153" s="1245"/>
    </row>
    <row r="8154" spans="8:9">
      <c r="H8154" s="1245"/>
      <c r="I8154" s="1245"/>
    </row>
    <row r="8155" spans="8:9">
      <c r="H8155" s="1245"/>
      <c r="I8155" s="1245"/>
    </row>
    <row r="8156" spans="8:9">
      <c r="H8156" s="1245"/>
      <c r="I8156" s="1245"/>
    </row>
    <row r="8157" spans="8:9">
      <c r="H8157" s="1245"/>
      <c r="I8157" s="1245"/>
    </row>
    <row r="8158" spans="8:9">
      <c r="H8158" s="1245"/>
      <c r="I8158" s="1245"/>
    </row>
    <row r="8159" spans="8:9">
      <c r="H8159" s="1245"/>
      <c r="I8159" s="1245"/>
    </row>
    <row r="8160" spans="8:9">
      <c r="H8160" s="1245"/>
      <c r="I8160" s="1245"/>
    </row>
    <row r="8161" spans="8:9">
      <c r="H8161" s="1245"/>
      <c r="I8161" s="1245"/>
    </row>
    <row r="8162" spans="8:9">
      <c r="H8162" s="1245"/>
      <c r="I8162" s="1245"/>
    </row>
    <row r="8163" spans="8:9">
      <c r="H8163" s="1245"/>
      <c r="I8163" s="1245"/>
    </row>
    <row r="8164" spans="8:9">
      <c r="H8164" s="1245"/>
      <c r="I8164" s="1245"/>
    </row>
    <row r="8165" spans="8:9">
      <c r="H8165" s="1245"/>
      <c r="I8165" s="1245"/>
    </row>
    <row r="8166" spans="8:9">
      <c r="H8166" s="1245"/>
      <c r="I8166" s="1245"/>
    </row>
    <row r="8167" spans="8:9">
      <c r="H8167" s="1245"/>
      <c r="I8167" s="1245"/>
    </row>
    <row r="8168" spans="8:9">
      <c r="H8168" s="1245"/>
      <c r="I8168" s="1245"/>
    </row>
    <row r="8169" spans="8:9">
      <c r="H8169" s="1245"/>
      <c r="I8169" s="1245"/>
    </row>
    <row r="8170" spans="8:9">
      <c r="H8170" s="1245"/>
      <c r="I8170" s="1245"/>
    </row>
    <row r="8171" spans="8:9">
      <c r="H8171" s="1245"/>
      <c r="I8171" s="1245"/>
    </row>
    <row r="8172" spans="8:9">
      <c r="H8172" s="1245"/>
      <c r="I8172" s="1245"/>
    </row>
    <row r="8173" spans="8:9">
      <c r="H8173" s="1245"/>
      <c r="I8173" s="1245"/>
    </row>
    <row r="8174" spans="8:9">
      <c r="H8174" s="1245"/>
      <c r="I8174" s="1245"/>
    </row>
    <row r="8175" spans="8:9">
      <c r="H8175" s="1245"/>
      <c r="I8175" s="1245"/>
    </row>
    <row r="8176" spans="8:9">
      <c r="H8176" s="1245"/>
      <c r="I8176" s="1245"/>
    </row>
    <row r="8177" spans="8:9">
      <c r="H8177" s="1245"/>
      <c r="I8177" s="1245"/>
    </row>
    <row r="8178" spans="8:9">
      <c r="H8178" s="1245"/>
      <c r="I8178" s="1245"/>
    </row>
    <row r="8179" spans="8:9">
      <c r="H8179" s="1245"/>
      <c r="I8179" s="1245"/>
    </row>
    <row r="8180" spans="8:9">
      <c r="H8180" s="1245"/>
      <c r="I8180" s="1245"/>
    </row>
    <row r="8181" spans="8:9">
      <c r="H8181" s="1245"/>
      <c r="I8181" s="1245"/>
    </row>
    <row r="8182" spans="8:9">
      <c r="H8182" s="1245"/>
      <c r="I8182" s="1245"/>
    </row>
    <row r="8183" spans="8:9">
      <c r="H8183" s="1245"/>
      <c r="I8183" s="1245"/>
    </row>
    <row r="8184" spans="8:9">
      <c r="H8184" s="1245"/>
      <c r="I8184" s="1245"/>
    </row>
    <row r="8185" spans="8:9">
      <c r="H8185" s="1245"/>
      <c r="I8185" s="1245"/>
    </row>
    <row r="8186" spans="8:9">
      <c r="H8186" s="1245"/>
      <c r="I8186" s="1245"/>
    </row>
    <row r="8187" spans="8:9">
      <c r="H8187" s="1245"/>
      <c r="I8187" s="1245"/>
    </row>
    <row r="8188" spans="8:9">
      <c r="H8188" s="1245"/>
      <c r="I8188" s="1245"/>
    </row>
    <row r="8189" spans="8:9">
      <c r="H8189" s="1245"/>
      <c r="I8189" s="1245"/>
    </row>
    <row r="8190" spans="8:9">
      <c r="H8190" s="1245"/>
      <c r="I8190" s="1245"/>
    </row>
    <row r="8191" spans="8:9">
      <c r="H8191" s="1245"/>
      <c r="I8191" s="1245"/>
    </row>
    <row r="8192" spans="8:9">
      <c r="H8192" s="1245"/>
      <c r="I8192" s="1245"/>
    </row>
    <row r="8193" spans="8:9">
      <c r="H8193" s="1245"/>
      <c r="I8193" s="1245"/>
    </row>
    <row r="8194" spans="8:9">
      <c r="H8194" s="1245"/>
      <c r="I8194" s="1245"/>
    </row>
    <row r="8195" spans="8:9">
      <c r="H8195" s="1245"/>
      <c r="I8195" s="1245"/>
    </row>
    <row r="8196" spans="8:9">
      <c r="H8196" s="1245"/>
      <c r="I8196" s="1245"/>
    </row>
    <row r="8197" spans="8:9">
      <c r="H8197" s="1245"/>
      <c r="I8197" s="1245"/>
    </row>
    <row r="8198" spans="8:9">
      <c r="H8198" s="1245"/>
      <c r="I8198" s="1245"/>
    </row>
    <row r="8199" spans="8:9">
      <c r="H8199" s="1245"/>
      <c r="I8199" s="1245"/>
    </row>
    <row r="8200" spans="8:9">
      <c r="H8200" s="1245"/>
      <c r="I8200" s="1245"/>
    </row>
    <row r="8201" spans="8:9">
      <c r="H8201" s="1245"/>
      <c r="I8201" s="1245"/>
    </row>
    <row r="8202" spans="8:9">
      <c r="H8202" s="1245"/>
      <c r="I8202" s="1245"/>
    </row>
    <row r="8203" spans="8:9">
      <c r="H8203" s="1245"/>
      <c r="I8203" s="1245"/>
    </row>
    <row r="8204" spans="8:9">
      <c r="H8204" s="1245"/>
      <c r="I8204" s="1245"/>
    </row>
    <row r="8205" spans="8:9">
      <c r="H8205" s="1245"/>
      <c r="I8205" s="1245"/>
    </row>
    <row r="8206" spans="8:9">
      <c r="H8206" s="1245"/>
      <c r="I8206" s="1245"/>
    </row>
    <row r="8207" spans="8:9">
      <c r="H8207" s="1245"/>
      <c r="I8207" s="1245"/>
    </row>
    <row r="8208" spans="8:9">
      <c r="H8208" s="1245"/>
      <c r="I8208" s="1245"/>
    </row>
    <row r="8209" spans="8:9">
      <c r="H8209" s="1245"/>
      <c r="I8209" s="1245"/>
    </row>
    <row r="8210" spans="8:9">
      <c r="H8210" s="1245"/>
      <c r="I8210" s="1245"/>
    </row>
    <row r="8211" spans="8:9">
      <c r="H8211" s="1245"/>
      <c r="I8211" s="1245"/>
    </row>
    <row r="8212" spans="8:9">
      <c r="H8212" s="1245"/>
      <c r="I8212" s="1245"/>
    </row>
    <row r="8213" spans="8:9">
      <c r="H8213" s="1245"/>
      <c r="I8213" s="1245"/>
    </row>
    <row r="8214" spans="8:9">
      <c r="H8214" s="1245"/>
      <c r="I8214" s="1245"/>
    </row>
    <row r="8215" spans="8:9">
      <c r="H8215" s="1245"/>
      <c r="I8215" s="1245"/>
    </row>
    <row r="8216" spans="8:9">
      <c r="H8216" s="1245"/>
      <c r="I8216" s="1245"/>
    </row>
    <row r="8217" spans="8:9">
      <c r="H8217" s="1245"/>
      <c r="I8217" s="1245"/>
    </row>
    <row r="8218" spans="8:9">
      <c r="H8218" s="1245"/>
      <c r="I8218" s="1245"/>
    </row>
    <row r="8219" spans="8:9">
      <c r="H8219" s="1245"/>
      <c r="I8219" s="1245"/>
    </row>
    <row r="8220" spans="8:9">
      <c r="H8220" s="1245"/>
      <c r="I8220" s="1245"/>
    </row>
    <row r="8221" spans="8:9">
      <c r="H8221" s="1245"/>
      <c r="I8221" s="1245"/>
    </row>
    <row r="8222" spans="8:9">
      <c r="H8222" s="1245"/>
      <c r="I8222" s="1245"/>
    </row>
    <row r="8223" spans="8:9">
      <c r="H8223" s="1245"/>
      <c r="I8223" s="1245"/>
    </row>
    <row r="8224" spans="8:9">
      <c r="H8224" s="1245"/>
      <c r="I8224" s="1245"/>
    </row>
    <row r="8225" spans="8:9">
      <c r="H8225" s="1245"/>
      <c r="I8225" s="1245"/>
    </row>
    <row r="8226" spans="8:9">
      <c r="H8226" s="1245"/>
      <c r="I8226" s="1245"/>
    </row>
    <row r="8227" spans="8:9">
      <c r="H8227" s="1245"/>
      <c r="I8227" s="1245"/>
    </row>
    <row r="8228" spans="8:9">
      <c r="H8228" s="1245"/>
      <c r="I8228" s="1245"/>
    </row>
    <row r="8229" spans="8:9">
      <c r="H8229" s="1245"/>
      <c r="I8229" s="1245"/>
    </row>
    <row r="8230" spans="8:9">
      <c r="H8230" s="1245"/>
      <c r="I8230" s="1245"/>
    </row>
    <row r="8231" spans="8:9">
      <c r="H8231" s="1245"/>
      <c r="I8231" s="1245"/>
    </row>
    <row r="8232" spans="8:9">
      <c r="H8232" s="1245"/>
      <c r="I8232" s="1245"/>
    </row>
    <row r="8233" spans="8:9">
      <c r="H8233" s="1245"/>
      <c r="I8233" s="1245"/>
    </row>
    <row r="8234" spans="8:9">
      <c r="H8234" s="1245"/>
      <c r="I8234" s="1245"/>
    </row>
    <row r="8235" spans="8:9">
      <c r="H8235" s="1245"/>
      <c r="I8235" s="1245"/>
    </row>
    <row r="8236" spans="8:9">
      <c r="H8236" s="1245"/>
      <c r="I8236" s="1245"/>
    </row>
    <row r="8237" spans="8:9">
      <c r="H8237" s="1245"/>
      <c r="I8237" s="1245"/>
    </row>
    <row r="8238" spans="8:9">
      <c r="H8238" s="1245"/>
      <c r="I8238" s="1245"/>
    </row>
    <row r="8239" spans="8:9">
      <c r="H8239" s="1245"/>
      <c r="I8239" s="1245"/>
    </row>
    <row r="8240" spans="8:9">
      <c r="H8240" s="1245"/>
      <c r="I8240" s="1245"/>
    </row>
    <row r="8241" spans="8:9">
      <c r="H8241" s="1245"/>
      <c r="I8241" s="1245"/>
    </row>
    <row r="8242" spans="8:9">
      <c r="H8242" s="1245"/>
      <c r="I8242" s="1245"/>
    </row>
    <row r="8243" spans="8:9">
      <c r="H8243" s="1245"/>
      <c r="I8243" s="1245"/>
    </row>
    <row r="8244" spans="8:9">
      <c r="H8244" s="1245"/>
      <c r="I8244" s="1245"/>
    </row>
    <row r="8245" spans="8:9">
      <c r="H8245" s="1245"/>
      <c r="I8245" s="1245"/>
    </row>
    <row r="8246" spans="8:9">
      <c r="H8246" s="1245"/>
      <c r="I8246" s="1245"/>
    </row>
    <row r="8247" spans="8:9">
      <c r="H8247" s="1245"/>
      <c r="I8247" s="1245"/>
    </row>
    <row r="8248" spans="8:9">
      <c r="H8248" s="1245"/>
      <c r="I8248" s="1245"/>
    </row>
    <row r="8249" spans="8:9">
      <c r="H8249" s="1245"/>
      <c r="I8249" s="1245"/>
    </row>
    <row r="8250" spans="8:9">
      <c r="H8250" s="1245"/>
      <c r="I8250" s="1245"/>
    </row>
    <row r="8251" spans="8:9">
      <c r="H8251" s="1245"/>
      <c r="I8251" s="1245"/>
    </row>
    <row r="8252" spans="8:9">
      <c r="H8252" s="1245"/>
      <c r="I8252" s="1245"/>
    </row>
    <row r="8253" spans="8:9">
      <c r="H8253" s="1245"/>
      <c r="I8253" s="1245"/>
    </row>
    <row r="8254" spans="8:9">
      <c r="H8254" s="1245"/>
      <c r="I8254" s="1245"/>
    </row>
    <row r="8255" spans="8:9">
      <c r="H8255" s="1245"/>
      <c r="I8255" s="1245"/>
    </row>
    <row r="8256" spans="8:9">
      <c r="H8256" s="1245"/>
      <c r="I8256" s="1245"/>
    </row>
    <row r="8257" spans="8:9">
      <c r="H8257" s="1245"/>
      <c r="I8257" s="1245"/>
    </row>
    <row r="8258" spans="8:9">
      <c r="H8258" s="1245"/>
      <c r="I8258" s="1245"/>
    </row>
    <row r="8259" spans="8:9">
      <c r="H8259" s="1245"/>
      <c r="I8259" s="1245"/>
    </row>
    <row r="8260" spans="8:9">
      <c r="H8260" s="1245"/>
      <c r="I8260" s="1245"/>
    </row>
    <row r="8261" spans="8:9">
      <c r="H8261" s="1245"/>
      <c r="I8261" s="1245"/>
    </row>
    <row r="8262" spans="8:9">
      <c r="H8262" s="1245"/>
      <c r="I8262" s="1245"/>
    </row>
    <row r="8263" spans="8:9">
      <c r="H8263" s="1245"/>
      <c r="I8263" s="1245"/>
    </row>
    <row r="8264" spans="8:9">
      <c r="H8264" s="1245"/>
      <c r="I8264" s="1245"/>
    </row>
    <row r="8265" spans="8:9">
      <c r="H8265" s="1245"/>
      <c r="I8265" s="1245"/>
    </row>
    <row r="8266" spans="8:9">
      <c r="H8266" s="1245"/>
      <c r="I8266" s="1245"/>
    </row>
    <row r="8267" spans="8:9">
      <c r="H8267" s="1245"/>
      <c r="I8267" s="1245"/>
    </row>
    <row r="8268" spans="8:9">
      <c r="H8268" s="1245"/>
      <c r="I8268" s="1245"/>
    </row>
    <row r="8269" spans="8:9">
      <c r="H8269" s="1245"/>
      <c r="I8269" s="1245"/>
    </row>
    <row r="8270" spans="8:9">
      <c r="H8270" s="1245"/>
      <c r="I8270" s="1245"/>
    </row>
    <row r="8271" spans="8:9">
      <c r="H8271" s="1245"/>
      <c r="I8271" s="1245"/>
    </row>
    <row r="8272" spans="8:9">
      <c r="H8272" s="1245"/>
      <c r="I8272" s="1245"/>
    </row>
    <row r="8273" spans="8:9">
      <c r="H8273" s="1245"/>
      <c r="I8273" s="1245"/>
    </row>
    <row r="8274" spans="8:9">
      <c r="H8274" s="1245"/>
      <c r="I8274" s="1245"/>
    </row>
    <row r="8275" spans="8:9">
      <c r="H8275" s="1245"/>
      <c r="I8275" s="1245"/>
    </row>
    <row r="8276" spans="8:9">
      <c r="H8276" s="1245"/>
      <c r="I8276" s="1245"/>
    </row>
    <row r="8277" spans="8:9">
      <c r="H8277" s="1245"/>
      <c r="I8277" s="1245"/>
    </row>
    <row r="8278" spans="8:9">
      <c r="H8278" s="1245"/>
      <c r="I8278" s="1245"/>
    </row>
    <row r="8279" spans="8:9">
      <c r="H8279" s="1245"/>
      <c r="I8279" s="1245"/>
    </row>
    <row r="8280" spans="8:9">
      <c r="H8280" s="1245"/>
      <c r="I8280" s="1245"/>
    </row>
    <row r="8281" spans="8:9">
      <c r="H8281" s="1245"/>
      <c r="I8281" s="1245"/>
    </row>
    <row r="8282" spans="8:9">
      <c r="H8282" s="1245"/>
      <c r="I8282" s="1245"/>
    </row>
    <row r="8283" spans="8:9">
      <c r="H8283" s="1245"/>
      <c r="I8283" s="1245"/>
    </row>
    <row r="8284" spans="8:9">
      <c r="H8284" s="1245"/>
      <c r="I8284" s="1245"/>
    </row>
    <row r="8285" spans="8:9">
      <c r="H8285" s="1245"/>
      <c r="I8285" s="1245"/>
    </row>
    <row r="8286" spans="8:9">
      <c r="H8286" s="1245"/>
      <c r="I8286" s="1245"/>
    </row>
    <row r="8287" spans="8:9">
      <c r="H8287" s="1245"/>
      <c r="I8287" s="1245"/>
    </row>
    <row r="8288" spans="8:9">
      <c r="H8288" s="1245"/>
      <c r="I8288" s="1245"/>
    </row>
    <row r="8289" spans="8:9">
      <c r="H8289" s="1245"/>
      <c r="I8289" s="1245"/>
    </row>
    <row r="8290" spans="8:9">
      <c r="H8290" s="1245"/>
      <c r="I8290" s="1245"/>
    </row>
    <row r="8291" spans="8:9">
      <c r="H8291" s="1245"/>
      <c r="I8291" s="1245"/>
    </row>
    <row r="8292" spans="8:9">
      <c r="H8292" s="1245"/>
      <c r="I8292" s="1245"/>
    </row>
    <row r="8293" spans="8:9">
      <c r="H8293" s="1245"/>
      <c r="I8293" s="1245"/>
    </row>
    <row r="8294" spans="8:9">
      <c r="H8294" s="1245"/>
      <c r="I8294" s="1245"/>
    </row>
    <row r="8295" spans="8:9">
      <c r="H8295" s="1245"/>
      <c r="I8295" s="1245"/>
    </row>
    <row r="8296" spans="8:9">
      <c r="H8296" s="1245"/>
      <c r="I8296" s="1245"/>
    </row>
    <row r="8297" spans="8:9">
      <c r="H8297" s="1245"/>
      <c r="I8297" s="1245"/>
    </row>
    <row r="8298" spans="8:9">
      <c r="H8298" s="1245"/>
      <c r="I8298" s="1245"/>
    </row>
    <row r="8299" spans="8:9">
      <c r="H8299" s="1245"/>
      <c r="I8299" s="1245"/>
    </row>
    <row r="8300" spans="8:9">
      <c r="H8300" s="1245"/>
      <c r="I8300" s="1245"/>
    </row>
    <row r="8301" spans="8:9">
      <c r="H8301" s="1245"/>
      <c r="I8301" s="1245"/>
    </row>
    <row r="8302" spans="8:9">
      <c r="H8302" s="1245"/>
      <c r="I8302" s="1245"/>
    </row>
    <row r="8303" spans="8:9">
      <c r="H8303" s="1245"/>
      <c r="I8303" s="1245"/>
    </row>
    <row r="8304" spans="8:9">
      <c r="H8304" s="1245"/>
      <c r="I8304" s="1245"/>
    </row>
    <row r="8305" spans="8:9">
      <c r="H8305" s="1245"/>
      <c r="I8305" s="1245"/>
    </row>
    <row r="8306" spans="8:9">
      <c r="H8306" s="1245"/>
      <c r="I8306" s="1245"/>
    </row>
    <row r="8307" spans="8:9">
      <c r="H8307" s="1245"/>
      <c r="I8307" s="1245"/>
    </row>
    <row r="8308" spans="8:9">
      <c r="H8308" s="1245"/>
      <c r="I8308" s="1245"/>
    </row>
    <row r="8309" spans="8:9">
      <c r="H8309" s="1245"/>
      <c r="I8309" s="1245"/>
    </row>
    <row r="8310" spans="8:9">
      <c r="H8310" s="1245"/>
      <c r="I8310" s="1245"/>
    </row>
    <row r="8311" spans="8:9">
      <c r="H8311" s="1245"/>
      <c r="I8311" s="1245"/>
    </row>
    <row r="8312" spans="8:9">
      <c r="H8312" s="1245"/>
      <c r="I8312" s="1245"/>
    </row>
    <row r="8313" spans="8:9">
      <c r="H8313" s="1245"/>
      <c r="I8313" s="1245"/>
    </row>
    <row r="8314" spans="8:9">
      <c r="H8314" s="1245"/>
      <c r="I8314" s="1245"/>
    </row>
    <row r="8315" spans="8:9">
      <c r="H8315" s="1245"/>
      <c r="I8315" s="1245"/>
    </row>
    <row r="8316" spans="8:9">
      <c r="H8316" s="1245"/>
      <c r="I8316" s="1245"/>
    </row>
    <row r="8317" spans="8:9">
      <c r="H8317" s="1245"/>
      <c r="I8317" s="1245"/>
    </row>
    <row r="8318" spans="8:9">
      <c r="H8318" s="1245"/>
      <c r="I8318" s="1245"/>
    </row>
    <row r="8319" spans="8:9">
      <c r="H8319" s="1245"/>
      <c r="I8319" s="1245"/>
    </row>
    <row r="8320" spans="8:9">
      <c r="H8320" s="1245"/>
      <c r="I8320" s="1245"/>
    </row>
    <row r="8321" spans="8:9">
      <c r="H8321" s="1245"/>
      <c r="I8321" s="1245"/>
    </row>
    <row r="8322" spans="8:9">
      <c r="H8322" s="1245"/>
      <c r="I8322" s="1245"/>
    </row>
    <row r="8323" spans="8:9">
      <c r="H8323" s="1245"/>
      <c r="I8323" s="1245"/>
    </row>
    <row r="8324" spans="8:9">
      <c r="H8324" s="1245"/>
      <c r="I8324" s="1245"/>
    </row>
    <row r="8325" spans="8:9">
      <c r="H8325" s="1245"/>
      <c r="I8325" s="1245"/>
    </row>
    <row r="8326" spans="8:9">
      <c r="H8326" s="1245"/>
      <c r="I8326" s="1245"/>
    </row>
    <row r="8327" spans="8:9">
      <c r="H8327" s="1245"/>
      <c r="I8327" s="1245"/>
    </row>
    <row r="8328" spans="8:9">
      <c r="H8328" s="1245"/>
      <c r="I8328" s="1245"/>
    </row>
    <row r="8329" spans="8:9">
      <c r="H8329" s="1245"/>
      <c r="I8329" s="1245"/>
    </row>
    <row r="8330" spans="8:9">
      <c r="H8330" s="1245"/>
      <c r="I8330" s="1245"/>
    </row>
    <row r="8331" spans="8:9">
      <c r="H8331" s="1245"/>
      <c r="I8331" s="1245"/>
    </row>
    <row r="8332" spans="8:9">
      <c r="H8332" s="1245"/>
      <c r="I8332" s="1245"/>
    </row>
    <row r="8333" spans="8:9">
      <c r="H8333" s="1245"/>
      <c r="I8333" s="1245"/>
    </row>
    <row r="8334" spans="8:9">
      <c r="H8334" s="1245"/>
      <c r="I8334" s="1245"/>
    </row>
    <row r="8335" spans="8:9">
      <c r="H8335" s="1245"/>
      <c r="I8335" s="1245"/>
    </row>
    <row r="8336" spans="8:9">
      <c r="H8336" s="1245"/>
      <c r="I8336" s="1245"/>
    </row>
    <row r="8337" spans="8:9">
      <c r="H8337" s="1245"/>
      <c r="I8337" s="1245"/>
    </row>
    <row r="8338" spans="8:9">
      <c r="H8338" s="1245"/>
      <c r="I8338" s="1245"/>
    </row>
    <row r="8339" spans="8:9">
      <c r="H8339" s="1245"/>
      <c r="I8339" s="1245"/>
    </row>
    <row r="8340" spans="8:9">
      <c r="H8340" s="1245"/>
      <c r="I8340" s="1245"/>
    </row>
    <row r="8341" spans="8:9">
      <c r="H8341" s="1245"/>
      <c r="I8341" s="1245"/>
    </row>
    <row r="8342" spans="8:9">
      <c r="H8342" s="1245"/>
      <c r="I8342" s="1245"/>
    </row>
    <row r="8343" spans="8:9">
      <c r="H8343" s="1245"/>
      <c r="I8343" s="1245"/>
    </row>
    <row r="8344" spans="8:9">
      <c r="H8344" s="1245"/>
      <c r="I8344" s="1245"/>
    </row>
    <row r="8345" spans="8:9">
      <c r="H8345" s="1245"/>
      <c r="I8345" s="1245"/>
    </row>
    <row r="8346" spans="8:9">
      <c r="H8346" s="1245"/>
      <c r="I8346" s="1245"/>
    </row>
    <row r="8347" spans="8:9">
      <c r="H8347" s="1245"/>
      <c r="I8347" s="1245"/>
    </row>
    <row r="8348" spans="8:9">
      <c r="H8348" s="1245"/>
      <c r="I8348" s="1245"/>
    </row>
    <row r="8349" spans="8:9">
      <c r="H8349" s="1245"/>
      <c r="I8349" s="1245"/>
    </row>
    <row r="8350" spans="8:9">
      <c r="H8350" s="1245"/>
      <c r="I8350" s="1245"/>
    </row>
    <row r="8351" spans="8:9">
      <c r="H8351" s="1245"/>
      <c r="I8351" s="1245"/>
    </row>
    <row r="8352" spans="8:9">
      <c r="H8352" s="1245"/>
      <c r="I8352" s="1245"/>
    </row>
    <row r="8353" spans="8:9">
      <c r="H8353" s="1245"/>
      <c r="I8353" s="1245"/>
    </row>
    <row r="8354" spans="8:9">
      <c r="H8354" s="1245"/>
      <c r="I8354" s="1245"/>
    </row>
    <row r="8355" spans="8:9">
      <c r="H8355" s="1245"/>
      <c r="I8355" s="1245"/>
    </row>
    <row r="8356" spans="8:9">
      <c r="H8356" s="1245"/>
      <c r="I8356" s="1245"/>
    </row>
    <row r="8357" spans="8:9">
      <c r="H8357" s="1245"/>
      <c r="I8357" s="1245"/>
    </row>
    <row r="8358" spans="8:9">
      <c r="H8358" s="1245"/>
      <c r="I8358" s="1245"/>
    </row>
    <row r="8359" spans="8:9">
      <c r="H8359" s="1245"/>
      <c r="I8359" s="1245"/>
    </row>
    <row r="8360" spans="8:9">
      <c r="H8360" s="1245"/>
      <c r="I8360" s="1245"/>
    </row>
    <row r="8361" spans="8:9">
      <c r="H8361" s="1245"/>
      <c r="I8361" s="1245"/>
    </row>
    <row r="8362" spans="8:9">
      <c r="H8362" s="1245"/>
      <c r="I8362" s="1245"/>
    </row>
    <row r="8363" spans="8:9">
      <c r="H8363" s="1245"/>
      <c r="I8363" s="1245"/>
    </row>
    <row r="8364" spans="8:9">
      <c r="H8364" s="1245"/>
      <c r="I8364" s="1245"/>
    </row>
    <row r="8365" spans="8:9">
      <c r="H8365" s="1245"/>
      <c r="I8365" s="1245"/>
    </row>
    <row r="8366" spans="8:9">
      <c r="H8366" s="1245"/>
      <c r="I8366" s="1245"/>
    </row>
    <row r="8367" spans="8:9">
      <c r="H8367" s="1245"/>
      <c r="I8367" s="1245"/>
    </row>
    <row r="8368" spans="8:9">
      <c r="H8368" s="1245"/>
      <c r="I8368" s="1245"/>
    </row>
    <row r="8369" spans="8:9">
      <c r="H8369" s="1245"/>
      <c r="I8369" s="1245"/>
    </row>
    <row r="8370" spans="8:9">
      <c r="H8370" s="1245"/>
      <c r="I8370" s="1245"/>
    </row>
    <row r="8371" spans="8:9">
      <c r="H8371" s="1245"/>
      <c r="I8371" s="1245"/>
    </row>
    <row r="8372" spans="8:9">
      <c r="H8372" s="1245"/>
      <c r="I8372" s="1245"/>
    </row>
    <row r="8373" spans="8:9">
      <c r="H8373" s="1245"/>
      <c r="I8373" s="1245"/>
    </row>
    <row r="8374" spans="8:9">
      <c r="H8374" s="1245"/>
      <c r="I8374" s="1245"/>
    </row>
    <row r="8375" spans="8:9">
      <c r="H8375" s="1245"/>
      <c r="I8375" s="1245"/>
    </row>
    <row r="8376" spans="8:9">
      <c r="H8376" s="1245"/>
      <c r="I8376" s="1245"/>
    </row>
    <row r="8377" spans="8:9">
      <c r="H8377" s="1245"/>
      <c r="I8377" s="1245"/>
    </row>
    <row r="8378" spans="8:9">
      <c r="H8378" s="1245"/>
      <c r="I8378" s="1245"/>
    </row>
    <row r="8379" spans="8:9">
      <c r="H8379" s="1245"/>
      <c r="I8379" s="1245"/>
    </row>
    <row r="8380" spans="8:9">
      <c r="H8380" s="1245"/>
      <c r="I8380" s="1245"/>
    </row>
    <row r="8381" spans="8:9">
      <c r="H8381" s="1245"/>
      <c r="I8381" s="1245"/>
    </row>
    <row r="8382" spans="8:9">
      <c r="H8382" s="1245"/>
      <c r="I8382" s="1245"/>
    </row>
    <row r="8383" spans="8:9">
      <c r="H8383" s="1245"/>
      <c r="I8383" s="1245"/>
    </row>
    <row r="8384" spans="8:9">
      <c r="H8384" s="1245"/>
      <c r="I8384" s="1245"/>
    </row>
    <row r="8385" spans="8:9">
      <c r="H8385" s="1245"/>
      <c r="I8385" s="1245"/>
    </row>
    <row r="8386" spans="8:9">
      <c r="H8386" s="1245"/>
      <c r="I8386" s="1245"/>
    </row>
    <row r="8387" spans="8:9">
      <c r="H8387" s="1245"/>
      <c r="I8387" s="1245"/>
    </row>
    <row r="8388" spans="8:9">
      <c r="H8388" s="1245"/>
      <c r="I8388" s="1245"/>
    </row>
    <row r="8389" spans="8:9">
      <c r="H8389" s="1245"/>
      <c r="I8389" s="1245"/>
    </row>
    <row r="8390" spans="8:9">
      <c r="H8390" s="1245"/>
      <c r="I8390" s="1245"/>
    </row>
    <row r="8391" spans="8:9">
      <c r="H8391" s="1245"/>
      <c r="I8391" s="1245"/>
    </row>
    <row r="8392" spans="8:9">
      <c r="H8392" s="1245"/>
      <c r="I8392" s="1245"/>
    </row>
    <row r="8393" spans="8:9">
      <c r="H8393" s="1245"/>
      <c r="I8393" s="1245"/>
    </row>
    <row r="8394" spans="8:9">
      <c r="H8394" s="1245"/>
      <c r="I8394" s="1245"/>
    </row>
    <row r="8395" spans="8:9">
      <c r="H8395" s="1245"/>
      <c r="I8395" s="1245"/>
    </row>
    <row r="8396" spans="8:9">
      <c r="H8396" s="1245"/>
      <c r="I8396" s="1245"/>
    </row>
    <row r="8397" spans="8:9">
      <c r="H8397" s="1245"/>
      <c r="I8397" s="1245"/>
    </row>
    <row r="8398" spans="8:9">
      <c r="H8398" s="1245"/>
      <c r="I8398" s="1245"/>
    </row>
    <row r="8399" spans="8:9">
      <c r="H8399" s="1245"/>
      <c r="I8399" s="1245"/>
    </row>
    <row r="8400" spans="8:9">
      <c r="H8400" s="1245"/>
      <c r="I8400" s="1245"/>
    </row>
    <row r="8401" spans="8:9">
      <c r="H8401" s="1245"/>
      <c r="I8401" s="1245"/>
    </row>
    <row r="8402" spans="8:9">
      <c r="H8402" s="1245"/>
      <c r="I8402" s="1245"/>
    </row>
    <row r="8403" spans="8:9">
      <c r="H8403" s="1245"/>
      <c r="I8403" s="1245"/>
    </row>
    <row r="8404" spans="8:9">
      <c r="H8404" s="1245"/>
      <c r="I8404" s="1245"/>
    </row>
    <row r="8405" spans="8:9">
      <c r="H8405" s="1245"/>
      <c r="I8405" s="1245"/>
    </row>
    <row r="8406" spans="8:9">
      <c r="H8406" s="1245"/>
      <c r="I8406" s="1245"/>
    </row>
    <row r="8407" spans="8:9">
      <c r="H8407" s="1245"/>
      <c r="I8407" s="1245"/>
    </row>
    <row r="8408" spans="8:9">
      <c r="H8408" s="1245"/>
      <c r="I8408" s="1245"/>
    </row>
    <row r="8409" spans="8:9">
      <c r="H8409" s="1245"/>
      <c r="I8409" s="1245"/>
    </row>
    <row r="8410" spans="8:9">
      <c r="H8410" s="1245"/>
      <c r="I8410" s="1245"/>
    </row>
    <row r="8411" spans="8:9">
      <c r="H8411" s="1245"/>
      <c r="I8411" s="1245"/>
    </row>
    <row r="8412" spans="8:9">
      <c r="H8412" s="1245"/>
      <c r="I8412" s="1245"/>
    </row>
    <row r="8413" spans="8:9">
      <c r="H8413" s="1245"/>
      <c r="I8413" s="1245"/>
    </row>
    <row r="8414" spans="8:9">
      <c r="H8414" s="1245"/>
      <c r="I8414" s="1245"/>
    </row>
    <row r="8415" spans="8:9">
      <c r="H8415" s="1245"/>
      <c r="I8415" s="1245"/>
    </row>
    <row r="8416" spans="8:9">
      <c r="H8416" s="1245"/>
      <c r="I8416" s="1245"/>
    </row>
    <row r="8417" spans="8:9">
      <c r="H8417" s="1245"/>
      <c r="I8417" s="1245"/>
    </row>
    <row r="8418" spans="8:9">
      <c r="H8418" s="1245"/>
      <c r="I8418" s="1245"/>
    </row>
    <row r="8419" spans="8:9">
      <c r="H8419" s="1245"/>
      <c r="I8419" s="1245"/>
    </row>
    <row r="8420" spans="8:9">
      <c r="H8420" s="1245"/>
      <c r="I8420" s="1245"/>
    </row>
    <row r="8421" spans="8:9">
      <c r="H8421" s="1245"/>
      <c r="I8421" s="1245"/>
    </row>
    <row r="8422" spans="8:9">
      <c r="H8422" s="1245"/>
      <c r="I8422" s="1245"/>
    </row>
    <row r="8423" spans="8:9">
      <c r="H8423" s="1245"/>
      <c r="I8423" s="1245"/>
    </row>
    <row r="8424" spans="8:9">
      <c r="H8424" s="1245"/>
      <c r="I8424" s="1245"/>
    </row>
    <row r="8425" spans="8:9">
      <c r="H8425" s="1245"/>
      <c r="I8425" s="1245"/>
    </row>
    <row r="8426" spans="8:9">
      <c r="H8426" s="1245"/>
      <c r="I8426" s="1245"/>
    </row>
    <row r="8427" spans="8:9">
      <c r="H8427" s="1245"/>
      <c r="I8427" s="1245"/>
    </row>
    <row r="8428" spans="8:9">
      <c r="H8428" s="1245"/>
      <c r="I8428" s="1245"/>
    </row>
    <row r="8429" spans="8:9">
      <c r="H8429" s="1245"/>
      <c r="I8429" s="1245"/>
    </row>
    <row r="8430" spans="8:9">
      <c r="H8430" s="1245"/>
      <c r="I8430" s="1245"/>
    </row>
    <row r="8431" spans="8:9">
      <c r="H8431" s="1245"/>
      <c r="I8431" s="1245"/>
    </row>
    <row r="8432" spans="8:9">
      <c r="H8432" s="1245"/>
      <c r="I8432" s="1245"/>
    </row>
    <row r="8433" spans="8:9">
      <c r="H8433" s="1245"/>
      <c r="I8433" s="1245"/>
    </row>
    <row r="8434" spans="8:9">
      <c r="H8434" s="1245"/>
      <c r="I8434" s="1245"/>
    </row>
    <row r="8435" spans="8:9">
      <c r="H8435" s="1245"/>
      <c r="I8435" s="1245"/>
    </row>
    <row r="8436" spans="8:9">
      <c r="H8436" s="1245"/>
      <c r="I8436" s="1245"/>
    </row>
    <row r="8437" spans="8:9">
      <c r="H8437" s="1245"/>
      <c r="I8437" s="1245"/>
    </row>
    <row r="8438" spans="8:9">
      <c r="H8438" s="1245"/>
      <c r="I8438" s="1245"/>
    </row>
    <row r="8439" spans="8:9">
      <c r="H8439" s="1245"/>
      <c r="I8439" s="1245"/>
    </row>
    <row r="8440" spans="8:9">
      <c r="H8440" s="1245"/>
      <c r="I8440" s="1245"/>
    </row>
    <row r="8441" spans="8:9">
      <c r="H8441" s="1245"/>
      <c r="I8441" s="1245"/>
    </row>
    <row r="8442" spans="8:9">
      <c r="H8442" s="1245"/>
      <c r="I8442" s="1245"/>
    </row>
    <row r="8443" spans="8:9">
      <c r="H8443" s="1245"/>
      <c r="I8443" s="1245"/>
    </row>
    <row r="8444" spans="8:9">
      <c r="H8444" s="1245"/>
      <c r="I8444" s="1245"/>
    </row>
    <row r="8445" spans="8:9">
      <c r="H8445" s="1245"/>
      <c r="I8445" s="1245"/>
    </row>
    <row r="8446" spans="8:9">
      <c r="H8446" s="1245"/>
      <c r="I8446" s="1245"/>
    </row>
    <row r="8447" spans="8:9">
      <c r="H8447" s="1245"/>
      <c r="I8447" s="1245"/>
    </row>
    <row r="8448" spans="8:9">
      <c r="H8448" s="1245"/>
      <c r="I8448" s="1245"/>
    </row>
    <row r="8449" spans="8:9">
      <c r="H8449" s="1245"/>
      <c r="I8449" s="1245"/>
    </row>
    <row r="8450" spans="8:9">
      <c r="H8450" s="1245"/>
      <c r="I8450" s="1245"/>
    </row>
    <row r="8451" spans="8:9">
      <c r="H8451" s="1245"/>
      <c r="I8451" s="1245"/>
    </row>
    <row r="8452" spans="8:9">
      <c r="H8452" s="1245"/>
      <c r="I8452" s="1245"/>
    </row>
    <row r="8453" spans="8:9">
      <c r="H8453" s="1245"/>
      <c r="I8453" s="1245"/>
    </row>
    <row r="8454" spans="8:9">
      <c r="H8454" s="1245"/>
      <c r="I8454" s="1245"/>
    </row>
    <row r="8455" spans="8:9">
      <c r="H8455" s="1245"/>
      <c r="I8455" s="1245"/>
    </row>
    <row r="8456" spans="8:9">
      <c r="H8456" s="1245"/>
      <c r="I8456" s="1245"/>
    </row>
    <row r="8457" spans="8:9">
      <c r="H8457" s="1245"/>
      <c r="I8457" s="1245"/>
    </row>
    <row r="8458" spans="8:9">
      <c r="H8458" s="1245"/>
      <c r="I8458" s="1245"/>
    </row>
    <row r="8459" spans="8:9">
      <c r="H8459" s="1245"/>
      <c r="I8459" s="1245"/>
    </row>
    <row r="8460" spans="8:9">
      <c r="H8460" s="1245"/>
      <c r="I8460" s="1245"/>
    </row>
    <row r="8461" spans="8:9">
      <c r="H8461" s="1245"/>
      <c r="I8461" s="1245"/>
    </row>
    <row r="8462" spans="8:9">
      <c r="H8462" s="1245"/>
      <c r="I8462" s="1245"/>
    </row>
    <row r="8463" spans="8:9">
      <c r="H8463" s="1245"/>
      <c r="I8463" s="1245"/>
    </row>
    <row r="8464" spans="8:9">
      <c r="H8464" s="1245"/>
      <c r="I8464" s="1245"/>
    </row>
    <row r="8465" spans="8:9">
      <c r="H8465" s="1245"/>
      <c r="I8465" s="1245"/>
    </row>
    <row r="8466" spans="8:9">
      <c r="H8466" s="1245"/>
      <c r="I8466" s="1245"/>
    </row>
    <row r="8467" spans="8:9">
      <c r="H8467" s="1245"/>
      <c r="I8467" s="1245"/>
    </row>
    <row r="8468" spans="8:9">
      <c r="H8468" s="1245"/>
      <c r="I8468" s="1245"/>
    </row>
    <row r="8469" spans="8:9">
      <c r="H8469" s="1245"/>
      <c r="I8469" s="1245"/>
    </row>
    <row r="8470" spans="8:9">
      <c r="H8470" s="1245"/>
      <c r="I8470" s="1245"/>
    </row>
    <row r="8471" spans="8:9">
      <c r="H8471" s="1245"/>
      <c r="I8471" s="1245"/>
    </row>
    <row r="8472" spans="8:9">
      <c r="H8472" s="1245"/>
      <c r="I8472" s="1245"/>
    </row>
    <row r="8473" spans="8:9">
      <c r="H8473" s="1245"/>
      <c r="I8473" s="1245"/>
    </row>
    <row r="8474" spans="8:9">
      <c r="H8474" s="1245"/>
      <c r="I8474" s="1245"/>
    </row>
    <row r="8475" spans="8:9">
      <c r="H8475" s="1245"/>
      <c r="I8475" s="1245"/>
    </row>
    <row r="8476" spans="8:9">
      <c r="H8476" s="1245"/>
      <c r="I8476" s="1245"/>
    </row>
    <row r="8477" spans="8:9">
      <c r="H8477" s="1245"/>
      <c r="I8477" s="1245"/>
    </row>
    <row r="8478" spans="8:9">
      <c r="H8478" s="1245"/>
      <c r="I8478" s="1245"/>
    </row>
    <row r="8479" spans="8:9">
      <c r="H8479" s="1245"/>
      <c r="I8479" s="1245"/>
    </row>
    <row r="8480" spans="8:9">
      <c r="H8480" s="1245"/>
      <c r="I8480" s="1245"/>
    </row>
    <row r="8481" spans="8:9">
      <c r="H8481" s="1245"/>
      <c r="I8481" s="1245"/>
    </row>
    <row r="8482" spans="8:9">
      <c r="H8482" s="1245"/>
      <c r="I8482" s="1245"/>
    </row>
    <row r="8483" spans="8:9">
      <c r="H8483" s="1245"/>
      <c r="I8483" s="1245"/>
    </row>
    <row r="8484" spans="8:9">
      <c r="H8484" s="1245"/>
      <c r="I8484" s="1245"/>
    </row>
    <row r="8485" spans="8:9">
      <c r="H8485" s="1245"/>
      <c r="I8485" s="1245"/>
    </row>
    <row r="8486" spans="8:9">
      <c r="H8486" s="1245"/>
      <c r="I8486" s="1245"/>
    </row>
    <row r="8487" spans="8:9">
      <c r="H8487" s="1245"/>
      <c r="I8487" s="1245"/>
    </row>
    <row r="8488" spans="8:9">
      <c r="H8488" s="1245"/>
      <c r="I8488" s="1245"/>
    </row>
    <row r="8489" spans="8:9">
      <c r="H8489" s="1245"/>
      <c r="I8489" s="1245"/>
    </row>
    <row r="8490" spans="8:9">
      <c r="H8490" s="1245"/>
      <c r="I8490" s="1245"/>
    </row>
    <row r="8491" spans="8:9">
      <c r="H8491" s="1245"/>
      <c r="I8491" s="1245"/>
    </row>
    <row r="8492" spans="8:9">
      <c r="H8492" s="1245"/>
      <c r="I8492" s="1245"/>
    </row>
    <row r="8493" spans="8:9">
      <c r="H8493" s="1245"/>
      <c r="I8493" s="1245"/>
    </row>
    <row r="8494" spans="8:9">
      <c r="H8494" s="1245"/>
      <c r="I8494" s="1245"/>
    </row>
    <row r="8495" spans="8:9">
      <c r="H8495" s="1245"/>
      <c r="I8495" s="1245"/>
    </row>
    <row r="8496" spans="8:9">
      <c r="H8496" s="1245"/>
      <c r="I8496" s="1245"/>
    </row>
    <row r="8497" spans="8:9">
      <c r="H8497" s="1245"/>
      <c r="I8497" s="1245"/>
    </row>
    <row r="8498" spans="8:9">
      <c r="H8498" s="1245"/>
      <c r="I8498" s="1245"/>
    </row>
    <row r="8499" spans="8:9">
      <c r="H8499" s="1245"/>
      <c r="I8499" s="1245"/>
    </row>
    <row r="8500" spans="8:9">
      <c r="H8500" s="1245"/>
      <c r="I8500" s="1245"/>
    </row>
    <row r="8501" spans="8:9">
      <c r="H8501" s="1245"/>
      <c r="I8501" s="1245"/>
    </row>
    <row r="8502" spans="8:9">
      <c r="H8502" s="1245"/>
      <c r="I8502" s="1245"/>
    </row>
    <row r="8503" spans="8:9">
      <c r="H8503" s="1245"/>
      <c r="I8503" s="1245"/>
    </row>
    <row r="8504" spans="8:9">
      <c r="H8504" s="1245"/>
      <c r="I8504" s="1245"/>
    </row>
    <row r="8505" spans="8:9">
      <c r="H8505" s="1245"/>
      <c r="I8505" s="1245"/>
    </row>
    <row r="8506" spans="8:9">
      <c r="H8506" s="1245"/>
      <c r="I8506" s="1245"/>
    </row>
    <row r="8507" spans="8:9">
      <c r="H8507" s="1245"/>
      <c r="I8507" s="1245"/>
    </row>
    <row r="8508" spans="8:9">
      <c r="H8508" s="1245"/>
      <c r="I8508" s="1245"/>
    </row>
    <row r="8509" spans="8:9">
      <c r="H8509" s="1245"/>
      <c r="I8509" s="1245"/>
    </row>
    <row r="8510" spans="8:9">
      <c r="H8510" s="1245"/>
      <c r="I8510" s="1245"/>
    </row>
    <row r="8511" spans="8:9">
      <c r="H8511" s="1245"/>
      <c r="I8511" s="1245"/>
    </row>
    <row r="8512" spans="8:9">
      <c r="H8512" s="1245"/>
      <c r="I8512" s="1245"/>
    </row>
    <row r="8513" spans="8:9">
      <c r="H8513" s="1245"/>
      <c r="I8513" s="1245"/>
    </row>
    <row r="8514" spans="8:9">
      <c r="H8514" s="1245"/>
      <c r="I8514" s="1245"/>
    </row>
    <row r="8515" spans="8:9">
      <c r="H8515" s="1245"/>
      <c r="I8515" s="1245"/>
    </row>
    <row r="8516" spans="8:9">
      <c r="H8516" s="1245"/>
      <c r="I8516" s="1245"/>
    </row>
    <row r="8517" spans="8:9">
      <c r="H8517" s="1245"/>
      <c r="I8517" s="1245"/>
    </row>
    <row r="8518" spans="8:9">
      <c r="H8518" s="1245"/>
      <c r="I8518" s="1245"/>
    </row>
    <row r="8519" spans="8:9">
      <c r="H8519" s="1245"/>
      <c r="I8519" s="1245"/>
    </row>
    <row r="8520" spans="8:9">
      <c r="H8520" s="1245"/>
      <c r="I8520" s="1245"/>
    </row>
    <row r="8521" spans="8:9">
      <c r="H8521" s="1245"/>
      <c r="I8521" s="1245"/>
    </row>
    <row r="8522" spans="8:9">
      <c r="H8522" s="1245"/>
      <c r="I8522" s="1245"/>
    </row>
    <row r="8523" spans="8:9">
      <c r="H8523" s="1245"/>
      <c r="I8523" s="1245"/>
    </row>
    <row r="8524" spans="8:9">
      <c r="H8524" s="1245"/>
      <c r="I8524" s="1245"/>
    </row>
    <row r="8525" spans="8:9">
      <c r="H8525" s="1245"/>
      <c r="I8525" s="1245"/>
    </row>
    <row r="8526" spans="8:9">
      <c r="H8526" s="1245"/>
      <c r="I8526" s="1245"/>
    </row>
    <row r="8527" spans="8:9">
      <c r="H8527" s="1245"/>
      <c r="I8527" s="1245"/>
    </row>
    <row r="8528" spans="8:9">
      <c r="H8528" s="1245"/>
      <c r="I8528" s="1245"/>
    </row>
    <row r="8529" spans="8:9">
      <c r="H8529" s="1245"/>
      <c r="I8529" s="1245"/>
    </row>
    <row r="8530" spans="8:9">
      <c r="H8530" s="1245"/>
      <c r="I8530" s="1245"/>
    </row>
    <row r="8531" spans="8:9">
      <c r="H8531" s="1245"/>
      <c r="I8531" s="1245"/>
    </row>
    <row r="8532" spans="8:9">
      <c r="H8532" s="1245"/>
      <c r="I8532" s="1245"/>
    </row>
    <row r="8533" spans="8:9">
      <c r="H8533" s="1245"/>
      <c r="I8533" s="1245"/>
    </row>
    <row r="8534" spans="8:9">
      <c r="H8534" s="1245"/>
      <c r="I8534" s="1245"/>
    </row>
    <row r="8535" spans="8:9">
      <c r="H8535" s="1245"/>
      <c r="I8535" s="1245"/>
    </row>
    <row r="8536" spans="8:9">
      <c r="H8536" s="1245"/>
      <c r="I8536" s="1245"/>
    </row>
    <row r="8537" spans="8:9">
      <c r="H8537" s="1245"/>
      <c r="I8537" s="1245"/>
    </row>
    <row r="8538" spans="8:9">
      <c r="H8538" s="1245"/>
      <c r="I8538" s="1245"/>
    </row>
    <row r="8539" spans="8:9">
      <c r="H8539" s="1245"/>
      <c r="I8539" s="1245"/>
    </row>
    <row r="8540" spans="8:9">
      <c r="H8540" s="1245"/>
      <c r="I8540" s="1245"/>
    </row>
    <row r="8541" spans="8:9">
      <c r="H8541" s="1245"/>
      <c r="I8541" s="1245"/>
    </row>
    <row r="8542" spans="8:9">
      <c r="H8542" s="1245"/>
      <c r="I8542" s="1245"/>
    </row>
    <row r="8543" spans="8:9">
      <c r="H8543" s="1245"/>
      <c r="I8543" s="1245"/>
    </row>
    <row r="8544" spans="8:9">
      <c r="H8544" s="1245"/>
      <c r="I8544" s="1245"/>
    </row>
    <row r="8545" spans="8:9">
      <c r="H8545" s="1245"/>
      <c r="I8545" s="1245"/>
    </row>
    <row r="8546" spans="8:9">
      <c r="H8546" s="1245"/>
      <c r="I8546" s="1245"/>
    </row>
    <row r="8547" spans="8:9">
      <c r="H8547" s="1245"/>
      <c r="I8547" s="1245"/>
    </row>
    <row r="8548" spans="8:9">
      <c r="H8548" s="1245"/>
      <c r="I8548" s="1245"/>
    </row>
    <row r="8549" spans="8:9">
      <c r="H8549" s="1245"/>
      <c r="I8549" s="1245"/>
    </row>
    <row r="8550" spans="8:9">
      <c r="H8550" s="1245"/>
      <c r="I8550" s="1245"/>
    </row>
    <row r="8551" spans="8:9">
      <c r="H8551" s="1245"/>
      <c r="I8551" s="1245"/>
    </row>
    <row r="8552" spans="8:9">
      <c r="H8552" s="1245"/>
      <c r="I8552" s="1245"/>
    </row>
    <row r="8553" spans="8:9">
      <c r="H8553" s="1245"/>
      <c r="I8553" s="1245"/>
    </row>
    <row r="8554" spans="8:9">
      <c r="H8554" s="1245"/>
      <c r="I8554" s="1245"/>
    </row>
    <row r="8555" spans="8:9">
      <c r="H8555" s="1245"/>
      <c r="I8555" s="1245"/>
    </row>
    <row r="8556" spans="8:9">
      <c r="H8556" s="1245"/>
      <c r="I8556" s="1245"/>
    </row>
    <row r="8557" spans="8:9">
      <c r="H8557" s="1245"/>
      <c r="I8557" s="1245"/>
    </row>
    <row r="8558" spans="8:9">
      <c r="H8558" s="1245"/>
      <c r="I8558" s="1245"/>
    </row>
    <row r="8559" spans="8:9">
      <c r="H8559" s="1245"/>
      <c r="I8559" s="1245"/>
    </row>
    <row r="8560" spans="8:9">
      <c r="H8560" s="1245"/>
      <c r="I8560" s="1245"/>
    </row>
    <row r="8561" spans="8:9">
      <c r="H8561" s="1245"/>
      <c r="I8561" s="1245"/>
    </row>
    <row r="8562" spans="8:9">
      <c r="H8562" s="1245"/>
      <c r="I8562" s="1245"/>
    </row>
    <row r="8563" spans="8:9">
      <c r="H8563" s="1245"/>
      <c r="I8563" s="1245"/>
    </row>
    <row r="8564" spans="8:9">
      <c r="H8564" s="1245"/>
      <c r="I8564" s="1245"/>
    </row>
    <row r="8565" spans="8:9">
      <c r="H8565" s="1245"/>
      <c r="I8565" s="1245"/>
    </row>
    <row r="8566" spans="8:9">
      <c r="H8566" s="1245"/>
      <c r="I8566" s="1245"/>
    </row>
    <row r="8567" spans="8:9">
      <c r="H8567" s="1245"/>
      <c r="I8567" s="1245"/>
    </row>
    <row r="8568" spans="8:9">
      <c r="H8568" s="1245"/>
      <c r="I8568" s="1245"/>
    </row>
    <row r="8569" spans="8:9">
      <c r="H8569" s="1245"/>
      <c r="I8569" s="1245"/>
    </row>
    <row r="8570" spans="8:9">
      <c r="H8570" s="1245"/>
      <c r="I8570" s="1245"/>
    </row>
    <row r="8571" spans="8:9">
      <c r="H8571" s="1245"/>
      <c r="I8571" s="1245"/>
    </row>
    <row r="8572" spans="8:9">
      <c r="H8572" s="1245"/>
      <c r="I8572" s="1245"/>
    </row>
    <row r="8573" spans="8:9">
      <c r="H8573" s="1245"/>
      <c r="I8573" s="1245"/>
    </row>
    <row r="8574" spans="8:9">
      <c r="H8574" s="1245"/>
      <c r="I8574" s="1245"/>
    </row>
    <row r="8575" spans="8:9">
      <c r="H8575" s="1245"/>
      <c r="I8575" s="1245"/>
    </row>
    <row r="8576" spans="8:9">
      <c r="H8576" s="1245"/>
      <c r="I8576" s="1245"/>
    </row>
    <row r="8577" spans="8:9">
      <c r="H8577" s="1245"/>
      <c r="I8577" s="1245"/>
    </row>
    <row r="8578" spans="8:9">
      <c r="H8578" s="1245"/>
      <c r="I8578" s="1245"/>
    </row>
    <row r="8579" spans="8:9">
      <c r="H8579" s="1245"/>
      <c r="I8579" s="1245"/>
    </row>
    <row r="8580" spans="8:9">
      <c r="H8580" s="1245"/>
      <c r="I8580" s="1245"/>
    </row>
    <row r="8581" spans="8:9">
      <c r="H8581" s="1245"/>
      <c r="I8581" s="1245"/>
    </row>
    <row r="8582" spans="8:9">
      <c r="H8582" s="1245"/>
      <c r="I8582" s="1245"/>
    </row>
    <row r="8583" spans="8:9">
      <c r="H8583" s="1245"/>
      <c r="I8583" s="1245"/>
    </row>
    <row r="8584" spans="8:9">
      <c r="H8584" s="1245"/>
      <c r="I8584" s="1245"/>
    </row>
    <row r="8585" spans="8:9">
      <c r="H8585" s="1245"/>
      <c r="I8585" s="1245"/>
    </row>
    <row r="8586" spans="8:9">
      <c r="H8586" s="1245"/>
      <c r="I8586" s="1245"/>
    </row>
    <row r="8587" spans="8:9">
      <c r="H8587" s="1245"/>
      <c r="I8587" s="1245"/>
    </row>
    <row r="8588" spans="8:9">
      <c r="H8588" s="1245"/>
      <c r="I8588" s="1245"/>
    </row>
    <row r="8589" spans="8:9">
      <c r="H8589" s="1245"/>
      <c r="I8589" s="1245"/>
    </row>
    <row r="8590" spans="8:9">
      <c r="H8590" s="1245"/>
      <c r="I8590" s="1245"/>
    </row>
    <row r="8591" spans="8:9">
      <c r="H8591" s="1245"/>
      <c r="I8591" s="1245"/>
    </row>
    <row r="8592" spans="8:9">
      <c r="H8592" s="1245"/>
      <c r="I8592" s="1245"/>
    </row>
    <row r="8593" spans="8:9">
      <c r="H8593" s="1245"/>
      <c r="I8593" s="1245"/>
    </row>
    <row r="8594" spans="8:9">
      <c r="H8594" s="1245"/>
      <c r="I8594" s="1245"/>
    </row>
    <row r="8595" spans="8:9">
      <c r="H8595" s="1245"/>
      <c r="I8595" s="1245"/>
    </row>
    <row r="8596" spans="8:9">
      <c r="H8596" s="1245"/>
      <c r="I8596" s="1245"/>
    </row>
    <row r="8597" spans="8:9">
      <c r="H8597" s="1245"/>
      <c r="I8597" s="1245"/>
    </row>
    <row r="8598" spans="8:9">
      <c r="H8598" s="1245"/>
      <c r="I8598" s="1245"/>
    </row>
    <row r="8599" spans="8:9">
      <c r="H8599" s="1245"/>
      <c r="I8599" s="1245"/>
    </row>
    <row r="8600" spans="8:9">
      <c r="H8600" s="1245"/>
      <c r="I8600" s="1245"/>
    </row>
    <row r="8601" spans="8:9">
      <c r="H8601" s="1245"/>
      <c r="I8601" s="1245"/>
    </row>
    <row r="8602" spans="8:9">
      <c r="H8602" s="1245"/>
      <c r="I8602" s="1245"/>
    </row>
    <row r="8603" spans="8:9">
      <c r="H8603" s="1245"/>
      <c r="I8603" s="1245"/>
    </row>
    <row r="8604" spans="8:9">
      <c r="H8604" s="1245"/>
      <c r="I8604" s="1245"/>
    </row>
    <row r="8605" spans="8:9">
      <c r="H8605" s="1245"/>
      <c r="I8605" s="1245"/>
    </row>
    <row r="8606" spans="8:9">
      <c r="H8606" s="1245"/>
      <c r="I8606" s="1245"/>
    </row>
    <row r="8607" spans="8:9">
      <c r="H8607" s="1245"/>
      <c r="I8607" s="1245"/>
    </row>
    <row r="8608" spans="8:9">
      <c r="H8608" s="1245"/>
      <c r="I8608" s="1245"/>
    </row>
    <row r="8609" spans="8:9">
      <c r="H8609" s="1245"/>
      <c r="I8609" s="1245"/>
    </row>
    <row r="8610" spans="8:9">
      <c r="H8610" s="1245"/>
      <c r="I8610" s="1245"/>
    </row>
    <row r="8611" spans="8:9">
      <c r="H8611" s="1245"/>
      <c r="I8611" s="1245"/>
    </row>
    <row r="8612" spans="8:9">
      <c r="H8612" s="1245"/>
      <c r="I8612" s="1245"/>
    </row>
    <row r="8613" spans="8:9">
      <c r="H8613" s="1245"/>
      <c r="I8613" s="1245"/>
    </row>
    <row r="8614" spans="8:9">
      <c r="H8614" s="1245"/>
      <c r="I8614" s="1245"/>
    </row>
    <row r="8615" spans="8:9">
      <c r="H8615" s="1245"/>
      <c r="I8615" s="1245"/>
    </row>
    <row r="8616" spans="8:9">
      <c r="H8616" s="1245"/>
      <c r="I8616" s="1245"/>
    </row>
    <row r="8617" spans="8:9">
      <c r="H8617" s="1245"/>
      <c r="I8617" s="1245"/>
    </row>
    <row r="8618" spans="8:9">
      <c r="H8618" s="1245"/>
      <c r="I8618" s="1245"/>
    </row>
    <row r="8619" spans="8:9">
      <c r="H8619" s="1245"/>
      <c r="I8619" s="1245"/>
    </row>
    <row r="8620" spans="8:9">
      <c r="H8620" s="1245"/>
      <c r="I8620" s="1245"/>
    </row>
    <row r="8621" spans="8:9">
      <c r="H8621" s="1245"/>
      <c r="I8621" s="1245"/>
    </row>
    <row r="8622" spans="8:9">
      <c r="H8622" s="1245"/>
      <c r="I8622" s="1245"/>
    </row>
    <row r="8623" spans="8:9">
      <c r="H8623" s="1245"/>
      <c r="I8623" s="1245"/>
    </row>
    <row r="8624" spans="8:9">
      <c r="H8624" s="1245"/>
      <c r="I8624" s="1245"/>
    </row>
    <row r="8625" spans="8:9">
      <c r="H8625" s="1245"/>
      <c r="I8625" s="1245"/>
    </row>
    <row r="8626" spans="8:9">
      <c r="H8626" s="1245"/>
      <c r="I8626" s="1245"/>
    </row>
    <row r="8627" spans="8:9">
      <c r="H8627" s="1245"/>
      <c r="I8627" s="1245"/>
    </row>
    <row r="8628" spans="8:9">
      <c r="H8628" s="1245"/>
      <c r="I8628" s="1245"/>
    </row>
    <row r="8629" spans="8:9">
      <c r="H8629" s="1245"/>
      <c r="I8629" s="1245"/>
    </row>
    <row r="8630" spans="8:9">
      <c r="H8630" s="1245"/>
      <c r="I8630" s="1245"/>
    </row>
    <row r="8631" spans="8:9">
      <c r="H8631" s="1245"/>
      <c r="I8631" s="1245"/>
    </row>
    <row r="8632" spans="8:9">
      <c r="H8632" s="1245"/>
      <c r="I8632" s="1245"/>
    </row>
    <row r="8633" spans="8:9">
      <c r="H8633" s="1245"/>
      <c r="I8633" s="1245"/>
    </row>
    <row r="8634" spans="8:9">
      <c r="H8634" s="1245"/>
      <c r="I8634" s="1245"/>
    </row>
    <row r="8635" spans="8:9">
      <c r="H8635" s="1245"/>
      <c r="I8635" s="1245"/>
    </row>
    <row r="8636" spans="8:9">
      <c r="H8636" s="1245"/>
      <c r="I8636" s="1245"/>
    </row>
    <row r="8637" spans="8:9">
      <c r="H8637" s="1245"/>
      <c r="I8637" s="1245"/>
    </row>
    <row r="8638" spans="8:9">
      <c r="H8638" s="1245"/>
      <c r="I8638" s="1245"/>
    </row>
    <row r="8639" spans="8:9">
      <c r="H8639" s="1245"/>
      <c r="I8639" s="1245"/>
    </row>
    <row r="8640" spans="8:9">
      <c r="H8640" s="1245"/>
      <c r="I8640" s="1245"/>
    </row>
    <row r="8641" spans="8:9">
      <c r="H8641" s="1245"/>
      <c r="I8641" s="1245"/>
    </row>
    <row r="8642" spans="8:9">
      <c r="H8642" s="1245"/>
      <c r="I8642" s="1245"/>
    </row>
    <row r="8643" spans="8:9">
      <c r="H8643" s="1245"/>
      <c r="I8643" s="1245"/>
    </row>
    <row r="8644" spans="8:9">
      <c r="H8644" s="1245"/>
      <c r="I8644" s="1245"/>
    </row>
    <row r="8645" spans="8:9">
      <c r="H8645" s="1245"/>
      <c r="I8645" s="1245"/>
    </row>
    <row r="8646" spans="8:9">
      <c r="H8646" s="1245"/>
      <c r="I8646" s="1245"/>
    </row>
    <row r="8647" spans="8:9">
      <c r="H8647" s="1245"/>
      <c r="I8647" s="1245"/>
    </row>
    <row r="8648" spans="8:9">
      <c r="H8648" s="1245"/>
      <c r="I8648" s="1245"/>
    </row>
    <row r="8649" spans="8:9">
      <c r="H8649" s="1245"/>
      <c r="I8649" s="1245"/>
    </row>
    <row r="8650" spans="8:9">
      <c r="H8650" s="1245"/>
      <c r="I8650" s="1245"/>
    </row>
    <row r="8651" spans="8:9">
      <c r="H8651" s="1245"/>
      <c r="I8651" s="1245"/>
    </row>
    <row r="8652" spans="8:9">
      <c r="H8652" s="1245"/>
      <c r="I8652" s="1245"/>
    </row>
    <row r="8653" spans="8:9">
      <c r="H8653" s="1245"/>
      <c r="I8653" s="1245"/>
    </row>
    <row r="8654" spans="8:9">
      <c r="H8654" s="1245"/>
      <c r="I8654" s="1245"/>
    </row>
    <row r="8655" spans="8:9">
      <c r="H8655" s="1245"/>
      <c r="I8655" s="1245"/>
    </row>
    <row r="8656" spans="8:9">
      <c r="H8656" s="1245"/>
      <c r="I8656" s="1245"/>
    </row>
    <row r="8657" spans="8:9">
      <c r="H8657" s="1245"/>
      <c r="I8657" s="1245"/>
    </row>
    <row r="8658" spans="8:9">
      <c r="H8658" s="1245"/>
      <c r="I8658" s="1245"/>
    </row>
    <row r="8659" spans="8:9">
      <c r="H8659" s="1245"/>
      <c r="I8659" s="1245"/>
    </row>
    <row r="8660" spans="8:9">
      <c r="H8660" s="1245"/>
      <c r="I8660" s="1245"/>
    </row>
    <row r="8661" spans="8:9">
      <c r="H8661" s="1245"/>
      <c r="I8661" s="1245"/>
    </row>
    <row r="8662" spans="8:9">
      <c r="H8662" s="1245"/>
      <c r="I8662" s="1245"/>
    </row>
    <row r="8663" spans="8:9">
      <c r="H8663" s="1245"/>
      <c r="I8663" s="1245"/>
    </row>
    <row r="8664" spans="8:9">
      <c r="H8664" s="1245"/>
      <c r="I8664" s="1245"/>
    </row>
    <row r="8665" spans="8:9">
      <c r="H8665" s="1245"/>
      <c r="I8665" s="1245"/>
    </row>
    <row r="8666" spans="8:9">
      <c r="H8666" s="1245"/>
      <c r="I8666" s="1245"/>
    </row>
    <row r="8667" spans="8:9">
      <c r="H8667" s="1245"/>
      <c r="I8667" s="1245"/>
    </row>
    <row r="8668" spans="8:9">
      <c r="H8668" s="1245"/>
      <c r="I8668" s="1245"/>
    </row>
    <row r="8669" spans="8:9">
      <c r="H8669" s="1245"/>
      <c r="I8669" s="1245"/>
    </row>
    <row r="8670" spans="8:9">
      <c r="H8670" s="1245"/>
      <c r="I8670" s="1245"/>
    </row>
    <row r="8671" spans="8:9">
      <c r="H8671" s="1245"/>
      <c r="I8671" s="1245"/>
    </row>
    <row r="8672" spans="8:9">
      <c r="H8672" s="1245"/>
      <c r="I8672" s="1245"/>
    </row>
    <row r="8673" spans="8:9">
      <c r="H8673" s="1245"/>
      <c r="I8673" s="1245"/>
    </row>
    <row r="8674" spans="8:9">
      <c r="H8674" s="1245"/>
      <c r="I8674" s="1245"/>
    </row>
    <row r="8675" spans="8:9">
      <c r="H8675" s="1245"/>
      <c r="I8675" s="1245"/>
    </row>
    <row r="8676" spans="8:9">
      <c r="H8676" s="1245"/>
      <c r="I8676" s="1245"/>
    </row>
    <row r="8677" spans="8:9">
      <c r="H8677" s="1245"/>
      <c r="I8677" s="1245"/>
    </row>
    <row r="8678" spans="8:9">
      <c r="H8678" s="1245"/>
      <c r="I8678" s="1245"/>
    </row>
    <row r="8679" spans="8:9">
      <c r="H8679" s="1245"/>
      <c r="I8679" s="1245"/>
    </row>
    <row r="8680" spans="8:9">
      <c r="H8680" s="1245"/>
      <c r="I8680" s="1245"/>
    </row>
    <row r="8681" spans="8:9">
      <c r="H8681" s="1245"/>
      <c r="I8681" s="1245"/>
    </row>
    <row r="8682" spans="8:9">
      <c r="H8682" s="1245"/>
      <c r="I8682" s="1245"/>
    </row>
    <row r="8683" spans="8:9">
      <c r="H8683" s="1245"/>
      <c r="I8683" s="1245"/>
    </row>
    <row r="8684" spans="8:9">
      <c r="H8684" s="1245"/>
      <c r="I8684" s="1245"/>
    </row>
    <row r="8685" spans="8:9">
      <c r="H8685" s="1245"/>
      <c r="I8685" s="1245"/>
    </row>
    <row r="8686" spans="8:9">
      <c r="H8686" s="1245"/>
      <c r="I8686" s="1245"/>
    </row>
    <row r="8687" spans="8:9">
      <c r="H8687" s="1245"/>
      <c r="I8687" s="1245"/>
    </row>
    <row r="8688" spans="8:9">
      <c r="H8688" s="1245"/>
      <c r="I8688" s="1245"/>
    </row>
    <row r="8689" spans="8:9">
      <c r="H8689" s="1245"/>
      <c r="I8689" s="1245"/>
    </row>
    <row r="8690" spans="8:9">
      <c r="H8690" s="1245"/>
      <c r="I8690" s="1245"/>
    </row>
    <row r="8691" spans="8:9">
      <c r="H8691" s="1245"/>
      <c r="I8691" s="1245"/>
    </row>
    <row r="8692" spans="8:9">
      <c r="H8692" s="1245"/>
      <c r="I8692" s="1245"/>
    </row>
    <row r="8693" spans="8:9">
      <c r="H8693" s="1245"/>
      <c r="I8693" s="1245"/>
    </row>
    <row r="8694" spans="8:9">
      <c r="H8694" s="1245"/>
      <c r="I8694" s="1245"/>
    </row>
    <row r="8695" spans="8:9">
      <c r="H8695" s="1245"/>
      <c r="I8695" s="1245"/>
    </row>
    <row r="8696" spans="8:9">
      <c r="H8696" s="1245"/>
      <c r="I8696" s="1245"/>
    </row>
    <row r="8697" spans="8:9">
      <c r="H8697" s="1245"/>
      <c r="I8697" s="1245"/>
    </row>
    <row r="8698" spans="8:9">
      <c r="H8698" s="1245"/>
      <c r="I8698" s="1245"/>
    </row>
    <row r="8699" spans="8:9">
      <c r="H8699" s="1245"/>
      <c r="I8699" s="1245"/>
    </row>
    <row r="8700" spans="8:9">
      <c r="H8700" s="1245"/>
      <c r="I8700" s="1245"/>
    </row>
    <row r="8701" spans="8:9">
      <c r="H8701" s="1245"/>
      <c r="I8701" s="1245"/>
    </row>
    <row r="8702" spans="8:9">
      <c r="H8702" s="1245"/>
      <c r="I8702" s="1245"/>
    </row>
    <row r="8703" spans="8:9">
      <c r="H8703" s="1245"/>
      <c r="I8703" s="1245"/>
    </row>
    <row r="8704" spans="8:9">
      <c r="H8704" s="1245"/>
      <c r="I8704" s="1245"/>
    </row>
    <row r="8705" spans="8:9">
      <c r="H8705" s="1245"/>
      <c r="I8705" s="1245"/>
    </row>
    <row r="8706" spans="8:9">
      <c r="H8706" s="1245"/>
      <c r="I8706" s="1245"/>
    </row>
    <row r="8707" spans="8:9">
      <c r="H8707" s="1245"/>
      <c r="I8707" s="1245"/>
    </row>
    <row r="8708" spans="8:9">
      <c r="H8708" s="1245"/>
      <c r="I8708" s="1245"/>
    </row>
    <row r="8709" spans="8:9">
      <c r="H8709" s="1245"/>
      <c r="I8709" s="1245"/>
    </row>
    <row r="8710" spans="8:9">
      <c r="H8710" s="1245"/>
      <c r="I8710" s="1245"/>
    </row>
    <row r="8711" spans="8:9">
      <c r="H8711" s="1245"/>
      <c r="I8711" s="1245"/>
    </row>
    <row r="8712" spans="8:9">
      <c r="H8712" s="1245"/>
      <c r="I8712" s="1245"/>
    </row>
    <row r="8713" spans="8:9">
      <c r="H8713" s="1245"/>
      <c r="I8713" s="1245"/>
    </row>
    <row r="8714" spans="8:9">
      <c r="H8714" s="1245"/>
      <c r="I8714" s="1245"/>
    </row>
    <row r="8715" spans="8:9">
      <c r="H8715" s="1245"/>
      <c r="I8715" s="1245"/>
    </row>
    <row r="8716" spans="8:9">
      <c r="H8716" s="1245"/>
      <c r="I8716" s="1245"/>
    </row>
    <row r="8717" spans="8:9">
      <c r="H8717" s="1245"/>
      <c r="I8717" s="1245"/>
    </row>
    <row r="8718" spans="8:9">
      <c r="H8718" s="1245"/>
      <c r="I8718" s="1245"/>
    </row>
    <row r="8719" spans="8:9">
      <c r="H8719" s="1245"/>
      <c r="I8719" s="1245"/>
    </row>
    <row r="8720" spans="8:9">
      <c r="H8720" s="1245"/>
      <c r="I8720" s="1245"/>
    </row>
    <row r="8721" spans="8:9">
      <c r="H8721" s="1245"/>
      <c r="I8721" s="1245"/>
    </row>
    <row r="8722" spans="8:9">
      <c r="H8722" s="1245"/>
      <c r="I8722" s="1245"/>
    </row>
    <row r="8723" spans="8:9">
      <c r="H8723" s="1245"/>
      <c r="I8723" s="1245"/>
    </row>
    <row r="8724" spans="8:9">
      <c r="H8724" s="1245"/>
      <c r="I8724" s="1245"/>
    </row>
    <row r="8725" spans="8:9">
      <c r="H8725" s="1245"/>
      <c r="I8725" s="1245"/>
    </row>
    <row r="8726" spans="8:9">
      <c r="H8726" s="1245"/>
      <c r="I8726" s="1245"/>
    </row>
    <row r="8727" spans="8:9">
      <c r="H8727" s="1245"/>
      <c r="I8727" s="1245"/>
    </row>
    <row r="8728" spans="8:9">
      <c r="H8728" s="1245"/>
      <c r="I8728" s="1245"/>
    </row>
    <row r="8729" spans="8:9">
      <c r="H8729" s="1245"/>
      <c r="I8729" s="1245"/>
    </row>
    <row r="8730" spans="8:9">
      <c r="H8730" s="1245"/>
      <c r="I8730" s="1245"/>
    </row>
    <row r="8731" spans="8:9">
      <c r="H8731" s="1245"/>
      <c r="I8731" s="1245"/>
    </row>
    <row r="8732" spans="8:9">
      <c r="H8732" s="1245"/>
      <c r="I8732" s="1245"/>
    </row>
    <row r="8733" spans="8:9">
      <c r="H8733" s="1245"/>
      <c r="I8733" s="1245"/>
    </row>
    <row r="8734" spans="8:9">
      <c r="H8734" s="1245"/>
      <c r="I8734" s="1245"/>
    </row>
    <row r="8735" spans="8:9">
      <c r="H8735" s="1245"/>
      <c r="I8735" s="1245"/>
    </row>
    <row r="8736" spans="8:9">
      <c r="H8736" s="1245"/>
      <c r="I8736" s="1245"/>
    </row>
    <row r="8737" spans="8:9">
      <c r="H8737" s="1245"/>
      <c r="I8737" s="1245"/>
    </row>
    <row r="8738" spans="8:9">
      <c r="H8738" s="1245"/>
      <c r="I8738" s="1245"/>
    </row>
    <row r="8739" spans="8:9">
      <c r="H8739" s="1245"/>
      <c r="I8739" s="1245"/>
    </row>
    <row r="8740" spans="8:9">
      <c r="H8740" s="1245"/>
      <c r="I8740" s="1245"/>
    </row>
    <row r="8741" spans="8:9">
      <c r="H8741" s="1245"/>
      <c r="I8741" s="1245"/>
    </row>
    <row r="8742" spans="8:9">
      <c r="H8742" s="1245"/>
      <c r="I8742" s="1245"/>
    </row>
    <row r="8743" spans="8:9">
      <c r="H8743" s="1245"/>
      <c r="I8743" s="1245"/>
    </row>
    <row r="8744" spans="8:9">
      <c r="H8744" s="1245"/>
      <c r="I8744" s="1245"/>
    </row>
    <row r="8745" spans="8:9">
      <c r="H8745" s="1245"/>
      <c r="I8745" s="1245"/>
    </row>
    <row r="8746" spans="8:9">
      <c r="H8746" s="1245"/>
      <c r="I8746" s="1245"/>
    </row>
    <row r="8747" spans="8:9">
      <c r="H8747" s="1245"/>
      <c r="I8747" s="1245"/>
    </row>
    <row r="8748" spans="8:9">
      <c r="H8748" s="1245"/>
      <c r="I8748" s="1245"/>
    </row>
    <row r="8749" spans="8:9">
      <c r="H8749" s="1245"/>
      <c r="I8749" s="1245"/>
    </row>
    <row r="8750" spans="8:9">
      <c r="H8750" s="1245"/>
      <c r="I8750" s="1245"/>
    </row>
    <row r="8751" spans="8:9">
      <c r="H8751" s="1245"/>
      <c r="I8751" s="1245"/>
    </row>
    <row r="8752" spans="8:9">
      <c r="H8752" s="1245"/>
      <c r="I8752" s="1245"/>
    </row>
    <row r="8753" spans="8:9">
      <c r="H8753" s="1245"/>
      <c r="I8753" s="1245"/>
    </row>
    <row r="8754" spans="8:9">
      <c r="H8754" s="1245"/>
      <c r="I8754" s="1245"/>
    </row>
    <row r="8755" spans="8:9">
      <c r="H8755" s="1245"/>
      <c r="I8755" s="1245"/>
    </row>
    <row r="8756" spans="8:9">
      <c r="H8756" s="1245"/>
      <c r="I8756" s="1245"/>
    </row>
    <row r="8757" spans="8:9">
      <c r="H8757" s="1245"/>
      <c r="I8757" s="1245"/>
    </row>
    <row r="8758" spans="8:9">
      <c r="H8758" s="1245"/>
      <c r="I8758" s="1245"/>
    </row>
    <row r="8759" spans="8:9">
      <c r="H8759" s="1245"/>
      <c r="I8759" s="1245"/>
    </row>
    <row r="8760" spans="8:9">
      <c r="H8760" s="1245"/>
      <c r="I8760" s="1245"/>
    </row>
    <row r="8761" spans="8:9">
      <c r="H8761" s="1245"/>
      <c r="I8761" s="1245"/>
    </row>
    <row r="8762" spans="8:9">
      <c r="H8762" s="1245"/>
      <c r="I8762" s="1245"/>
    </row>
    <row r="8763" spans="8:9">
      <c r="H8763" s="1245"/>
      <c r="I8763" s="1245"/>
    </row>
    <row r="8764" spans="8:9">
      <c r="H8764" s="1245"/>
      <c r="I8764" s="1245"/>
    </row>
    <row r="8765" spans="8:9">
      <c r="H8765" s="1245"/>
      <c r="I8765" s="1245"/>
    </row>
    <row r="8766" spans="8:9">
      <c r="H8766" s="1245"/>
      <c r="I8766" s="1245"/>
    </row>
    <row r="8767" spans="8:9">
      <c r="H8767" s="1245"/>
      <c r="I8767" s="1245"/>
    </row>
    <row r="8768" spans="8:9">
      <c r="H8768" s="1245"/>
      <c r="I8768" s="1245"/>
    </row>
    <row r="8769" spans="8:9">
      <c r="H8769" s="1245"/>
      <c r="I8769" s="1245"/>
    </row>
    <row r="8770" spans="8:9">
      <c r="H8770" s="1245"/>
      <c r="I8770" s="1245"/>
    </row>
    <row r="8771" spans="8:9">
      <c r="H8771" s="1245"/>
      <c r="I8771" s="1245"/>
    </row>
    <row r="8772" spans="8:9">
      <c r="H8772" s="1245"/>
      <c r="I8772" s="1245"/>
    </row>
    <row r="8773" spans="8:9">
      <c r="H8773" s="1245"/>
      <c r="I8773" s="1245"/>
    </row>
    <row r="8774" spans="8:9">
      <c r="H8774" s="1245"/>
      <c r="I8774" s="1245"/>
    </row>
    <row r="8775" spans="8:9">
      <c r="H8775" s="1245"/>
      <c r="I8775" s="1245"/>
    </row>
    <row r="8776" spans="8:9">
      <c r="H8776" s="1245"/>
      <c r="I8776" s="1245"/>
    </row>
    <row r="8777" spans="8:9">
      <c r="H8777" s="1245"/>
      <c r="I8777" s="1245"/>
    </row>
    <row r="8778" spans="8:9">
      <c r="H8778" s="1245"/>
      <c r="I8778" s="1245"/>
    </row>
    <row r="8779" spans="8:9">
      <c r="H8779" s="1245"/>
      <c r="I8779" s="1245"/>
    </row>
    <row r="8780" spans="8:9">
      <c r="H8780" s="1245"/>
      <c r="I8780" s="1245"/>
    </row>
    <row r="8781" spans="8:9">
      <c r="H8781" s="1245"/>
      <c r="I8781" s="1245"/>
    </row>
    <row r="8782" spans="8:9">
      <c r="H8782" s="1245"/>
      <c r="I8782" s="1245"/>
    </row>
    <row r="8783" spans="8:9">
      <c r="H8783" s="1245"/>
      <c r="I8783" s="1245"/>
    </row>
    <row r="8784" spans="8:9">
      <c r="H8784" s="1245"/>
      <c r="I8784" s="1245"/>
    </row>
    <row r="8785" spans="8:9">
      <c r="H8785" s="1245"/>
      <c r="I8785" s="1245"/>
    </row>
    <row r="8786" spans="8:9">
      <c r="H8786" s="1245"/>
      <c r="I8786" s="1245"/>
    </row>
    <row r="8787" spans="8:9">
      <c r="H8787" s="1245"/>
      <c r="I8787" s="1245"/>
    </row>
    <row r="8788" spans="8:9">
      <c r="H8788" s="1245"/>
      <c r="I8788" s="1245"/>
    </row>
    <row r="8789" spans="8:9">
      <c r="H8789" s="1245"/>
      <c r="I8789" s="1245"/>
    </row>
    <row r="8790" spans="8:9">
      <c r="H8790" s="1245"/>
      <c r="I8790" s="1245"/>
    </row>
    <row r="8791" spans="8:9">
      <c r="H8791" s="1245"/>
      <c r="I8791" s="1245"/>
    </row>
    <row r="8792" spans="8:9">
      <c r="H8792" s="1245"/>
      <c r="I8792" s="1245"/>
    </row>
    <row r="8793" spans="8:9">
      <c r="H8793" s="1245"/>
      <c r="I8793" s="1245"/>
    </row>
    <row r="8794" spans="8:9">
      <c r="H8794" s="1245"/>
      <c r="I8794" s="1245"/>
    </row>
    <row r="8795" spans="8:9">
      <c r="H8795" s="1245"/>
      <c r="I8795" s="1245"/>
    </row>
    <row r="8796" spans="8:9">
      <c r="H8796" s="1245"/>
      <c r="I8796" s="1245"/>
    </row>
    <row r="8797" spans="8:9">
      <c r="H8797" s="1245"/>
      <c r="I8797" s="1245"/>
    </row>
    <row r="8798" spans="8:9">
      <c r="H8798" s="1245"/>
      <c r="I8798" s="1245"/>
    </row>
    <row r="8799" spans="8:9">
      <c r="H8799" s="1245"/>
      <c r="I8799" s="1245"/>
    </row>
    <row r="8800" spans="8:9">
      <c r="H8800" s="1245"/>
      <c r="I8800" s="1245"/>
    </row>
    <row r="8801" spans="8:9">
      <c r="H8801" s="1245"/>
      <c r="I8801" s="1245"/>
    </row>
    <row r="8802" spans="8:9">
      <c r="H8802" s="1245"/>
      <c r="I8802" s="1245"/>
    </row>
    <row r="8803" spans="8:9">
      <c r="H8803" s="1245"/>
      <c r="I8803" s="1245"/>
    </row>
    <row r="8804" spans="8:9">
      <c r="H8804" s="1245"/>
      <c r="I8804" s="1245"/>
    </row>
    <row r="8805" spans="8:9">
      <c r="H8805" s="1245"/>
      <c r="I8805" s="1245"/>
    </row>
    <row r="8806" spans="8:9">
      <c r="H8806" s="1245"/>
      <c r="I8806" s="1245"/>
    </row>
    <row r="8807" spans="8:9">
      <c r="H8807" s="1245"/>
      <c r="I8807" s="1245"/>
    </row>
    <row r="8808" spans="8:9">
      <c r="H8808" s="1245"/>
      <c r="I8808" s="1245"/>
    </row>
    <row r="8809" spans="8:9">
      <c r="H8809" s="1245"/>
      <c r="I8809" s="1245"/>
    </row>
    <row r="8810" spans="8:9">
      <c r="H8810" s="1245"/>
      <c r="I8810" s="1245"/>
    </row>
    <row r="8811" spans="8:9">
      <c r="H8811" s="1245"/>
      <c r="I8811" s="1245"/>
    </row>
    <row r="8812" spans="8:9">
      <c r="H8812" s="1245"/>
      <c r="I8812" s="1245"/>
    </row>
    <row r="8813" spans="8:9">
      <c r="H8813" s="1245"/>
      <c r="I8813" s="1245"/>
    </row>
    <row r="8814" spans="8:9">
      <c r="H8814" s="1245"/>
      <c r="I8814" s="1245"/>
    </row>
    <row r="8815" spans="8:9">
      <c r="H8815" s="1245"/>
      <c r="I8815" s="1245"/>
    </row>
    <row r="8816" spans="8:9">
      <c r="H8816" s="1245"/>
      <c r="I8816" s="1245"/>
    </row>
    <row r="8817" spans="8:9">
      <c r="H8817" s="1245"/>
      <c r="I8817" s="1245"/>
    </row>
    <row r="8818" spans="8:9">
      <c r="H8818" s="1245"/>
      <c r="I8818" s="1245"/>
    </row>
    <row r="8819" spans="8:9">
      <c r="H8819" s="1245"/>
      <c r="I8819" s="1245"/>
    </row>
    <row r="8820" spans="8:9">
      <c r="H8820" s="1245"/>
      <c r="I8820" s="1245"/>
    </row>
    <row r="8821" spans="8:9">
      <c r="H8821" s="1245"/>
      <c r="I8821" s="1245"/>
    </row>
    <row r="8822" spans="8:9">
      <c r="H8822" s="1245"/>
      <c r="I8822" s="1245"/>
    </row>
    <row r="8823" spans="8:9">
      <c r="H8823" s="1245"/>
      <c r="I8823" s="1245"/>
    </row>
    <row r="8824" spans="8:9">
      <c r="H8824" s="1245"/>
      <c r="I8824" s="1245"/>
    </row>
    <row r="8825" spans="8:9">
      <c r="H8825" s="1245"/>
      <c r="I8825" s="1245"/>
    </row>
    <row r="8826" spans="8:9">
      <c r="H8826" s="1245"/>
      <c r="I8826" s="1245"/>
    </row>
    <row r="8827" spans="8:9">
      <c r="H8827" s="1245"/>
      <c r="I8827" s="1245"/>
    </row>
    <row r="8828" spans="8:9">
      <c r="H8828" s="1245"/>
      <c r="I8828" s="1245"/>
    </row>
    <row r="8829" spans="8:9">
      <c r="H8829" s="1245"/>
      <c r="I8829" s="1245"/>
    </row>
    <row r="8830" spans="8:9">
      <c r="H8830" s="1245"/>
      <c r="I8830" s="1245"/>
    </row>
    <row r="8831" spans="8:9">
      <c r="H8831" s="1245"/>
      <c r="I8831" s="1245"/>
    </row>
    <row r="8832" spans="8:9">
      <c r="H8832" s="1245"/>
      <c r="I8832" s="1245"/>
    </row>
    <row r="8833" spans="8:9">
      <c r="H8833" s="1245"/>
      <c r="I8833" s="1245"/>
    </row>
    <row r="8834" spans="8:9">
      <c r="H8834" s="1245"/>
      <c r="I8834" s="1245"/>
    </row>
    <row r="8835" spans="8:9">
      <c r="H8835" s="1245"/>
      <c r="I8835" s="1245"/>
    </row>
    <row r="8836" spans="8:9">
      <c r="H8836" s="1245"/>
      <c r="I8836" s="1245"/>
    </row>
    <row r="8837" spans="8:9">
      <c r="H8837" s="1245"/>
      <c r="I8837" s="1245"/>
    </row>
    <row r="8838" spans="8:9">
      <c r="H8838" s="1245"/>
      <c r="I8838" s="1245"/>
    </row>
    <row r="8839" spans="8:9">
      <c r="H8839" s="1245"/>
      <c r="I8839" s="1245"/>
    </row>
    <row r="8840" spans="8:9">
      <c r="H8840" s="1245"/>
      <c r="I8840" s="1245"/>
    </row>
    <row r="8841" spans="8:9">
      <c r="H8841" s="1245"/>
      <c r="I8841" s="1245"/>
    </row>
    <row r="8842" spans="8:9">
      <c r="H8842" s="1245"/>
      <c r="I8842" s="1245"/>
    </row>
    <row r="8843" spans="8:9">
      <c r="H8843" s="1245"/>
      <c r="I8843" s="1245"/>
    </row>
    <row r="8844" spans="8:9">
      <c r="H8844" s="1245"/>
      <c r="I8844" s="1245"/>
    </row>
    <row r="8845" spans="8:9">
      <c r="H8845" s="1245"/>
      <c r="I8845" s="1245"/>
    </row>
    <row r="8846" spans="8:9">
      <c r="H8846" s="1245"/>
      <c r="I8846" s="1245"/>
    </row>
    <row r="8847" spans="8:9">
      <c r="H8847" s="1245"/>
      <c r="I8847" s="1245"/>
    </row>
    <row r="8848" spans="8:9">
      <c r="H8848" s="1245"/>
      <c r="I8848" s="1245"/>
    </row>
    <row r="8849" spans="8:9">
      <c r="H8849" s="1245"/>
      <c r="I8849" s="1245"/>
    </row>
    <row r="8850" spans="8:9">
      <c r="H8850" s="1245"/>
      <c r="I8850" s="1245"/>
    </row>
    <row r="8851" spans="8:9">
      <c r="H8851" s="1245"/>
      <c r="I8851" s="1245"/>
    </row>
    <row r="8852" spans="8:9">
      <c r="H8852" s="1245"/>
      <c r="I8852" s="1245"/>
    </row>
    <row r="8853" spans="8:9">
      <c r="H8853" s="1245"/>
      <c r="I8853" s="1245"/>
    </row>
    <row r="8854" spans="8:9">
      <c r="H8854" s="1245"/>
      <c r="I8854" s="1245"/>
    </row>
    <row r="8855" spans="8:9">
      <c r="H8855" s="1245"/>
      <c r="I8855" s="1245"/>
    </row>
    <row r="8856" spans="8:9">
      <c r="H8856" s="1245"/>
      <c r="I8856" s="1245"/>
    </row>
    <row r="8857" spans="8:9">
      <c r="H8857" s="1245"/>
      <c r="I8857" s="1245"/>
    </row>
    <row r="8858" spans="8:9">
      <c r="H8858" s="1245"/>
      <c r="I8858" s="1245"/>
    </row>
    <row r="8859" spans="8:9">
      <c r="H8859" s="1245"/>
      <c r="I8859" s="1245"/>
    </row>
    <row r="8860" spans="8:9">
      <c r="H8860" s="1245"/>
      <c r="I8860" s="1245"/>
    </row>
    <row r="8861" spans="8:9">
      <c r="H8861" s="1245"/>
      <c r="I8861" s="1245"/>
    </row>
    <row r="8862" spans="8:9">
      <c r="H8862" s="1245"/>
      <c r="I8862" s="1245"/>
    </row>
    <row r="8863" spans="8:9">
      <c r="H8863" s="1245"/>
      <c r="I8863" s="1245"/>
    </row>
    <row r="8864" spans="8:9">
      <c r="H8864" s="1245"/>
      <c r="I8864" s="1245"/>
    </row>
    <row r="8865" spans="8:9">
      <c r="H8865" s="1245"/>
      <c r="I8865" s="1245"/>
    </row>
    <row r="8866" spans="8:9">
      <c r="H8866" s="1245"/>
      <c r="I8866" s="1245"/>
    </row>
    <row r="8867" spans="8:9">
      <c r="H8867" s="1245"/>
      <c r="I8867" s="1245"/>
    </row>
    <row r="8868" spans="8:9">
      <c r="H8868" s="1245"/>
      <c r="I8868" s="1245"/>
    </row>
    <row r="8869" spans="8:9">
      <c r="H8869" s="1245"/>
      <c r="I8869" s="1245"/>
    </row>
    <row r="8870" spans="8:9">
      <c r="H8870" s="1245"/>
      <c r="I8870" s="1245"/>
    </row>
    <row r="8871" spans="8:9">
      <c r="H8871" s="1245"/>
      <c r="I8871" s="1245"/>
    </row>
    <row r="8872" spans="8:9">
      <c r="H8872" s="1245"/>
      <c r="I8872" s="1245"/>
    </row>
    <row r="8873" spans="8:9">
      <c r="H8873" s="1245"/>
      <c r="I8873" s="1245"/>
    </row>
    <row r="8874" spans="8:9">
      <c r="H8874" s="1245"/>
      <c r="I8874" s="1245"/>
    </row>
    <row r="8875" spans="8:9">
      <c r="H8875" s="1245"/>
      <c r="I8875" s="1245"/>
    </row>
    <row r="8876" spans="8:9">
      <c r="H8876" s="1245"/>
      <c r="I8876" s="1245"/>
    </row>
    <row r="8877" spans="8:9">
      <c r="H8877" s="1245"/>
      <c r="I8877" s="1245"/>
    </row>
    <row r="8878" spans="8:9">
      <c r="H8878" s="1245"/>
      <c r="I8878" s="1245"/>
    </row>
    <row r="8879" spans="8:9">
      <c r="H8879" s="1245"/>
      <c r="I8879" s="1245"/>
    </row>
    <row r="8880" spans="8:9">
      <c r="H8880" s="1245"/>
      <c r="I8880" s="1245"/>
    </row>
    <row r="8881" spans="8:9">
      <c r="H8881" s="1245"/>
      <c r="I8881" s="1245"/>
    </row>
    <row r="8882" spans="8:9">
      <c r="H8882" s="1245"/>
      <c r="I8882" s="1245"/>
    </row>
    <row r="8883" spans="8:9">
      <c r="H8883" s="1245"/>
      <c r="I8883" s="1245"/>
    </row>
    <row r="8884" spans="8:9">
      <c r="H8884" s="1245"/>
      <c r="I8884" s="1245"/>
    </row>
    <row r="8885" spans="8:9">
      <c r="H8885" s="1245"/>
      <c r="I8885" s="1245"/>
    </row>
    <row r="8886" spans="8:9">
      <c r="H8886" s="1245"/>
      <c r="I8886" s="1245"/>
    </row>
    <row r="8887" spans="8:9">
      <c r="H8887" s="1245"/>
      <c r="I8887" s="1245"/>
    </row>
    <row r="8888" spans="8:9">
      <c r="H8888" s="1245"/>
      <c r="I8888" s="1245"/>
    </row>
    <row r="8889" spans="8:9">
      <c r="H8889" s="1245"/>
      <c r="I8889" s="1245"/>
    </row>
    <row r="8890" spans="8:9">
      <c r="H8890" s="1245"/>
      <c r="I8890" s="1245"/>
    </row>
    <row r="8891" spans="8:9">
      <c r="H8891" s="1245"/>
      <c r="I8891" s="1245"/>
    </row>
    <row r="8892" spans="8:9">
      <c r="H8892" s="1245"/>
      <c r="I8892" s="1245"/>
    </row>
    <row r="8893" spans="8:9">
      <c r="H8893" s="1245"/>
      <c r="I8893" s="1245"/>
    </row>
    <row r="8894" spans="8:9">
      <c r="H8894" s="1245"/>
      <c r="I8894" s="1245"/>
    </row>
    <row r="8895" spans="8:9">
      <c r="H8895" s="1245"/>
      <c r="I8895" s="1245"/>
    </row>
    <row r="8896" spans="8:9">
      <c r="H8896" s="1245"/>
      <c r="I8896" s="1245"/>
    </row>
    <row r="8897" spans="8:9">
      <c r="H8897" s="1245"/>
      <c r="I8897" s="1245"/>
    </row>
    <row r="8898" spans="8:9">
      <c r="H8898" s="1245"/>
      <c r="I8898" s="1245"/>
    </row>
    <row r="8899" spans="8:9">
      <c r="H8899" s="1245"/>
      <c r="I8899" s="1245"/>
    </row>
    <row r="8900" spans="8:9">
      <c r="H8900" s="1245"/>
      <c r="I8900" s="1245"/>
    </row>
    <row r="8901" spans="8:9">
      <c r="H8901" s="1245"/>
      <c r="I8901" s="1245"/>
    </row>
    <row r="8902" spans="8:9">
      <c r="H8902" s="1245"/>
      <c r="I8902" s="1245"/>
    </row>
    <row r="8903" spans="8:9">
      <c r="H8903" s="1245"/>
      <c r="I8903" s="1245"/>
    </row>
    <row r="8904" spans="8:9">
      <c r="H8904" s="1245"/>
      <c r="I8904" s="1245"/>
    </row>
    <row r="8905" spans="8:9">
      <c r="H8905" s="1245"/>
      <c r="I8905" s="1245"/>
    </row>
    <row r="8906" spans="8:9">
      <c r="H8906" s="1245"/>
      <c r="I8906" s="1245"/>
    </row>
    <row r="8907" spans="8:9">
      <c r="H8907" s="1245"/>
      <c r="I8907" s="1245"/>
    </row>
    <row r="8908" spans="8:9">
      <c r="H8908" s="1245"/>
      <c r="I8908" s="1245"/>
    </row>
    <row r="8909" spans="8:9">
      <c r="H8909" s="1245"/>
      <c r="I8909" s="1245"/>
    </row>
    <row r="8910" spans="8:9">
      <c r="H8910" s="1245"/>
      <c r="I8910" s="1245"/>
    </row>
    <row r="8911" spans="8:9">
      <c r="H8911" s="1245"/>
      <c r="I8911" s="1245"/>
    </row>
    <row r="8912" spans="8:9">
      <c r="H8912" s="1245"/>
      <c r="I8912" s="1245"/>
    </row>
    <row r="8913" spans="8:9">
      <c r="H8913" s="1245"/>
      <c r="I8913" s="1245"/>
    </row>
    <row r="8914" spans="8:9">
      <c r="H8914" s="1245"/>
      <c r="I8914" s="1245"/>
    </row>
    <row r="8915" spans="8:9">
      <c r="H8915" s="1245"/>
      <c r="I8915" s="1245"/>
    </row>
    <row r="8916" spans="8:9">
      <c r="H8916" s="1245"/>
      <c r="I8916" s="1245"/>
    </row>
    <row r="8917" spans="8:9">
      <c r="H8917" s="1245"/>
      <c r="I8917" s="1245"/>
    </row>
    <row r="8918" spans="8:9">
      <c r="H8918" s="1245"/>
      <c r="I8918" s="1245"/>
    </row>
    <row r="8919" spans="8:9">
      <c r="H8919" s="1245"/>
      <c r="I8919" s="1245"/>
    </row>
    <row r="8920" spans="8:9">
      <c r="H8920" s="1245"/>
      <c r="I8920" s="1245"/>
    </row>
    <row r="8921" spans="8:9">
      <c r="H8921" s="1245"/>
      <c r="I8921" s="1245"/>
    </row>
    <row r="8922" spans="8:9">
      <c r="H8922" s="1245"/>
      <c r="I8922" s="1245"/>
    </row>
    <row r="8923" spans="8:9">
      <c r="H8923" s="1245"/>
      <c r="I8923" s="1245"/>
    </row>
    <row r="8924" spans="8:9">
      <c r="H8924" s="1245"/>
      <c r="I8924" s="1245"/>
    </row>
    <row r="8925" spans="8:9">
      <c r="H8925" s="1245"/>
      <c r="I8925" s="1245"/>
    </row>
    <row r="8926" spans="8:9">
      <c r="H8926" s="1245"/>
      <c r="I8926" s="1245"/>
    </row>
    <row r="8927" spans="8:9">
      <c r="H8927" s="1245"/>
      <c r="I8927" s="1245"/>
    </row>
    <row r="8928" spans="8:9">
      <c r="H8928" s="1245"/>
      <c r="I8928" s="1245"/>
    </row>
    <row r="8929" spans="8:9">
      <c r="H8929" s="1245"/>
      <c r="I8929" s="1245"/>
    </row>
    <row r="8930" spans="8:9">
      <c r="H8930" s="1245"/>
      <c r="I8930" s="1245"/>
    </row>
    <row r="8931" spans="8:9">
      <c r="H8931" s="1245"/>
      <c r="I8931" s="1245"/>
    </row>
    <row r="8932" spans="8:9">
      <c r="H8932" s="1245"/>
      <c r="I8932" s="1245"/>
    </row>
    <row r="8933" spans="8:9">
      <c r="H8933" s="1245"/>
      <c r="I8933" s="1245"/>
    </row>
    <row r="8934" spans="8:9">
      <c r="H8934" s="1245"/>
      <c r="I8934" s="1245"/>
    </row>
    <row r="8935" spans="8:9">
      <c r="H8935" s="1245"/>
      <c r="I8935" s="1245"/>
    </row>
    <row r="8936" spans="8:9">
      <c r="H8936" s="1245"/>
      <c r="I8936" s="1245"/>
    </row>
    <row r="8937" spans="8:9">
      <c r="H8937" s="1245"/>
      <c r="I8937" s="1245"/>
    </row>
    <row r="8938" spans="8:9">
      <c r="H8938" s="1245"/>
      <c r="I8938" s="1245"/>
    </row>
    <row r="8939" spans="8:9">
      <c r="H8939" s="1245"/>
      <c r="I8939" s="1245"/>
    </row>
    <row r="8940" spans="8:9">
      <c r="H8940" s="1245"/>
      <c r="I8940" s="1245"/>
    </row>
    <row r="8941" spans="8:9">
      <c r="H8941" s="1245"/>
      <c r="I8941" s="1245"/>
    </row>
    <row r="8942" spans="8:9">
      <c r="H8942" s="1245"/>
      <c r="I8942" s="1245"/>
    </row>
    <row r="8943" spans="8:9">
      <c r="H8943" s="1245"/>
      <c r="I8943" s="1245"/>
    </row>
    <row r="8944" spans="8:9">
      <c r="H8944" s="1245"/>
      <c r="I8944" s="1245"/>
    </row>
    <row r="8945" spans="8:9">
      <c r="H8945" s="1245"/>
      <c r="I8945" s="1245"/>
    </row>
    <row r="8946" spans="8:9">
      <c r="H8946" s="1245"/>
      <c r="I8946" s="1245"/>
    </row>
    <row r="8947" spans="8:9">
      <c r="H8947" s="1245"/>
      <c r="I8947" s="1245"/>
    </row>
    <row r="8948" spans="8:9">
      <c r="H8948" s="1245"/>
      <c r="I8948" s="1245"/>
    </row>
    <row r="8949" spans="8:9">
      <c r="H8949" s="1245"/>
      <c r="I8949" s="1245"/>
    </row>
    <row r="8950" spans="8:9">
      <c r="H8950" s="1245"/>
      <c r="I8950" s="1245"/>
    </row>
    <row r="8951" spans="8:9">
      <c r="H8951" s="1245"/>
      <c r="I8951" s="1245"/>
    </row>
    <row r="8952" spans="8:9">
      <c r="H8952" s="1245"/>
      <c r="I8952" s="1245"/>
    </row>
    <row r="8953" spans="8:9">
      <c r="H8953" s="1245"/>
      <c r="I8953" s="1245"/>
    </row>
    <row r="8954" spans="8:9">
      <c r="H8954" s="1245"/>
      <c r="I8954" s="1245"/>
    </row>
    <row r="8955" spans="8:9">
      <c r="H8955" s="1245"/>
      <c r="I8955" s="1245"/>
    </row>
    <row r="8956" spans="8:9">
      <c r="H8956" s="1245"/>
      <c r="I8956" s="1245"/>
    </row>
    <row r="8957" spans="8:9">
      <c r="H8957" s="1245"/>
      <c r="I8957" s="1245"/>
    </row>
    <row r="8958" spans="8:9">
      <c r="H8958" s="1245"/>
      <c r="I8958" s="1245"/>
    </row>
    <row r="8959" spans="8:9">
      <c r="H8959" s="1245"/>
      <c r="I8959" s="1245"/>
    </row>
    <row r="8960" spans="8:9">
      <c r="H8960" s="1245"/>
      <c r="I8960" s="1245"/>
    </row>
    <row r="8961" spans="8:9">
      <c r="H8961" s="1245"/>
      <c r="I8961" s="1245"/>
    </row>
    <row r="8962" spans="8:9">
      <c r="H8962" s="1245"/>
      <c r="I8962" s="1245"/>
    </row>
    <row r="8963" spans="8:9">
      <c r="H8963" s="1245"/>
      <c r="I8963" s="1245"/>
    </row>
    <row r="8964" spans="8:9">
      <c r="H8964" s="1245"/>
      <c r="I8964" s="1245"/>
    </row>
    <row r="8965" spans="8:9">
      <c r="H8965" s="1245"/>
      <c r="I8965" s="1245"/>
    </row>
    <row r="8966" spans="8:9">
      <c r="H8966" s="1245"/>
      <c r="I8966" s="1245"/>
    </row>
    <row r="8967" spans="8:9">
      <c r="H8967" s="1245"/>
      <c r="I8967" s="1245"/>
    </row>
    <row r="8968" spans="8:9">
      <c r="H8968" s="1245"/>
      <c r="I8968" s="1245"/>
    </row>
    <row r="8969" spans="8:9">
      <c r="H8969" s="1245"/>
      <c r="I8969" s="1245"/>
    </row>
    <row r="8970" spans="8:9">
      <c r="H8970" s="1245"/>
      <c r="I8970" s="1245"/>
    </row>
    <row r="8971" spans="8:9">
      <c r="H8971" s="1245"/>
      <c r="I8971" s="1245"/>
    </row>
    <row r="8972" spans="8:9">
      <c r="H8972" s="1245"/>
      <c r="I8972" s="1245"/>
    </row>
    <row r="8973" spans="8:9">
      <c r="H8973" s="1245"/>
      <c r="I8973" s="1245"/>
    </row>
    <row r="8974" spans="8:9">
      <c r="H8974" s="1245"/>
      <c r="I8974" s="1245"/>
    </row>
    <row r="8975" spans="8:9">
      <c r="H8975" s="1245"/>
      <c r="I8975" s="1245"/>
    </row>
    <row r="8976" spans="8:9">
      <c r="H8976" s="1245"/>
      <c r="I8976" s="1245"/>
    </row>
    <row r="8977" spans="8:9">
      <c r="H8977" s="1245"/>
      <c r="I8977" s="1245"/>
    </row>
    <row r="8978" spans="8:9">
      <c r="H8978" s="1245"/>
      <c r="I8978" s="1245"/>
    </row>
    <row r="8979" spans="8:9">
      <c r="H8979" s="1245"/>
      <c r="I8979" s="1245"/>
    </row>
    <row r="8980" spans="8:9">
      <c r="H8980" s="1245"/>
      <c r="I8980" s="1245"/>
    </row>
    <row r="8981" spans="8:9">
      <c r="H8981" s="1245"/>
      <c r="I8981" s="1245"/>
    </row>
    <row r="8982" spans="8:9">
      <c r="H8982" s="1245"/>
      <c r="I8982" s="1245"/>
    </row>
    <row r="8983" spans="8:9">
      <c r="H8983" s="1245"/>
      <c r="I8983" s="1245"/>
    </row>
    <row r="8984" spans="8:9">
      <c r="H8984" s="1245"/>
      <c r="I8984" s="1245"/>
    </row>
    <row r="8985" spans="8:9">
      <c r="H8985" s="1245"/>
      <c r="I8985" s="1245"/>
    </row>
    <row r="8986" spans="8:9">
      <c r="H8986" s="1245"/>
      <c r="I8986" s="1245"/>
    </row>
    <row r="8987" spans="8:9">
      <c r="H8987" s="1245"/>
      <c r="I8987" s="1245"/>
    </row>
    <row r="8988" spans="8:9">
      <c r="H8988" s="1245"/>
      <c r="I8988" s="1245"/>
    </row>
    <row r="8989" spans="8:9">
      <c r="H8989" s="1245"/>
      <c r="I8989" s="1245"/>
    </row>
    <row r="8990" spans="8:9">
      <c r="H8990" s="1245"/>
      <c r="I8990" s="1245"/>
    </row>
    <row r="8991" spans="8:9">
      <c r="H8991" s="1245"/>
      <c r="I8991" s="1245"/>
    </row>
    <row r="8992" spans="8:9">
      <c r="H8992" s="1245"/>
      <c r="I8992" s="1245"/>
    </row>
    <row r="8993" spans="8:9">
      <c r="H8993" s="1245"/>
      <c r="I8993" s="1245"/>
    </row>
    <row r="8994" spans="8:9">
      <c r="H8994" s="1245"/>
      <c r="I8994" s="1245"/>
    </row>
    <row r="8995" spans="8:9">
      <c r="H8995" s="1245"/>
      <c r="I8995" s="1245"/>
    </row>
    <row r="8996" spans="8:9">
      <c r="H8996" s="1245"/>
      <c r="I8996" s="1245"/>
    </row>
    <row r="8997" spans="8:9">
      <c r="H8997" s="1245"/>
      <c r="I8997" s="1245"/>
    </row>
    <row r="8998" spans="8:9">
      <c r="H8998" s="1245"/>
      <c r="I8998" s="1245"/>
    </row>
    <row r="8999" spans="8:9">
      <c r="H8999" s="1245"/>
      <c r="I8999" s="1245"/>
    </row>
    <row r="9000" spans="8:9">
      <c r="H9000" s="1245"/>
      <c r="I9000" s="1245"/>
    </row>
    <row r="9001" spans="8:9">
      <c r="H9001" s="1245"/>
      <c r="I9001" s="1245"/>
    </row>
    <row r="9002" spans="8:9">
      <c r="H9002" s="1245"/>
      <c r="I9002" s="1245"/>
    </row>
    <row r="9003" spans="8:9">
      <c r="H9003" s="1245"/>
      <c r="I9003" s="1245"/>
    </row>
    <row r="9004" spans="8:9">
      <c r="H9004" s="1245"/>
      <c r="I9004" s="1245"/>
    </row>
    <row r="9005" spans="8:9">
      <c r="H9005" s="1245"/>
      <c r="I9005" s="1245"/>
    </row>
    <row r="9006" spans="8:9">
      <c r="H9006" s="1245"/>
      <c r="I9006" s="1245"/>
    </row>
    <row r="9007" spans="8:9">
      <c r="H9007" s="1245"/>
      <c r="I9007" s="1245"/>
    </row>
    <row r="9008" spans="8:9">
      <c r="H9008" s="1245"/>
      <c r="I9008" s="1245"/>
    </row>
    <row r="9009" spans="8:9">
      <c r="H9009" s="1245"/>
      <c r="I9009" s="1245"/>
    </row>
    <row r="9010" spans="8:9">
      <c r="H9010" s="1245"/>
      <c r="I9010" s="1245"/>
    </row>
    <row r="9011" spans="8:9">
      <c r="H9011" s="1245"/>
      <c r="I9011" s="1245"/>
    </row>
    <row r="9012" spans="8:9">
      <c r="H9012" s="1245"/>
      <c r="I9012" s="1245"/>
    </row>
    <row r="9013" spans="8:9">
      <c r="H9013" s="1245"/>
      <c r="I9013" s="1245"/>
    </row>
    <row r="9014" spans="8:9">
      <c r="H9014" s="1245"/>
      <c r="I9014" s="1245"/>
    </row>
    <row r="9015" spans="8:9">
      <c r="H9015" s="1245"/>
      <c r="I9015" s="1245"/>
    </row>
    <row r="9016" spans="8:9">
      <c r="H9016" s="1245"/>
      <c r="I9016" s="1245"/>
    </row>
    <row r="9017" spans="8:9">
      <c r="H9017" s="1245"/>
      <c r="I9017" s="1245"/>
    </row>
    <row r="9018" spans="8:9">
      <c r="H9018" s="1245"/>
      <c r="I9018" s="1245"/>
    </row>
    <row r="9019" spans="8:9">
      <c r="H9019" s="1245"/>
      <c r="I9019" s="1245"/>
    </row>
    <row r="9020" spans="8:9">
      <c r="H9020" s="1245"/>
      <c r="I9020" s="1245"/>
    </row>
    <row r="9021" spans="8:9">
      <c r="H9021" s="1245"/>
      <c r="I9021" s="1245"/>
    </row>
    <row r="9022" spans="8:9">
      <c r="H9022" s="1245"/>
      <c r="I9022" s="1245"/>
    </row>
    <row r="9023" spans="8:9">
      <c r="H9023" s="1245"/>
      <c r="I9023" s="1245"/>
    </row>
    <row r="9024" spans="8:9">
      <c r="H9024" s="1245"/>
      <c r="I9024" s="1245"/>
    </row>
    <row r="9025" spans="8:9">
      <c r="H9025" s="1245"/>
      <c r="I9025" s="1245"/>
    </row>
    <row r="9026" spans="8:9">
      <c r="H9026" s="1245"/>
      <c r="I9026" s="1245"/>
    </row>
    <row r="9027" spans="8:9">
      <c r="H9027" s="1245"/>
      <c r="I9027" s="1245"/>
    </row>
    <row r="9028" spans="8:9">
      <c r="H9028" s="1245"/>
      <c r="I9028" s="1245"/>
    </row>
    <row r="9029" spans="8:9">
      <c r="H9029" s="1245"/>
      <c r="I9029" s="1245"/>
    </row>
    <row r="9030" spans="8:9">
      <c r="H9030" s="1245"/>
      <c r="I9030" s="1245"/>
    </row>
    <row r="9031" spans="8:9">
      <c r="H9031" s="1245"/>
      <c r="I9031" s="1245"/>
    </row>
    <row r="9032" spans="8:9">
      <c r="H9032" s="1245"/>
      <c r="I9032" s="1245"/>
    </row>
    <row r="9033" spans="8:9">
      <c r="H9033" s="1245"/>
      <c r="I9033" s="1245"/>
    </row>
    <row r="9034" spans="8:9">
      <c r="H9034" s="1245"/>
      <c r="I9034" s="1245"/>
    </row>
    <row r="9035" spans="8:9">
      <c r="H9035" s="1245"/>
      <c r="I9035" s="1245"/>
    </row>
    <row r="9036" spans="8:9">
      <c r="H9036" s="1245"/>
      <c r="I9036" s="1245"/>
    </row>
    <row r="9037" spans="8:9">
      <c r="H9037" s="1245"/>
      <c r="I9037" s="1245"/>
    </row>
    <row r="9038" spans="8:9">
      <c r="H9038" s="1245"/>
      <c r="I9038" s="1245"/>
    </row>
    <row r="9039" spans="8:9">
      <c r="H9039" s="1245"/>
      <c r="I9039" s="1245"/>
    </row>
    <row r="9040" spans="8:9">
      <c r="H9040" s="1245"/>
      <c r="I9040" s="1245"/>
    </row>
    <row r="9041" spans="8:9">
      <c r="H9041" s="1245"/>
      <c r="I9041" s="1245"/>
    </row>
    <row r="9042" spans="8:9">
      <c r="H9042" s="1245"/>
      <c r="I9042" s="1245"/>
    </row>
    <row r="9043" spans="8:9">
      <c r="H9043" s="1245"/>
      <c r="I9043" s="1245"/>
    </row>
    <row r="9044" spans="8:9">
      <c r="H9044" s="1245"/>
      <c r="I9044" s="1245"/>
    </row>
    <row r="9045" spans="8:9">
      <c r="H9045" s="1245"/>
      <c r="I9045" s="1245"/>
    </row>
    <row r="9046" spans="8:9">
      <c r="H9046" s="1245"/>
      <c r="I9046" s="1245"/>
    </row>
    <row r="9047" spans="8:9">
      <c r="H9047" s="1245"/>
      <c r="I9047" s="1245"/>
    </row>
    <row r="9048" spans="8:9">
      <c r="H9048" s="1245"/>
      <c r="I9048" s="1245"/>
    </row>
    <row r="9049" spans="8:9">
      <c r="H9049" s="1245"/>
      <c r="I9049" s="1245"/>
    </row>
    <row r="9050" spans="8:9">
      <c r="H9050" s="1245"/>
      <c r="I9050" s="1245"/>
    </row>
    <row r="9051" spans="8:9">
      <c r="H9051" s="1245"/>
      <c r="I9051" s="1245"/>
    </row>
    <row r="9052" spans="8:9">
      <c r="H9052" s="1245"/>
      <c r="I9052" s="1245"/>
    </row>
    <row r="9053" spans="8:9">
      <c r="H9053" s="1245"/>
      <c r="I9053" s="1245"/>
    </row>
    <row r="9054" spans="8:9">
      <c r="H9054" s="1245"/>
      <c r="I9054" s="1245"/>
    </row>
    <row r="9055" spans="8:9">
      <c r="H9055" s="1245"/>
      <c r="I9055" s="1245"/>
    </row>
    <row r="9056" spans="8:9">
      <c r="H9056" s="1245"/>
      <c r="I9056" s="1245"/>
    </row>
    <row r="9057" spans="8:9">
      <c r="H9057" s="1245"/>
      <c r="I9057" s="1245"/>
    </row>
    <row r="9058" spans="8:9">
      <c r="H9058" s="1245"/>
      <c r="I9058" s="1245"/>
    </row>
    <row r="9059" spans="8:9">
      <c r="H9059" s="1245"/>
      <c r="I9059" s="1245"/>
    </row>
    <row r="9060" spans="8:9">
      <c r="H9060" s="1245"/>
      <c r="I9060" s="1245"/>
    </row>
    <row r="9061" spans="8:9">
      <c r="H9061" s="1245"/>
      <c r="I9061" s="1245"/>
    </row>
    <row r="9062" spans="8:9">
      <c r="H9062" s="1245"/>
      <c r="I9062" s="1245"/>
    </row>
    <row r="9063" spans="8:9">
      <c r="H9063" s="1245"/>
      <c r="I9063" s="1245"/>
    </row>
    <row r="9064" spans="8:9">
      <c r="H9064" s="1245"/>
      <c r="I9064" s="1245"/>
    </row>
    <row r="9065" spans="8:9">
      <c r="H9065" s="1245"/>
      <c r="I9065" s="1245"/>
    </row>
    <row r="9066" spans="8:9">
      <c r="H9066" s="1245"/>
      <c r="I9066" s="1245"/>
    </row>
    <row r="9067" spans="8:9">
      <c r="H9067" s="1245"/>
      <c r="I9067" s="1245"/>
    </row>
    <row r="9068" spans="8:9">
      <c r="H9068" s="1245"/>
      <c r="I9068" s="1245"/>
    </row>
    <row r="9069" spans="8:9">
      <c r="H9069" s="1245"/>
      <c r="I9069" s="1245"/>
    </row>
    <row r="9070" spans="8:9">
      <c r="H9070" s="1245"/>
      <c r="I9070" s="1245"/>
    </row>
    <row r="9071" spans="8:9">
      <c r="H9071" s="1245"/>
      <c r="I9071" s="1245"/>
    </row>
    <row r="9072" spans="8:9">
      <c r="H9072" s="1245"/>
      <c r="I9072" s="1245"/>
    </row>
    <row r="9073" spans="8:9">
      <c r="H9073" s="1245"/>
      <c r="I9073" s="1245"/>
    </row>
    <row r="9074" spans="8:9">
      <c r="H9074" s="1245"/>
      <c r="I9074" s="1245"/>
    </row>
    <row r="9075" spans="8:9">
      <c r="H9075" s="1245"/>
      <c r="I9075" s="1245"/>
    </row>
    <row r="9076" spans="8:9">
      <c r="H9076" s="1245"/>
      <c r="I9076" s="1245"/>
    </row>
    <row r="9077" spans="8:9">
      <c r="H9077" s="1245"/>
      <c r="I9077" s="1245"/>
    </row>
    <row r="9078" spans="8:9">
      <c r="H9078" s="1245"/>
      <c r="I9078" s="1245"/>
    </row>
    <row r="9079" spans="8:9">
      <c r="H9079" s="1245"/>
      <c r="I9079" s="1245"/>
    </row>
    <row r="9080" spans="8:9">
      <c r="H9080" s="1245"/>
      <c r="I9080" s="1245"/>
    </row>
    <row r="9081" spans="8:9">
      <c r="H9081" s="1245"/>
      <c r="I9081" s="1245"/>
    </row>
    <row r="9082" spans="8:9">
      <c r="H9082" s="1245"/>
      <c r="I9082" s="1245"/>
    </row>
    <row r="9083" spans="8:9">
      <c r="H9083" s="1245"/>
      <c r="I9083" s="1245"/>
    </row>
    <row r="9084" spans="8:9">
      <c r="H9084" s="1245"/>
      <c r="I9084" s="1245"/>
    </row>
    <row r="9085" spans="8:9">
      <c r="H9085" s="1245"/>
      <c r="I9085" s="1245"/>
    </row>
    <row r="9086" spans="8:9">
      <c r="H9086" s="1245"/>
      <c r="I9086" s="1245"/>
    </row>
    <row r="9087" spans="8:9">
      <c r="H9087" s="1245"/>
      <c r="I9087" s="1245"/>
    </row>
    <row r="9088" spans="8:9">
      <c r="H9088" s="1245"/>
      <c r="I9088" s="1245"/>
    </row>
    <row r="9089" spans="8:9">
      <c r="H9089" s="1245"/>
      <c r="I9089" s="1245"/>
    </row>
    <row r="9090" spans="8:9">
      <c r="H9090" s="1245"/>
      <c r="I9090" s="1245"/>
    </row>
    <row r="9091" spans="8:9">
      <c r="H9091" s="1245"/>
      <c r="I9091" s="1245"/>
    </row>
    <row r="9092" spans="8:9">
      <c r="H9092" s="1245"/>
      <c r="I9092" s="1245"/>
    </row>
    <row r="9093" spans="8:9">
      <c r="H9093" s="1245"/>
      <c r="I9093" s="1245"/>
    </row>
    <row r="9094" spans="8:9">
      <c r="H9094" s="1245"/>
      <c r="I9094" s="1245"/>
    </row>
    <row r="9095" spans="8:9">
      <c r="H9095" s="1245"/>
      <c r="I9095" s="1245"/>
    </row>
    <row r="9096" spans="8:9">
      <c r="H9096" s="1245"/>
      <c r="I9096" s="1245"/>
    </row>
    <row r="9097" spans="8:9">
      <c r="H9097" s="1245"/>
      <c r="I9097" s="1245"/>
    </row>
    <row r="9098" spans="8:9">
      <c r="H9098" s="1245"/>
      <c r="I9098" s="1245"/>
    </row>
    <row r="9099" spans="8:9">
      <c r="H9099" s="1245"/>
      <c r="I9099" s="1245"/>
    </row>
    <row r="9100" spans="8:9">
      <c r="H9100" s="1245"/>
      <c r="I9100" s="1245"/>
    </row>
    <row r="9101" spans="8:9">
      <c r="H9101" s="1245"/>
      <c r="I9101" s="1245"/>
    </row>
    <row r="9102" spans="8:9">
      <c r="H9102" s="1245"/>
      <c r="I9102" s="1245"/>
    </row>
    <row r="9103" spans="8:9">
      <c r="H9103" s="1245"/>
      <c r="I9103" s="1245"/>
    </row>
    <row r="9104" spans="8:9">
      <c r="H9104" s="1245"/>
      <c r="I9104" s="1245"/>
    </row>
    <row r="9105" spans="8:9">
      <c r="H9105" s="1245"/>
      <c r="I9105" s="1245"/>
    </row>
    <row r="9106" spans="8:9">
      <c r="H9106" s="1245"/>
      <c r="I9106" s="1245"/>
    </row>
    <row r="9107" spans="8:9">
      <c r="H9107" s="1245"/>
      <c r="I9107" s="1245"/>
    </row>
    <row r="9108" spans="8:9">
      <c r="H9108" s="1245"/>
      <c r="I9108" s="1245"/>
    </row>
    <row r="9109" spans="8:9">
      <c r="H9109" s="1245"/>
      <c r="I9109" s="1245"/>
    </row>
    <row r="9110" spans="8:9">
      <c r="H9110" s="1245"/>
      <c r="I9110" s="1245"/>
    </row>
    <row r="9111" spans="8:9">
      <c r="H9111" s="1245"/>
      <c r="I9111" s="1245"/>
    </row>
    <row r="9112" spans="8:9">
      <c r="H9112" s="1245"/>
      <c r="I9112" s="1245"/>
    </row>
    <row r="9113" spans="8:9">
      <c r="H9113" s="1245"/>
      <c r="I9113" s="1245"/>
    </row>
    <row r="9114" spans="8:9">
      <c r="H9114" s="1245"/>
      <c r="I9114" s="1245"/>
    </row>
    <row r="9115" spans="8:9">
      <c r="H9115" s="1245"/>
      <c r="I9115" s="1245"/>
    </row>
    <row r="9116" spans="8:9">
      <c r="H9116" s="1245"/>
      <c r="I9116" s="1245"/>
    </row>
    <row r="9117" spans="8:9">
      <c r="H9117" s="1245"/>
      <c r="I9117" s="1245"/>
    </row>
    <row r="9118" spans="8:9">
      <c r="H9118" s="1245"/>
      <c r="I9118" s="1245"/>
    </row>
    <row r="9119" spans="8:9">
      <c r="H9119" s="1245"/>
      <c r="I9119" s="1245"/>
    </row>
    <row r="9120" spans="8:9">
      <c r="H9120" s="1245"/>
      <c r="I9120" s="1245"/>
    </row>
    <row r="9121" spans="8:9">
      <c r="H9121" s="1245"/>
      <c r="I9121" s="1245"/>
    </row>
    <row r="9122" spans="8:9">
      <c r="H9122" s="1245"/>
      <c r="I9122" s="1245"/>
    </row>
    <row r="9123" spans="8:9">
      <c r="H9123" s="1245"/>
      <c r="I9123" s="1245"/>
    </row>
    <row r="9124" spans="8:9">
      <c r="H9124" s="1245"/>
      <c r="I9124" s="1245"/>
    </row>
    <row r="9125" spans="8:9">
      <c r="H9125" s="1245"/>
      <c r="I9125" s="1245"/>
    </row>
    <row r="9126" spans="8:9">
      <c r="H9126" s="1245"/>
      <c r="I9126" s="1245"/>
    </row>
    <row r="9127" spans="8:9">
      <c r="H9127" s="1245"/>
      <c r="I9127" s="1245"/>
    </row>
    <row r="9128" spans="8:9">
      <c r="H9128" s="1245"/>
      <c r="I9128" s="1245"/>
    </row>
    <row r="9129" spans="8:9">
      <c r="H9129" s="1245"/>
      <c r="I9129" s="1245"/>
    </row>
    <row r="9130" spans="8:9">
      <c r="H9130" s="1245"/>
      <c r="I9130" s="1245"/>
    </row>
    <row r="9131" spans="8:9">
      <c r="H9131" s="1245"/>
      <c r="I9131" s="1245"/>
    </row>
    <row r="9132" spans="8:9">
      <c r="H9132" s="1245"/>
      <c r="I9132" s="1245"/>
    </row>
    <row r="9133" spans="8:9">
      <c r="H9133" s="1245"/>
      <c r="I9133" s="1245"/>
    </row>
    <row r="9134" spans="8:9">
      <c r="H9134" s="1245"/>
      <c r="I9134" s="1245"/>
    </row>
    <row r="9135" spans="8:9">
      <c r="H9135" s="1245"/>
      <c r="I9135" s="1245"/>
    </row>
    <row r="9136" spans="8:9">
      <c r="H9136" s="1245"/>
      <c r="I9136" s="1245"/>
    </row>
    <row r="9137" spans="8:9">
      <c r="H9137" s="1245"/>
      <c r="I9137" s="1245"/>
    </row>
    <row r="9138" spans="8:9">
      <c r="H9138" s="1245"/>
      <c r="I9138" s="1245"/>
    </row>
    <row r="9139" spans="8:9">
      <c r="H9139" s="1245"/>
      <c r="I9139" s="1245"/>
    </row>
    <row r="9140" spans="8:9">
      <c r="H9140" s="1245"/>
      <c r="I9140" s="1245"/>
    </row>
    <row r="9141" spans="8:9">
      <c r="H9141" s="1245"/>
      <c r="I9141" s="1245"/>
    </row>
    <row r="9142" spans="8:9">
      <c r="H9142" s="1245"/>
      <c r="I9142" s="1245"/>
    </row>
    <row r="9143" spans="8:9">
      <c r="H9143" s="1245"/>
      <c r="I9143" s="1245"/>
    </row>
    <row r="9144" spans="8:9">
      <c r="H9144" s="1245"/>
      <c r="I9144" s="1245"/>
    </row>
    <row r="9145" spans="8:9">
      <c r="H9145" s="1245"/>
      <c r="I9145" s="1245"/>
    </row>
    <row r="9146" spans="8:9">
      <c r="H9146" s="1245"/>
      <c r="I9146" s="1245"/>
    </row>
    <row r="9147" spans="8:9">
      <c r="H9147" s="1245"/>
      <c r="I9147" s="1245"/>
    </row>
    <row r="9148" spans="8:9">
      <c r="H9148" s="1245"/>
      <c r="I9148" s="1245"/>
    </row>
    <row r="9149" spans="8:9">
      <c r="H9149" s="1245"/>
      <c r="I9149" s="1245"/>
    </row>
    <row r="9150" spans="8:9">
      <c r="H9150" s="1245"/>
      <c r="I9150" s="1245"/>
    </row>
    <row r="9151" spans="8:9">
      <c r="H9151" s="1245"/>
      <c r="I9151" s="1245"/>
    </row>
    <row r="9152" spans="8:9">
      <c r="H9152" s="1245"/>
      <c r="I9152" s="1245"/>
    </row>
    <row r="9153" spans="8:9">
      <c r="H9153" s="1245"/>
      <c r="I9153" s="1245"/>
    </row>
    <row r="9154" spans="8:9">
      <c r="H9154" s="1245"/>
      <c r="I9154" s="1245"/>
    </row>
    <row r="9155" spans="8:9">
      <c r="H9155" s="1245"/>
      <c r="I9155" s="1245"/>
    </row>
    <row r="9156" spans="8:9">
      <c r="H9156" s="1245"/>
      <c r="I9156" s="1245"/>
    </row>
    <row r="9157" spans="8:9">
      <c r="H9157" s="1245"/>
      <c r="I9157" s="1245"/>
    </row>
    <row r="9158" spans="8:9">
      <c r="H9158" s="1245"/>
      <c r="I9158" s="1245"/>
    </row>
    <row r="9159" spans="8:9">
      <c r="H9159" s="1245"/>
      <c r="I9159" s="1245"/>
    </row>
    <row r="9160" spans="8:9">
      <c r="H9160" s="1245"/>
      <c r="I9160" s="1245"/>
    </row>
    <row r="9161" spans="8:9">
      <c r="H9161" s="1245"/>
      <c r="I9161" s="1245"/>
    </row>
    <row r="9162" spans="8:9">
      <c r="H9162" s="1245"/>
      <c r="I9162" s="1245"/>
    </row>
    <row r="9163" spans="8:9">
      <c r="H9163" s="1245"/>
      <c r="I9163" s="1245"/>
    </row>
    <row r="9164" spans="8:9">
      <c r="H9164" s="1245"/>
      <c r="I9164" s="1245"/>
    </row>
    <row r="9165" spans="8:9">
      <c r="H9165" s="1245"/>
      <c r="I9165" s="1245"/>
    </row>
    <row r="9166" spans="8:9">
      <c r="H9166" s="1245"/>
      <c r="I9166" s="1245"/>
    </row>
    <row r="9167" spans="8:9">
      <c r="H9167" s="1245"/>
      <c r="I9167" s="1245"/>
    </row>
    <row r="9168" spans="8:9">
      <c r="H9168" s="1245"/>
      <c r="I9168" s="1245"/>
    </row>
    <row r="9169" spans="8:9">
      <c r="H9169" s="1245"/>
      <c r="I9169" s="1245"/>
    </row>
    <row r="9170" spans="8:9">
      <c r="H9170" s="1245"/>
      <c r="I9170" s="1245"/>
    </row>
    <row r="9171" spans="8:9">
      <c r="H9171" s="1245"/>
      <c r="I9171" s="1245"/>
    </row>
    <row r="9172" spans="8:9">
      <c r="H9172" s="1245"/>
      <c r="I9172" s="1245"/>
    </row>
    <row r="9173" spans="8:9">
      <c r="H9173" s="1245"/>
      <c r="I9173" s="1245"/>
    </row>
    <row r="9174" spans="8:9">
      <c r="H9174" s="1245"/>
      <c r="I9174" s="1245"/>
    </row>
    <row r="9175" spans="8:9">
      <c r="H9175" s="1245"/>
      <c r="I9175" s="1245"/>
    </row>
    <row r="9176" spans="8:9">
      <c r="H9176" s="1245"/>
      <c r="I9176" s="1245"/>
    </row>
    <row r="9177" spans="8:9">
      <c r="H9177" s="1245"/>
      <c r="I9177" s="1245"/>
    </row>
    <row r="9178" spans="8:9">
      <c r="H9178" s="1245"/>
      <c r="I9178" s="1245"/>
    </row>
    <row r="9179" spans="8:9">
      <c r="H9179" s="1245"/>
      <c r="I9179" s="1245"/>
    </row>
    <row r="9180" spans="8:9">
      <c r="H9180" s="1245"/>
      <c r="I9180" s="1245"/>
    </row>
    <row r="9181" spans="8:9">
      <c r="H9181" s="1245"/>
      <c r="I9181" s="1245"/>
    </row>
    <row r="9182" spans="8:9">
      <c r="H9182" s="1245"/>
      <c r="I9182" s="1245"/>
    </row>
    <row r="9183" spans="8:9">
      <c r="H9183" s="1245"/>
      <c r="I9183" s="1245"/>
    </row>
    <row r="9184" spans="8:9">
      <c r="H9184" s="1245"/>
      <c r="I9184" s="1245"/>
    </row>
    <row r="9185" spans="8:9">
      <c r="H9185" s="1245"/>
      <c r="I9185" s="1245"/>
    </row>
    <row r="9186" spans="8:9">
      <c r="H9186" s="1245"/>
      <c r="I9186" s="1245"/>
    </row>
    <row r="9187" spans="8:9">
      <c r="H9187" s="1245"/>
      <c r="I9187" s="1245"/>
    </row>
    <row r="9188" spans="8:9">
      <c r="H9188" s="1245"/>
      <c r="I9188" s="1245"/>
    </row>
    <row r="9189" spans="8:9">
      <c r="H9189" s="1245"/>
      <c r="I9189" s="1245"/>
    </row>
    <row r="9190" spans="8:9">
      <c r="H9190" s="1245"/>
      <c r="I9190" s="1245"/>
    </row>
    <row r="9191" spans="8:9">
      <c r="H9191" s="1245"/>
      <c r="I9191" s="1245"/>
    </row>
    <row r="9192" spans="8:9">
      <c r="H9192" s="1245"/>
      <c r="I9192" s="1245"/>
    </row>
    <row r="9193" spans="8:9">
      <c r="H9193" s="1245"/>
      <c r="I9193" s="1245"/>
    </row>
    <row r="9194" spans="8:9">
      <c r="H9194" s="1245"/>
      <c r="I9194" s="1245"/>
    </row>
    <row r="9195" spans="8:9">
      <c r="H9195" s="1245"/>
      <c r="I9195" s="1245"/>
    </row>
    <row r="9196" spans="8:9">
      <c r="H9196" s="1245"/>
      <c r="I9196" s="1245"/>
    </row>
    <row r="9197" spans="8:9">
      <c r="H9197" s="1245"/>
      <c r="I9197" s="1245"/>
    </row>
    <row r="9198" spans="8:9">
      <c r="H9198" s="1245"/>
      <c r="I9198" s="1245"/>
    </row>
    <row r="9199" spans="8:9">
      <c r="H9199" s="1245"/>
      <c r="I9199" s="1245"/>
    </row>
    <row r="9200" spans="8:9">
      <c r="H9200" s="1245"/>
      <c r="I9200" s="1245"/>
    </row>
    <row r="9201" spans="8:9">
      <c r="H9201" s="1245"/>
      <c r="I9201" s="1245"/>
    </row>
    <row r="9202" spans="8:9">
      <c r="H9202" s="1245"/>
      <c r="I9202" s="1245"/>
    </row>
    <row r="9203" spans="8:9">
      <c r="H9203" s="1245"/>
      <c r="I9203" s="1245"/>
    </row>
    <row r="9204" spans="8:9">
      <c r="H9204" s="1245"/>
      <c r="I9204" s="1245"/>
    </row>
    <row r="9205" spans="8:9">
      <c r="H9205" s="1245"/>
      <c r="I9205" s="1245"/>
    </row>
    <row r="9206" spans="8:9">
      <c r="H9206" s="1245"/>
      <c r="I9206" s="1245"/>
    </row>
    <row r="9207" spans="8:9">
      <c r="H9207" s="1245"/>
      <c r="I9207" s="1245"/>
    </row>
    <row r="9208" spans="8:9">
      <c r="H9208" s="1245"/>
      <c r="I9208" s="1245"/>
    </row>
    <row r="9209" spans="8:9">
      <c r="H9209" s="1245"/>
      <c r="I9209" s="1245"/>
    </row>
    <row r="9210" spans="8:9">
      <c r="H9210" s="1245"/>
      <c r="I9210" s="1245"/>
    </row>
    <row r="9211" spans="8:9">
      <c r="H9211" s="1245"/>
      <c r="I9211" s="1245"/>
    </row>
    <row r="9212" spans="8:9">
      <c r="H9212" s="1245"/>
      <c r="I9212" s="1245"/>
    </row>
    <row r="9213" spans="8:9">
      <c r="H9213" s="1245"/>
      <c r="I9213" s="1245"/>
    </row>
    <row r="9214" spans="8:9">
      <c r="H9214" s="1245"/>
      <c r="I9214" s="1245"/>
    </row>
    <row r="9215" spans="8:9">
      <c r="H9215" s="1245"/>
      <c r="I9215" s="1245"/>
    </row>
    <row r="9216" spans="8:9">
      <c r="H9216" s="1245"/>
      <c r="I9216" s="1245"/>
    </row>
    <row r="9217" spans="8:9">
      <c r="H9217" s="1245"/>
      <c r="I9217" s="1245"/>
    </row>
    <row r="9218" spans="8:9">
      <c r="H9218" s="1245"/>
      <c r="I9218" s="1245"/>
    </row>
    <row r="9219" spans="8:9">
      <c r="H9219" s="1245"/>
      <c r="I9219" s="1245"/>
    </row>
    <row r="9220" spans="8:9">
      <c r="H9220" s="1245"/>
      <c r="I9220" s="1245"/>
    </row>
    <row r="9221" spans="8:9">
      <c r="H9221" s="1245"/>
      <c r="I9221" s="1245"/>
    </row>
    <row r="9222" spans="8:9">
      <c r="H9222" s="1245"/>
      <c r="I9222" s="1245"/>
    </row>
    <row r="9223" spans="8:9">
      <c r="H9223" s="1245"/>
      <c r="I9223" s="1245"/>
    </row>
    <row r="9224" spans="8:9">
      <c r="H9224" s="1245"/>
      <c r="I9224" s="1245"/>
    </row>
    <row r="9225" spans="8:9">
      <c r="H9225" s="1245"/>
      <c r="I9225" s="1245"/>
    </row>
    <row r="9226" spans="8:9">
      <c r="H9226" s="1245"/>
      <c r="I9226" s="1245"/>
    </row>
    <row r="9227" spans="8:9">
      <c r="H9227" s="1245"/>
      <c r="I9227" s="1245"/>
    </row>
    <row r="9228" spans="8:9">
      <c r="H9228" s="1245"/>
      <c r="I9228" s="1245"/>
    </row>
    <row r="9229" spans="8:9">
      <c r="H9229" s="1245"/>
      <c r="I9229" s="1245"/>
    </row>
    <row r="9230" spans="8:9">
      <c r="H9230" s="1245"/>
      <c r="I9230" s="1245"/>
    </row>
    <row r="9231" spans="8:9">
      <c r="H9231" s="1245"/>
      <c r="I9231" s="1245"/>
    </row>
    <row r="9232" spans="8:9">
      <c r="H9232" s="1245"/>
      <c r="I9232" s="1245"/>
    </row>
    <row r="9233" spans="8:9">
      <c r="H9233" s="1245"/>
      <c r="I9233" s="1245"/>
    </row>
    <row r="9234" spans="8:9">
      <c r="H9234" s="1245"/>
      <c r="I9234" s="1245"/>
    </row>
    <row r="9235" spans="8:9">
      <c r="H9235" s="1245"/>
      <c r="I9235" s="1245"/>
    </row>
    <row r="9236" spans="8:9">
      <c r="H9236" s="1245"/>
      <c r="I9236" s="1245"/>
    </row>
    <row r="9237" spans="8:9">
      <c r="H9237" s="1245"/>
      <c r="I9237" s="1245"/>
    </row>
    <row r="9238" spans="8:9">
      <c r="H9238" s="1245"/>
      <c r="I9238" s="1245"/>
    </row>
    <row r="9239" spans="8:9">
      <c r="H9239" s="1245"/>
      <c r="I9239" s="1245"/>
    </row>
    <row r="9240" spans="8:9">
      <c r="H9240" s="1245"/>
      <c r="I9240" s="1245"/>
    </row>
    <row r="9241" spans="8:9">
      <c r="H9241" s="1245"/>
      <c r="I9241" s="1245"/>
    </row>
    <row r="9242" spans="8:9">
      <c r="H9242" s="1245"/>
      <c r="I9242" s="1245"/>
    </row>
    <row r="9243" spans="8:9">
      <c r="H9243" s="1245"/>
      <c r="I9243" s="1245"/>
    </row>
    <row r="9244" spans="8:9">
      <c r="H9244" s="1245"/>
      <c r="I9244" s="1245"/>
    </row>
    <row r="9245" spans="8:9">
      <c r="H9245" s="1245"/>
      <c r="I9245" s="1245"/>
    </row>
    <row r="9246" spans="8:9">
      <c r="H9246" s="1245"/>
      <c r="I9246" s="1245"/>
    </row>
    <row r="9247" spans="8:9">
      <c r="H9247" s="1245"/>
      <c r="I9247" s="1245"/>
    </row>
    <row r="9248" spans="8:9">
      <c r="H9248" s="1245"/>
      <c r="I9248" s="1245"/>
    </row>
    <row r="9249" spans="8:9">
      <c r="H9249" s="1245"/>
      <c r="I9249" s="1245"/>
    </row>
    <row r="9250" spans="8:9">
      <c r="H9250" s="1245"/>
      <c r="I9250" s="1245"/>
    </row>
    <row r="9251" spans="8:9">
      <c r="H9251" s="1245"/>
      <c r="I9251" s="1245"/>
    </row>
    <row r="9252" spans="8:9">
      <c r="H9252" s="1245"/>
      <c r="I9252" s="1245"/>
    </row>
    <row r="9253" spans="8:9">
      <c r="H9253" s="1245"/>
      <c r="I9253" s="1245"/>
    </row>
    <row r="9254" spans="8:9">
      <c r="H9254" s="1245"/>
      <c r="I9254" s="1245"/>
    </row>
    <row r="9255" spans="8:9">
      <c r="H9255" s="1245"/>
      <c r="I9255" s="1245"/>
    </row>
    <row r="9256" spans="8:9">
      <c r="H9256" s="1245"/>
      <c r="I9256" s="1245"/>
    </row>
    <row r="9257" spans="8:9">
      <c r="H9257" s="1245"/>
      <c r="I9257" s="1245"/>
    </row>
    <row r="9258" spans="8:9">
      <c r="H9258" s="1245"/>
      <c r="I9258" s="1245"/>
    </row>
    <row r="9259" spans="8:9">
      <c r="H9259" s="1245"/>
      <c r="I9259" s="1245"/>
    </row>
    <row r="9260" spans="8:9">
      <c r="H9260" s="1245"/>
      <c r="I9260" s="1245"/>
    </row>
    <row r="9261" spans="8:9">
      <c r="H9261" s="1245"/>
      <c r="I9261" s="1245"/>
    </row>
    <row r="9262" spans="8:9">
      <c r="H9262" s="1245"/>
      <c r="I9262" s="1245"/>
    </row>
    <row r="9263" spans="8:9">
      <c r="H9263" s="1245"/>
      <c r="I9263" s="1245"/>
    </row>
    <row r="9264" spans="8:9">
      <c r="H9264" s="1245"/>
      <c r="I9264" s="1245"/>
    </row>
    <row r="9265" spans="8:9">
      <c r="H9265" s="1245"/>
      <c r="I9265" s="1245"/>
    </row>
    <row r="9266" spans="8:9">
      <c r="H9266" s="1245"/>
      <c r="I9266" s="1245"/>
    </row>
    <row r="9267" spans="8:9">
      <c r="H9267" s="1245"/>
      <c r="I9267" s="1245"/>
    </row>
    <row r="9268" spans="8:9">
      <c r="H9268" s="1245"/>
      <c r="I9268" s="1245"/>
    </row>
    <row r="9269" spans="8:9">
      <c r="H9269" s="1245"/>
      <c r="I9269" s="1245"/>
    </row>
    <row r="9270" spans="8:9">
      <c r="H9270" s="1245"/>
      <c r="I9270" s="1245"/>
    </row>
    <row r="9271" spans="8:9">
      <c r="H9271" s="1245"/>
      <c r="I9271" s="1245"/>
    </row>
    <row r="9272" spans="8:9">
      <c r="H9272" s="1245"/>
      <c r="I9272" s="1245"/>
    </row>
    <row r="9273" spans="8:9">
      <c r="H9273" s="1245"/>
      <c r="I9273" s="1245"/>
    </row>
    <row r="9274" spans="8:9">
      <c r="H9274" s="1245"/>
      <c r="I9274" s="1245"/>
    </row>
    <row r="9275" spans="8:9">
      <c r="H9275" s="1245"/>
      <c r="I9275" s="1245"/>
    </row>
    <row r="9276" spans="8:9">
      <c r="H9276" s="1245"/>
      <c r="I9276" s="1245"/>
    </row>
    <row r="9277" spans="8:9">
      <c r="H9277" s="1245"/>
      <c r="I9277" s="1245"/>
    </row>
    <row r="9278" spans="8:9">
      <c r="H9278" s="1245"/>
      <c r="I9278" s="1245"/>
    </row>
    <row r="9279" spans="8:9">
      <c r="H9279" s="1245"/>
      <c r="I9279" s="1245"/>
    </row>
    <row r="9280" spans="8:9">
      <c r="H9280" s="1245"/>
      <c r="I9280" s="1245"/>
    </row>
    <row r="9281" spans="8:9">
      <c r="H9281" s="1245"/>
      <c r="I9281" s="1245"/>
    </row>
    <row r="9282" spans="8:9">
      <c r="H9282" s="1245"/>
      <c r="I9282" s="1245"/>
    </row>
    <row r="9283" spans="8:9">
      <c r="H9283" s="1245"/>
      <c r="I9283" s="1245"/>
    </row>
    <row r="9284" spans="8:9">
      <c r="H9284" s="1245"/>
      <c r="I9284" s="1245"/>
    </row>
    <row r="9285" spans="8:9">
      <c r="H9285" s="1245"/>
      <c r="I9285" s="1245"/>
    </row>
    <row r="9286" spans="8:9">
      <c r="H9286" s="1245"/>
      <c r="I9286" s="1245"/>
    </row>
    <row r="9287" spans="8:9">
      <c r="H9287" s="1245"/>
      <c r="I9287" s="1245"/>
    </row>
    <row r="9288" spans="8:9">
      <c r="H9288" s="1245"/>
      <c r="I9288" s="1245"/>
    </row>
    <row r="9289" spans="8:9">
      <c r="H9289" s="1245"/>
      <c r="I9289" s="1245"/>
    </row>
    <row r="9290" spans="8:9">
      <c r="H9290" s="1245"/>
      <c r="I9290" s="1245"/>
    </row>
    <row r="9291" spans="8:9">
      <c r="H9291" s="1245"/>
      <c r="I9291" s="1245"/>
    </row>
    <row r="9292" spans="8:9">
      <c r="H9292" s="1245"/>
      <c r="I9292" s="1245"/>
    </row>
    <row r="9293" spans="8:9">
      <c r="H9293" s="1245"/>
      <c r="I9293" s="1245"/>
    </row>
    <row r="9294" spans="8:9">
      <c r="H9294" s="1245"/>
      <c r="I9294" s="1245"/>
    </row>
    <row r="9295" spans="8:9">
      <c r="H9295" s="1245"/>
      <c r="I9295" s="1245"/>
    </row>
    <row r="9296" spans="8:9">
      <c r="H9296" s="1245"/>
      <c r="I9296" s="1245"/>
    </row>
    <row r="9297" spans="8:9">
      <c r="H9297" s="1245"/>
      <c r="I9297" s="1245"/>
    </row>
    <row r="9298" spans="8:9">
      <c r="H9298" s="1245"/>
      <c r="I9298" s="1245"/>
    </row>
    <row r="9299" spans="8:9">
      <c r="H9299" s="1245"/>
      <c r="I9299" s="1245"/>
    </row>
    <row r="9300" spans="8:9">
      <c r="H9300" s="1245"/>
      <c r="I9300" s="1245"/>
    </row>
    <row r="9301" spans="8:9">
      <c r="H9301" s="1245"/>
      <c r="I9301" s="1245"/>
    </row>
    <row r="9302" spans="8:9">
      <c r="H9302" s="1245"/>
      <c r="I9302" s="1245"/>
    </row>
    <row r="9303" spans="8:9">
      <c r="H9303" s="1245"/>
      <c r="I9303" s="1245"/>
    </row>
    <row r="9304" spans="8:9">
      <c r="H9304" s="1245"/>
      <c r="I9304" s="1245"/>
    </row>
    <row r="9305" spans="8:9">
      <c r="H9305" s="1245"/>
      <c r="I9305" s="1245"/>
    </row>
    <row r="9306" spans="8:9">
      <c r="H9306" s="1245"/>
      <c r="I9306" s="1245"/>
    </row>
    <row r="9307" spans="8:9">
      <c r="H9307" s="1245"/>
      <c r="I9307" s="1245"/>
    </row>
    <row r="9308" spans="8:9">
      <c r="H9308" s="1245"/>
      <c r="I9308" s="1245"/>
    </row>
    <row r="9309" spans="8:9">
      <c r="H9309" s="1245"/>
      <c r="I9309" s="1245"/>
    </row>
    <row r="9310" spans="8:9">
      <c r="H9310" s="1245"/>
      <c r="I9310" s="1245"/>
    </row>
    <row r="9311" spans="8:9">
      <c r="H9311" s="1245"/>
      <c r="I9311" s="1245"/>
    </row>
    <row r="9312" spans="8:9">
      <c r="H9312" s="1245"/>
      <c r="I9312" s="1245"/>
    </row>
    <row r="9313" spans="8:9">
      <c r="H9313" s="1245"/>
      <c r="I9313" s="1245"/>
    </row>
    <row r="9314" spans="8:9">
      <c r="H9314" s="1245"/>
      <c r="I9314" s="1245"/>
    </row>
    <row r="9315" spans="8:9">
      <c r="H9315" s="1245"/>
      <c r="I9315" s="1245"/>
    </row>
    <row r="9316" spans="8:9">
      <c r="H9316" s="1245"/>
      <c r="I9316" s="1245"/>
    </row>
    <row r="9317" spans="8:9">
      <c r="H9317" s="1245"/>
      <c r="I9317" s="1245"/>
    </row>
    <row r="9318" spans="8:9">
      <c r="H9318" s="1245"/>
      <c r="I9318" s="1245"/>
    </row>
    <row r="9319" spans="8:9">
      <c r="H9319" s="1245"/>
      <c r="I9319" s="1245"/>
    </row>
    <row r="9320" spans="8:9">
      <c r="H9320" s="1245"/>
      <c r="I9320" s="1245"/>
    </row>
    <row r="9321" spans="8:9">
      <c r="H9321" s="1245"/>
      <c r="I9321" s="1245"/>
    </row>
    <row r="9322" spans="8:9">
      <c r="H9322" s="1245"/>
      <c r="I9322" s="1245"/>
    </row>
    <row r="9323" spans="8:9">
      <c r="H9323" s="1245"/>
      <c r="I9323" s="1245"/>
    </row>
    <row r="9324" spans="8:9">
      <c r="H9324" s="1245"/>
      <c r="I9324" s="1245"/>
    </row>
    <row r="9325" spans="8:9">
      <c r="H9325" s="1245"/>
      <c r="I9325" s="1245"/>
    </row>
    <row r="9326" spans="8:9">
      <c r="H9326" s="1245"/>
      <c r="I9326" s="1245"/>
    </row>
    <row r="9327" spans="8:9">
      <c r="H9327" s="1245"/>
      <c r="I9327" s="1245"/>
    </row>
    <row r="9328" spans="8:9">
      <c r="H9328" s="1245"/>
      <c r="I9328" s="1245"/>
    </row>
    <row r="9329" spans="8:9">
      <c r="H9329" s="1245"/>
      <c r="I9329" s="1245"/>
    </row>
    <row r="9330" spans="8:9">
      <c r="H9330" s="1245"/>
      <c r="I9330" s="1245"/>
    </row>
    <row r="9331" spans="8:9">
      <c r="H9331" s="1245"/>
      <c r="I9331" s="1245"/>
    </row>
    <row r="9332" spans="8:9">
      <c r="H9332" s="1245"/>
      <c r="I9332" s="1245"/>
    </row>
    <row r="9333" spans="8:9">
      <c r="H9333" s="1245"/>
      <c r="I9333" s="1245"/>
    </row>
    <row r="9334" spans="8:9">
      <c r="H9334" s="1245"/>
      <c r="I9334" s="1245"/>
    </row>
    <row r="9335" spans="8:9">
      <c r="H9335" s="1245"/>
      <c r="I9335" s="1245"/>
    </row>
    <row r="9336" spans="8:9">
      <c r="H9336" s="1245"/>
      <c r="I9336" s="1245"/>
    </row>
    <row r="9337" spans="8:9">
      <c r="H9337" s="1245"/>
      <c r="I9337" s="1245"/>
    </row>
    <row r="9338" spans="8:9">
      <c r="H9338" s="1245"/>
      <c r="I9338" s="1245"/>
    </row>
    <row r="9339" spans="8:9">
      <c r="H9339" s="1245"/>
      <c r="I9339" s="1245"/>
    </row>
    <row r="9340" spans="8:9">
      <c r="H9340" s="1245"/>
      <c r="I9340" s="1245"/>
    </row>
    <row r="9341" spans="8:9">
      <c r="H9341" s="1245"/>
      <c r="I9341" s="1245"/>
    </row>
    <row r="9342" spans="8:9">
      <c r="H9342" s="1245"/>
      <c r="I9342" s="1245"/>
    </row>
    <row r="9343" spans="8:9">
      <c r="H9343" s="1245"/>
      <c r="I9343" s="1245"/>
    </row>
    <row r="9344" spans="8:9">
      <c r="H9344" s="1245"/>
      <c r="I9344" s="1245"/>
    </row>
    <row r="9345" spans="8:9">
      <c r="H9345" s="1245"/>
      <c r="I9345" s="1245"/>
    </row>
    <row r="9346" spans="8:9">
      <c r="H9346" s="1245"/>
      <c r="I9346" s="1245"/>
    </row>
    <row r="9347" spans="8:9">
      <c r="H9347" s="1245"/>
      <c r="I9347" s="1245"/>
    </row>
    <row r="9348" spans="8:9">
      <c r="H9348" s="1245"/>
      <c r="I9348" s="1245"/>
    </row>
    <row r="9349" spans="8:9">
      <c r="H9349" s="1245"/>
      <c r="I9349" s="1245"/>
    </row>
    <row r="9350" spans="8:9">
      <c r="H9350" s="1245"/>
      <c r="I9350" s="1245"/>
    </row>
    <row r="9351" spans="8:9">
      <c r="H9351" s="1245"/>
      <c r="I9351" s="1245"/>
    </row>
    <row r="9352" spans="8:9">
      <c r="H9352" s="1245"/>
      <c r="I9352" s="1245"/>
    </row>
    <row r="9353" spans="8:9">
      <c r="H9353" s="1245"/>
      <c r="I9353" s="1245"/>
    </row>
    <row r="9354" spans="8:9">
      <c r="H9354" s="1245"/>
      <c r="I9354" s="1245"/>
    </row>
    <row r="9355" spans="8:9">
      <c r="H9355" s="1245"/>
      <c r="I9355" s="1245"/>
    </row>
    <row r="9356" spans="8:9">
      <c r="H9356" s="1245"/>
      <c r="I9356" s="1245"/>
    </row>
    <row r="9357" spans="8:9">
      <c r="H9357" s="1245"/>
      <c r="I9357" s="1245"/>
    </row>
    <row r="9358" spans="8:9">
      <c r="H9358" s="1245"/>
      <c r="I9358" s="1245"/>
    </row>
    <row r="9359" spans="8:9">
      <c r="H9359" s="1245"/>
      <c r="I9359" s="1245"/>
    </row>
    <row r="9360" spans="8:9">
      <c r="H9360" s="1245"/>
      <c r="I9360" s="1245"/>
    </row>
    <row r="9361" spans="8:9">
      <c r="H9361" s="1245"/>
      <c r="I9361" s="1245"/>
    </row>
    <row r="9362" spans="8:9">
      <c r="H9362" s="1245"/>
      <c r="I9362" s="1245"/>
    </row>
    <row r="9363" spans="8:9">
      <c r="H9363" s="1245"/>
      <c r="I9363" s="1245"/>
    </row>
    <row r="9364" spans="8:9">
      <c r="H9364" s="1245"/>
      <c r="I9364" s="1245"/>
    </row>
    <row r="9365" spans="8:9">
      <c r="H9365" s="1245"/>
      <c r="I9365" s="1245"/>
    </row>
    <row r="9366" spans="8:9">
      <c r="H9366" s="1245"/>
      <c r="I9366" s="1245"/>
    </row>
    <row r="9367" spans="8:9">
      <c r="H9367" s="1245"/>
      <c r="I9367" s="1245"/>
    </row>
    <row r="9368" spans="8:9">
      <c r="H9368" s="1245"/>
      <c r="I9368" s="1245"/>
    </row>
    <row r="9369" spans="8:9">
      <c r="H9369" s="1245"/>
      <c r="I9369" s="1245"/>
    </row>
    <row r="9370" spans="8:9">
      <c r="H9370" s="1245"/>
      <c r="I9370" s="1245"/>
    </row>
    <row r="9371" spans="8:9">
      <c r="H9371" s="1245"/>
      <c r="I9371" s="1245"/>
    </row>
    <row r="9372" spans="8:9">
      <c r="H9372" s="1245"/>
      <c r="I9372" s="1245"/>
    </row>
    <row r="9373" spans="8:9">
      <c r="H9373" s="1245"/>
      <c r="I9373" s="1245"/>
    </row>
    <row r="9374" spans="8:9">
      <c r="H9374" s="1245"/>
      <c r="I9374" s="1245"/>
    </row>
    <row r="9375" spans="8:9">
      <c r="H9375" s="1245"/>
      <c r="I9375" s="1245"/>
    </row>
    <row r="9376" spans="8:9">
      <c r="H9376" s="1245"/>
      <c r="I9376" s="1245"/>
    </row>
    <row r="9377" spans="8:9">
      <c r="H9377" s="1245"/>
      <c r="I9377" s="1245"/>
    </row>
    <row r="9378" spans="8:9">
      <c r="H9378" s="1245"/>
      <c r="I9378" s="1245"/>
    </row>
    <row r="9379" spans="8:9">
      <c r="H9379" s="1245"/>
      <c r="I9379" s="1245"/>
    </row>
    <row r="9380" spans="8:9">
      <c r="H9380" s="1245"/>
      <c r="I9380" s="1245"/>
    </row>
    <row r="9381" spans="8:9">
      <c r="H9381" s="1245"/>
      <c r="I9381" s="1245"/>
    </row>
    <row r="9382" spans="8:9">
      <c r="H9382" s="1245"/>
      <c r="I9382" s="1245"/>
    </row>
    <row r="9383" spans="8:9">
      <c r="H9383" s="1245"/>
      <c r="I9383" s="1245"/>
    </row>
    <row r="9384" spans="8:9">
      <c r="H9384" s="1245"/>
      <c r="I9384" s="1245"/>
    </row>
    <row r="9385" spans="8:9">
      <c r="H9385" s="1245"/>
      <c r="I9385" s="1245"/>
    </row>
    <row r="9386" spans="8:9">
      <c r="H9386" s="1245"/>
      <c r="I9386" s="1245"/>
    </row>
    <row r="9387" spans="8:9">
      <c r="H9387" s="1245"/>
      <c r="I9387" s="1245"/>
    </row>
    <row r="9388" spans="8:9">
      <c r="H9388" s="1245"/>
      <c r="I9388" s="1245"/>
    </row>
    <row r="9389" spans="8:9">
      <c r="H9389" s="1245"/>
      <c r="I9389" s="1245"/>
    </row>
    <row r="9390" spans="8:9">
      <c r="H9390" s="1245"/>
      <c r="I9390" s="1245"/>
    </row>
    <row r="9391" spans="8:9">
      <c r="H9391" s="1245"/>
      <c r="I9391" s="1245"/>
    </row>
    <row r="9392" spans="8:9">
      <c r="H9392" s="1245"/>
      <c r="I9392" s="1245"/>
    </row>
    <row r="9393" spans="8:9">
      <c r="H9393" s="1245"/>
      <c r="I9393" s="1245"/>
    </row>
    <row r="9394" spans="8:9">
      <c r="H9394" s="1245"/>
      <c r="I9394" s="1245"/>
    </row>
    <row r="9395" spans="8:9">
      <c r="H9395" s="1245"/>
      <c r="I9395" s="1245"/>
    </row>
    <row r="9396" spans="8:9">
      <c r="H9396" s="1245"/>
      <c r="I9396" s="1245"/>
    </row>
    <row r="9397" spans="8:9">
      <c r="H9397" s="1245"/>
      <c r="I9397" s="1245"/>
    </row>
    <row r="9398" spans="8:9">
      <c r="H9398" s="1245"/>
      <c r="I9398" s="1245"/>
    </row>
    <row r="9399" spans="8:9">
      <c r="H9399" s="1245"/>
      <c r="I9399" s="1245"/>
    </row>
    <row r="9400" spans="8:9">
      <c r="H9400" s="1245"/>
      <c r="I9400" s="1245"/>
    </row>
    <row r="9401" spans="8:9">
      <c r="H9401" s="1245"/>
      <c r="I9401" s="1245"/>
    </row>
    <row r="9402" spans="8:9">
      <c r="H9402" s="1245"/>
      <c r="I9402" s="1245"/>
    </row>
    <row r="9403" spans="8:9">
      <c r="H9403" s="1245"/>
      <c r="I9403" s="1245"/>
    </row>
    <row r="9404" spans="8:9">
      <c r="H9404" s="1245"/>
      <c r="I9404" s="1245"/>
    </row>
    <row r="9405" spans="8:9">
      <c r="H9405" s="1245"/>
      <c r="I9405" s="1245"/>
    </row>
    <row r="9406" spans="8:9">
      <c r="H9406" s="1245"/>
      <c r="I9406" s="1245"/>
    </row>
    <row r="9407" spans="8:9">
      <c r="H9407" s="1245"/>
      <c r="I9407" s="1245"/>
    </row>
    <row r="9408" spans="8:9">
      <c r="H9408" s="1245"/>
      <c r="I9408" s="1245"/>
    </row>
    <row r="9409" spans="8:9">
      <c r="H9409" s="1245"/>
      <c r="I9409" s="1245"/>
    </row>
    <row r="9410" spans="8:9">
      <c r="H9410" s="1245"/>
      <c r="I9410" s="1245"/>
    </row>
    <row r="9411" spans="8:9">
      <c r="H9411" s="1245"/>
      <c r="I9411" s="1245"/>
    </row>
    <row r="9412" spans="8:9">
      <c r="H9412" s="1245"/>
      <c r="I9412" s="1245"/>
    </row>
    <row r="9413" spans="8:9">
      <c r="H9413" s="1245"/>
      <c r="I9413" s="1245"/>
    </row>
    <row r="9414" spans="8:9">
      <c r="H9414" s="1245"/>
      <c r="I9414" s="1245"/>
    </row>
    <row r="9415" spans="8:9">
      <c r="H9415" s="1245"/>
      <c r="I9415" s="1245"/>
    </row>
    <row r="9416" spans="8:9">
      <c r="H9416" s="1245"/>
      <c r="I9416" s="1245"/>
    </row>
    <row r="9417" spans="8:9">
      <c r="H9417" s="1245"/>
      <c r="I9417" s="1245"/>
    </row>
    <row r="9418" spans="8:9">
      <c r="H9418" s="1245"/>
      <c r="I9418" s="1245"/>
    </row>
    <row r="9419" spans="8:9">
      <c r="H9419" s="1245"/>
      <c r="I9419" s="1245"/>
    </row>
    <row r="9420" spans="8:9">
      <c r="H9420" s="1245"/>
      <c r="I9420" s="1245"/>
    </row>
    <row r="9421" spans="8:9">
      <c r="H9421" s="1245"/>
      <c r="I9421" s="1245"/>
    </row>
    <row r="9422" spans="8:9">
      <c r="H9422" s="1245"/>
      <c r="I9422" s="1245"/>
    </row>
    <row r="9423" spans="8:9">
      <c r="H9423" s="1245"/>
      <c r="I9423" s="1245"/>
    </row>
    <row r="9424" spans="8:9">
      <c r="H9424" s="1245"/>
      <c r="I9424" s="1245"/>
    </row>
    <row r="9425" spans="8:9">
      <c r="H9425" s="1245"/>
      <c r="I9425" s="1245"/>
    </row>
    <row r="9426" spans="8:9">
      <c r="H9426" s="1245"/>
      <c r="I9426" s="1245"/>
    </row>
    <row r="9427" spans="8:9">
      <c r="H9427" s="1245"/>
      <c r="I9427" s="1245"/>
    </row>
    <row r="9428" spans="8:9">
      <c r="H9428" s="1245"/>
      <c r="I9428" s="1245"/>
    </row>
    <row r="9429" spans="8:9">
      <c r="H9429" s="1245"/>
      <c r="I9429" s="1245"/>
    </row>
    <row r="9430" spans="8:9">
      <c r="H9430" s="1245"/>
      <c r="I9430" s="1245"/>
    </row>
    <row r="9431" spans="8:9">
      <c r="H9431" s="1245"/>
      <c r="I9431" s="1245"/>
    </row>
    <row r="9432" spans="8:9">
      <c r="H9432" s="1245"/>
      <c r="I9432" s="1245"/>
    </row>
    <row r="9433" spans="8:9">
      <c r="H9433" s="1245"/>
      <c r="I9433" s="1245"/>
    </row>
    <row r="9434" spans="8:9">
      <c r="H9434" s="1245"/>
      <c r="I9434" s="1245"/>
    </row>
    <row r="9435" spans="8:9">
      <c r="H9435" s="1245"/>
      <c r="I9435" s="1245"/>
    </row>
    <row r="9436" spans="8:9">
      <c r="H9436" s="1245"/>
      <c r="I9436" s="1245"/>
    </row>
    <row r="9437" spans="8:9">
      <c r="H9437" s="1245"/>
      <c r="I9437" s="1245"/>
    </row>
    <row r="9438" spans="8:9">
      <c r="H9438" s="1245"/>
      <c r="I9438" s="1245"/>
    </row>
    <row r="9439" spans="8:9">
      <c r="H9439" s="1245"/>
      <c r="I9439" s="1245"/>
    </row>
    <row r="9440" spans="8:9">
      <c r="H9440" s="1245"/>
      <c r="I9440" s="1245"/>
    </row>
    <row r="9441" spans="8:9">
      <c r="H9441" s="1245"/>
      <c r="I9441" s="1245"/>
    </row>
    <row r="9442" spans="8:9">
      <c r="H9442" s="1245"/>
      <c r="I9442" s="1245"/>
    </row>
    <row r="9443" spans="8:9">
      <c r="H9443" s="1245"/>
      <c r="I9443" s="1245"/>
    </row>
    <row r="9444" spans="8:9">
      <c r="H9444" s="1245"/>
      <c r="I9444" s="1245"/>
    </row>
    <row r="9445" spans="8:9">
      <c r="H9445" s="1245"/>
      <c r="I9445" s="1245"/>
    </row>
    <row r="9446" spans="8:9">
      <c r="H9446" s="1245"/>
      <c r="I9446" s="1245"/>
    </row>
    <row r="9447" spans="8:9">
      <c r="H9447" s="1245"/>
      <c r="I9447" s="1245"/>
    </row>
    <row r="9448" spans="8:9">
      <c r="H9448" s="1245"/>
      <c r="I9448" s="1245"/>
    </row>
    <row r="9449" spans="8:9">
      <c r="H9449" s="1245"/>
      <c r="I9449" s="1245"/>
    </row>
    <row r="9450" spans="8:9">
      <c r="H9450" s="1245"/>
      <c r="I9450" s="1245"/>
    </row>
    <row r="9451" spans="8:9">
      <c r="H9451" s="1245"/>
      <c r="I9451" s="1245"/>
    </row>
    <row r="9452" spans="8:9">
      <c r="H9452" s="1245"/>
      <c r="I9452" s="1245"/>
    </row>
    <row r="9453" spans="8:9">
      <c r="H9453" s="1245"/>
      <c r="I9453" s="1245"/>
    </row>
    <row r="9454" spans="8:9">
      <c r="H9454" s="1245"/>
      <c r="I9454" s="1245"/>
    </row>
    <row r="9455" spans="8:9">
      <c r="H9455" s="1245"/>
      <c r="I9455" s="1245"/>
    </row>
    <row r="9456" spans="8:9">
      <c r="H9456" s="1245"/>
      <c r="I9456" s="1245"/>
    </row>
    <row r="9457" spans="8:9">
      <c r="H9457" s="1245"/>
      <c r="I9457" s="1245"/>
    </row>
    <row r="9458" spans="8:9">
      <c r="H9458" s="1245"/>
      <c r="I9458" s="1245"/>
    </row>
    <row r="9459" spans="8:9">
      <c r="H9459" s="1245"/>
      <c r="I9459" s="1245"/>
    </row>
    <row r="9460" spans="8:9">
      <c r="H9460" s="1245"/>
      <c r="I9460" s="1245"/>
    </row>
    <row r="9461" spans="8:9">
      <c r="H9461" s="1245"/>
      <c r="I9461" s="1245"/>
    </row>
    <row r="9462" spans="8:9">
      <c r="H9462" s="1245"/>
      <c r="I9462" s="1245"/>
    </row>
    <row r="9463" spans="8:9">
      <c r="H9463" s="1245"/>
      <c r="I9463" s="1245"/>
    </row>
    <row r="9464" spans="8:9">
      <c r="H9464" s="1245"/>
      <c r="I9464" s="1245"/>
    </row>
    <row r="9465" spans="8:9">
      <c r="H9465" s="1245"/>
      <c r="I9465" s="1245"/>
    </row>
    <row r="9466" spans="8:9">
      <c r="H9466" s="1245"/>
      <c r="I9466" s="1245"/>
    </row>
    <row r="9467" spans="8:9">
      <c r="H9467" s="1245"/>
      <c r="I9467" s="1245"/>
    </row>
    <row r="9468" spans="8:9">
      <c r="H9468" s="1245"/>
      <c r="I9468" s="1245"/>
    </row>
    <row r="9469" spans="8:9">
      <c r="H9469" s="1245"/>
      <c r="I9469" s="1245"/>
    </row>
    <row r="9470" spans="8:9">
      <c r="H9470" s="1245"/>
      <c r="I9470" s="1245"/>
    </row>
    <row r="9471" spans="8:9">
      <c r="H9471" s="1245"/>
      <c r="I9471" s="1245"/>
    </row>
    <row r="9472" spans="8:9">
      <c r="H9472" s="1245"/>
      <c r="I9472" s="1245"/>
    </row>
    <row r="9473" spans="8:9">
      <c r="H9473" s="1245"/>
      <c r="I9473" s="1245"/>
    </row>
    <row r="9474" spans="8:9">
      <c r="H9474" s="1245"/>
      <c r="I9474" s="1245"/>
    </row>
    <row r="9475" spans="8:9">
      <c r="H9475" s="1245"/>
      <c r="I9475" s="1245"/>
    </row>
    <row r="9476" spans="8:9">
      <c r="H9476" s="1245"/>
      <c r="I9476" s="1245"/>
    </row>
    <row r="9477" spans="8:9">
      <c r="H9477" s="1245"/>
      <c r="I9477" s="1245"/>
    </row>
    <row r="9478" spans="8:9">
      <c r="H9478" s="1245"/>
      <c r="I9478" s="1245"/>
    </row>
    <row r="9479" spans="8:9">
      <c r="H9479" s="1245"/>
      <c r="I9479" s="1245"/>
    </row>
    <row r="9480" spans="8:9">
      <c r="H9480" s="1245"/>
      <c r="I9480" s="1245"/>
    </row>
    <row r="9481" spans="8:9">
      <c r="H9481" s="1245"/>
      <c r="I9481" s="1245"/>
    </row>
    <row r="9482" spans="8:9">
      <c r="H9482" s="1245"/>
      <c r="I9482" s="1245"/>
    </row>
    <row r="9483" spans="8:9">
      <c r="H9483" s="1245"/>
      <c r="I9483" s="1245"/>
    </row>
    <row r="9484" spans="8:9">
      <c r="H9484" s="1245"/>
      <c r="I9484" s="1245"/>
    </row>
    <row r="9485" spans="8:9">
      <c r="H9485" s="1245"/>
      <c r="I9485" s="1245"/>
    </row>
    <row r="9486" spans="8:9">
      <c r="H9486" s="1245"/>
      <c r="I9486" s="1245"/>
    </row>
    <row r="9487" spans="8:9">
      <c r="H9487" s="1245"/>
      <c r="I9487" s="1245"/>
    </row>
    <row r="9488" spans="8:9">
      <c r="H9488" s="1245"/>
      <c r="I9488" s="1245"/>
    </row>
    <row r="9489" spans="8:9">
      <c r="H9489" s="1245"/>
      <c r="I9489" s="1245"/>
    </row>
    <row r="9490" spans="8:9">
      <c r="H9490" s="1245"/>
      <c r="I9490" s="1245"/>
    </row>
    <row r="9491" spans="8:9">
      <c r="H9491" s="1245"/>
      <c r="I9491" s="1245"/>
    </row>
    <row r="9492" spans="8:9">
      <c r="H9492" s="1245"/>
      <c r="I9492" s="1245"/>
    </row>
    <row r="9493" spans="8:9">
      <c r="H9493" s="1245"/>
      <c r="I9493" s="1245"/>
    </row>
    <row r="9494" spans="8:9">
      <c r="H9494" s="1245"/>
      <c r="I9494" s="1245"/>
    </row>
    <row r="9495" spans="8:9">
      <c r="H9495" s="1245"/>
      <c r="I9495" s="1245"/>
    </row>
    <row r="9496" spans="8:9">
      <c r="H9496" s="1245"/>
      <c r="I9496" s="1245"/>
    </row>
    <row r="9497" spans="8:9">
      <c r="H9497" s="1245"/>
      <c r="I9497" s="1245"/>
    </row>
    <row r="9498" spans="8:9">
      <c r="H9498" s="1245"/>
      <c r="I9498" s="1245"/>
    </row>
    <row r="9499" spans="8:9">
      <c r="H9499" s="1245"/>
      <c r="I9499" s="1245"/>
    </row>
    <row r="9500" spans="8:9">
      <c r="H9500" s="1245"/>
      <c r="I9500" s="1245"/>
    </row>
    <row r="9501" spans="8:9">
      <c r="H9501" s="1245"/>
      <c r="I9501" s="1245"/>
    </row>
    <row r="9502" spans="8:9">
      <c r="H9502" s="1245"/>
      <c r="I9502" s="1245"/>
    </row>
    <row r="9503" spans="8:9">
      <c r="H9503" s="1245"/>
      <c r="I9503" s="1245"/>
    </row>
    <row r="9504" spans="8:9">
      <c r="H9504" s="1245"/>
      <c r="I9504" s="1245"/>
    </row>
    <row r="9505" spans="8:9">
      <c r="H9505" s="1245"/>
      <c r="I9505" s="1245"/>
    </row>
    <row r="9506" spans="8:9">
      <c r="H9506" s="1245"/>
      <c r="I9506" s="1245"/>
    </row>
    <row r="9507" spans="8:9">
      <c r="H9507" s="1245"/>
      <c r="I9507" s="1245"/>
    </row>
    <row r="9508" spans="8:9">
      <c r="H9508" s="1245"/>
      <c r="I9508" s="1245"/>
    </row>
    <row r="9509" spans="8:9">
      <c r="H9509" s="1245"/>
      <c r="I9509" s="1245"/>
    </row>
    <row r="9510" spans="8:9">
      <c r="H9510" s="1245"/>
      <c r="I9510" s="1245"/>
    </row>
    <row r="9511" spans="8:9">
      <c r="H9511" s="1245"/>
      <c r="I9511" s="1245"/>
    </row>
    <row r="9512" spans="8:9">
      <c r="H9512" s="1245"/>
      <c r="I9512" s="1245"/>
    </row>
    <row r="9513" spans="8:9">
      <c r="H9513" s="1245"/>
      <c r="I9513" s="1245"/>
    </row>
    <row r="9514" spans="8:9">
      <c r="H9514" s="1245"/>
      <c r="I9514" s="1245"/>
    </row>
    <row r="9515" spans="8:9">
      <c r="H9515" s="1245"/>
      <c r="I9515" s="1245"/>
    </row>
    <row r="9516" spans="8:9">
      <c r="H9516" s="1245"/>
      <c r="I9516" s="1245"/>
    </row>
    <row r="9517" spans="8:9">
      <c r="H9517" s="1245"/>
      <c r="I9517" s="1245"/>
    </row>
    <row r="9518" spans="8:9">
      <c r="H9518" s="1245"/>
      <c r="I9518" s="1245"/>
    </row>
    <row r="9519" spans="8:9">
      <c r="H9519" s="1245"/>
      <c r="I9519" s="1245"/>
    </row>
    <row r="9520" spans="8:9">
      <c r="H9520" s="1245"/>
      <c r="I9520" s="1245"/>
    </row>
    <row r="9521" spans="8:9">
      <c r="H9521" s="1245"/>
      <c r="I9521" s="1245"/>
    </row>
    <row r="9522" spans="8:9">
      <c r="H9522" s="1245"/>
      <c r="I9522" s="1245"/>
    </row>
    <row r="9523" spans="8:9">
      <c r="H9523" s="1245"/>
      <c r="I9523" s="1245"/>
    </row>
    <row r="9524" spans="8:9">
      <c r="H9524" s="1245"/>
      <c r="I9524" s="1245"/>
    </row>
    <row r="9525" spans="8:9">
      <c r="H9525" s="1245"/>
      <c r="I9525" s="1245"/>
    </row>
    <row r="9526" spans="8:9">
      <c r="H9526" s="1245"/>
      <c r="I9526" s="1245"/>
    </row>
    <row r="9527" spans="8:9">
      <c r="H9527" s="1245"/>
      <c r="I9527" s="1245"/>
    </row>
    <row r="9528" spans="8:9">
      <c r="H9528" s="1245"/>
      <c r="I9528" s="1245"/>
    </row>
    <row r="9529" spans="8:9">
      <c r="H9529" s="1245"/>
      <c r="I9529" s="1245"/>
    </row>
    <row r="9530" spans="8:9">
      <c r="H9530" s="1245"/>
      <c r="I9530" s="1245"/>
    </row>
    <row r="9531" spans="8:9">
      <c r="H9531" s="1245"/>
      <c r="I9531" s="1245"/>
    </row>
    <row r="9532" spans="8:9">
      <c r="H9532" s="1245"/>
      <c r="I9532" s="1245"/>
    </row>
    <row r="9533" spans="8:9">
      <c r="H9533" s="1245"/>
      <c r="I9533" s="1245"/>
    </row>
    <row r="9534" spans="8:9">
      <c r="H9534" s="1245"/>
      <c r="I9534" s="1245"/>
    </row>
    <row r="9535" spans="8:9">
      <c r="H9535" s="1245"/>
      <c r="I9535" s="1245"/>
    </row>
    <row r="9536" spans="8:9">
      <c r="H9536" s="1245"/>
      <c r="I9536" s="1245"/>
    </row>
    <row r="9537" spans="8:9">
      <c r="H9537" s="1245"/>
      <c r="I9537" s="1245"/>
    </row>
    <row r="9538" spans="8:9">
      <c r="H9538" s="1245"/>
      <c r="I9538" s="1245"/>
    </row>
    <row r="9539" spans="8:9">
      <c r="H9539" s="1245"/>
      <c r="I9539" s="1245"/>
    </row>
    <row r="9540" spans="8:9">
      <c r="H9540" s="1245"/>
      <c r="I9540" s="1245"/>
    </row>
    <row r="9541" spans="8:9">
      <c r="H9541" s="1245"/>
      <c r="I9541" s="1245"/>
    </row>
    <row r="9542" spans="8:9">
      <c r="H9542" s="1245"/>
      <c r="I9542" s="1245"/>
    </row>
    <row r="9543" spans="8:9">
      <c r="H9543" s="1245"/>
      <c r="I9543" s="1245"/>
    </row>
    <row r="9544" spans="8:9">
      <c r="H9544" s="1245"/>
      <c r="I9544" s="1245"/>
    </row>
    <row r="9545" spans="8:9">
      <c r="H9545" s="1245"/>
      <c r="I9545" s="1245"/>
    </row>
    <row r="9546" spans="8:9">
      <c r="H9546" s="1245"/>
      <c r="I9546" s="1245"/>
    </row>
    <row r="9547" spans="8:9">
      <c r="H9547" s="1245"/>
      <c r="I9547" s="1245"/>
    </row>
    <row r="9548" spans="8:9">
      <c r="H9548" s="1245"/>
      <c r="I9548" s="1245"/>
    </row>
    <row r="9549" spans="8:9">
      <c r="H9549" s="1245"/>
      <c r="I9549" s="1245"/>
    </row>
    <row r="9550" spans="8:9">
      <c r="H9550" s="1245"/>
      <c r="I9550" s="1245"/>
    </row>
    <row r="9551" spans="8:9">
      <c r="H9551" s="1245"/>
      <c r="I9551" s="1245"/>
    </row>
    <row r="9552" spans="8:9">
      <c r="H9552" s="1245"/>
      <c r="I9552" s="1245"/>
    </row>
    <row r="9553" spans="8:9">
      <c r="H9553" s="1245"/>
      <c r="I9553" s="1245"/>
    </row>
    <row r="9554" spans="8:9">
      <c r="H9554" s="1245"/>
      <c r="I9554" s="1245"/>
    </row>
    <row r="9555" spans="8:9">
      <c r="H9555" s="1245"/>
      <c r="I9555" s="1245"/>
    </row>
    <row r="9556" spans="8:9">
      <c r="H9556" s="1245"/>
      <c r="I9556" s="1245"/>
    </row>
    <row r="9557" spans="8:9">
      <c r="H9557" s="1245"/>
      <c r="I9557" s="1245"/>
    </row>
    <row r="9558" spans="8:9">
      <c r="H9558" s="1245"/>
      <c r="I9558" s="1245"/>
    </row>
    <row r="9559" spans="8:9">
      <c r="H9559" s="1245"/>
      <c r="I9559" s="1245"/>
    </row>
    <row r="9560" spans="8:9">
      <c r="H9560" s="1245"/>
      <c r="I9560" s="1245"/>
    </row>
    <row r="9561" spans="8:9">
      <c r="H9561" s="1245"/>
      <c r="I9561" s="1245"/>
    </row>
    <row r="9562" spans="8:9">
      <c r="H9562" s="1245"/>
      <c r="I9562" s="1245"/>
    </row>
    <row r="9563" spans="8:9">
      <c r="H9563" s="1245"/>
      <c r="I9563" s="1245"/>
    </row>
    <row r="9564" spans="8:9">
      <c r="H9564" s="1245"/>
      <c r="I9564" s="1245"/>
    </row>
    <row r="9565" spans="8:9">
      <c r="H9565" s="1245"/>
      <c r="I9565" s="1245"/>
    </row>
    <row r="9566" spans="8:9">
      <c r="H9566" s="1245"/>
      <c r="I9566" s="1245"/>
    </row>
    <row r="9567" spans="8:9">
      <c r="H9567" s="1245"/>
      <c r="I9567" s="1245"/>
    </row>
    <row r="9568" spans="8:9">
      <c r="H9568" s="1245"/>
      <c r="I9568" s="1245"/>
    </row>
    <row r="9569" spans="8:9">
      <c r="H9569" s="1245"/>
      <c r="I9569" s="1245"/>
    </row>
    <row r="9570" spans="8:9">
      <c r="H9570" s="1245"/>
      <c r="I9570" s="1245"/>
    </row>
    <row r="9571" spans="8:9">
      <c r="H9571" s="1245"/>
      <c r="I9571" s="1245"/>
    </row>
    <row r="9572" spans="8:9">
      <c r="H9572" s="1245"/>
      <c r="I9572" s="1245"/>
    </row>
    <row r="9573" spans="8:9">
      <c r="H9573" s="1245"/>
      <c r="I9573" s="1245"/>
    </row>
    <row r="9574" spans="8:9">
      <c r="H9574" s="1245"/>
      <c r="I9574" s="1245"/>
    </row>
    <row r="9575" spans="8:9">
      <c r="H9575" s="1245"/>
      <c r="I9575" s="1245"/>
    </row>
    <row r="9576" spans="8:9">
      <c r="H9576" s="1245"/>
      <c r="I9576" s="1245"/>
    </row>
    <row r="9577" spans="8:9">
      <c r="H9577" s="1245"/>
      <c r="I9577" s="1245"/>
    </row>
    <row r="9578" spans="8:9">
      <c r="H9578" s="1245"/>
      <c r="I9578" s="1245"/>
    </row>
    <row r="9579" spans="8:9">
      <c r="H9579" s="1245"/>
      <c r="I9579" s="1245"/>
    </row>
    <row r="9580" spans="8:9">
      <c r="H9580" s="1245"/>
      <c r="I9580" s="1245"/>
    </row>
    <row r="9581" spans="8:9">
      <c r="H9581" s="1245"/>
      <c r="I9581" s="1245"/>
    </row>
    <row r="9582" spans="8:9">
      <c r="H9582" s="1245"/>
      <c r="I9582" s="1245"/>
    </row>
    <row r="9583" spans="8:9">
      <c r="H9583" s="1245"/>
      <c r="I9583" s="1245"/>
    </row>
    <row r="9584" spans="8:9">
      <c r="H9584" s="1245"/>
      <c r="I9584" s="1245"/>
    </row>
    <row r="9585" spans="8:9">
      <c r="H9585" s="1245"/>
      <c r="I9585" s="1245"/>
    </row>
    <row r="9586" spans="8:9">
      <c r="H9586" s="1245"/>
      <c r="I9586" s="1245"/>
    </row>
    <row r="9587" spans="8:9">
      <c r="H9587" s="1245"/>
      <c r="I9587" s="1245"/>
    </row>
    <row r="9588" spans="8:9">
      <c r="H9588" s="1245"/>
      <c r="I9588" s="1245"/>
    </row>
    <row r="9589" spans="8:9">
      <c r="H9589" s="1245"/>
      <c r="I9589" s="1245"/>
    </row>
    <row r="9590" spans="8:9">
      <c r="H9590" s="1245"/>
      <c r="I9590" s="1245"/>
    </row>
    <row r="9591" spans="8:9">
      <c r="H9591" s="1245"/>
      <c r="I9591" s="1245"/>
    </row>
    <row r="9592" spans="8:9">
      <c r="H9592" s="1245"/>
      <c r="I9592" s="1245"/>
    </row>
    <row r="9593" spans="8:9">
      <c r="H9593" s="1245"/>
      <c r="I9593" s="1245"/>
    </row>
    <row r="9594" spans="8:9">
      <c r="H9594" s="1245"/>
      <c r="I9594" s="1245"/>
    </row>
    <row r="9595" spans="8:9">
      <c r="H9595" s="1245"/>
      <c r="I9595" s="1245"/>
    </row>
    <row r="9596" spans="8:9">
      <c r="H9596" s="1245"/>
      <c r="I9596" s="1245"/>
    </row>
    <row r="9597" spans="8:9">
      <c r="H9597" s="1245"/>
      <c r="I9597" s="1245"/>
    </row>
    <row r="9598" spans="8:9">
      <c r="H9598" s="1245"/>
      <c r="I9598" s="1245"/>
    </row>
    <row r="9599" spans="8:9">
      <c r="H9599" s="1245"/>
      <c r="I9599" s="1245"/>
    </row>
    <row r="9600" spans="8:9">
      <c r="H9600" s="1245"/>
      <c r="I9600" s="1245"/>
    </row>
    <row r="9601" spans="8:9">
      <c r="H9601" s="1245"/>
      <c r="I9601" s="1245"/>
    </row>
    <row r="9602" spans="8:9">
      <c r="H9602" s="1245"/>
      <c r="I9602" s="1245"/>
    </row>
    <row r="9603" spans="8:9">
      <c r="H9603" s="1245"/>
      <c r="I9603" s="1245"/>
    </row>
    <row r="9604" spans="8:9">
      <c r="H9604" s="1245"/>
      <c r="I9604" s="1245"/>
    </row>
    <row r="9605" spans="8:9">
      <c r="H9605" s="1245"/>
      <c r="I9605" s="1245"/>
    </row>
    <row r="9606" spans="8:9">
      <c r="H9606" s="1245"/>
      <c r="I9606" s="1245"/>
    </row>
    <row r="9607" spans="8:9">
      <c r="H9607" s="1245"/>
      <c r="I9607" s="1245"/>
    </row>
    <row r="9608" spans="8:9">
      <c r="H9608" s="1245"/>
      <c r="I9608" s="1245"/>
    </row>
    <row r="9609" spans="8:9">
      <c r="H9609" s="1245"/>
      <c r="I9609" s="1245"/>
    </row>
    <row r="9610" spans="8:9">
      <c r="H9610" s="1245"/>
      <c r="I9610" s="1245"/>
    </row>
    <row r="9611" spans="8:9">
      <c r="H9611" s="1245"/>
      <c r="I9611" s="1245"/>
    </row>
    <row r="9612" spans="8:9">
      <c r="H9612" s="1245"/>
      <c r="I9612" s="1245"/>
    </row>
    <row r="9613" spans="8:9">
      <c r="H9613" s="1245"/>
      <c r="I9613" s="1245"/>
    </row>
    <row r="9614" spans="8:9">
      <c r="H9614" s="1245"/>
      <c r="I9614" s="1245"/>
    </row>
    <row r="9615" spans="8:9">
      <c r="H9615" s="1245"/>
      <c r="I9615" s="1245"/>
    </row>
    <row r="9616" spans="8:9">
      <c r="H9616" s="1245"/>
      <c r="I9616" s="1245"/>
    </row>
    <row r="9617" spans="8:9">
      <c r="H9617" s="1245"/>
      <c r="I9617" s="1245"/>
    </row>
    <row r="9618" spans="8:9">
      <c r="H9618" s="1245"/>
      <c r="I9618" s="1245"/>
    </row>
    <row r="9619" spans="8:9">
      <c r="H9619" s="1245"/>
      <c r="I9619" s="1245"/>
    </row>
    <row r="9620" spans="8:9">
      <c r="H9620" s="1245"/>
      <c r="I9620" s="1245"/>
    </row>
    <row r="9621" spans="8:9">
      <c r="H9621" s="1245"/>
      <c r="I9621" s="1245"/>
    </row>
    <row r="9622" spans="8:9">
      <c r="H9622" s="1245"/>
      <c r="I9622" s="1245"/>
    </row>
    <row r="9623" spans="8:9">
      <c r="H9623" s="1245"/>
      <c r="I9623" s="1245"/>
    </row>
    <row r="9624" spans="8:9">
      <c r="H9624" s="1245"/>
      <c r="I9624" s="1245"/>
    </row>
    <row r="9625" spans="8:9">
      <c r="H9625" s="1245"/>
      <c r="I9625" s="1245"/>
    </row>
    <row r="9626" spans="8:9">
      <c r="H9626" s="1245"/>
      <c r="I9626" s="1245"/>
    </row>
    <row r="9627" spans="8:9">
      <c r="H9627" s="1245"/>
      <c r="I9627" s="1245"/>
    </row>
    <row r="9628" spans="8:9">
      <c r="H9628" s="1245"/>
      <c r="I9628" s="1245"/>
    </row>
    <row r="9629" spans="8:9">
      <c r="H9629" s="1245"/>
      <c r="I9629" s="1245"/>
    </row>
    <row r="9630" spans="8:9">
      <c r="H9630" s="1245"/>
      <c r="I9630" s="1245"/>
    </row>
    <row r="9631" spans="8:9">
      <c r="H9631" s="1245"/>
      <c r="I9631" s="1245"/>
    </row>
    <row r="9632" spans="8:9">
      <c r="H9632" s="1245"/>
      <c r="I9632" s="1245"/>
    </row>
    <row r="9633" spans="8:9">
      <c r="H9633" s="1245"/>
      <c r="I9633" s="1245"/>
    </row>
    <row r="9634" spans="8:9">
      <c r="H9634" s="1245"/>
      <c r="I9634" s="1245"/>
    </row>
    <row r="9635" spans="8:9">
      <c r="H9635" s="1245"/>
      <c r="I9635" s="1245"/>
    </row>
    <row r="9636" spans="8:9">
      <c r="H9636" s="1245"/>
      <c r="I9636" s="1245"/>
    </row>
    <row r="9637" spans="8:9">
      <c r="H9637" s="1245"/>
      <c r="I9637" s="1245"/>
    </row>
    <row r="9638" spans="8:9">
      <c r="H9638" s="1245"/>
      <c r="I9638" s="1245"/>
    </row>
    <row r="9639" spans="8:9">
      <c r="H9639" s="1245"/>
      <c r="I9639" s="1245"/>
    </row>
    <row r="9640" spans="8:9">
      <c r="H9640" s="1245"/>
      <c r="I9640" s="1245"/>
    </row>
    <row r="9641" spans="8:9">
      <c r="H9641" s="1245"/>
      <c r="I9641" s="1245"/>
    </row>
    <row r="9642" spans="8:9">
      <c r="H9642" s="1245"/>
      <c r="I9642" s="1245"/>
    </row>
    <row r="9643" spans="8:9">
      <c r="H9643" s="1245"/>
      <c r="I9643" s="1245"/>
    </row>
    <row r="9644" spans="8:9">
      <c r="H9644" s="1245"/>
      <c r="I9644" s="1245"/>
    </row>
    <row r="9645" spans="8:9">
      <c r="H9645" s="1245"/>
      <c r="I9645" s="1245"/>
    </row>
    <row r="9646" spans="8:9">
      <c r="H9646" s="1245"/>
      <c r="I9646" s="1245"/>
    </row>
    <row r="9647" spans="8:9">
      <c r="H9647" s="1245"/>
      <c r="I9647" s="1245"/>
    </row>
    <row r="9648" spans="8:9">
      <c r="H9648" s="1245"/>
      <c r="I9648" s="1245"/>
    </row>
    <row r="9649" spans="8:9">
      <c r="H9649" s="1245"/>
      <c r="I9649" s="1245"/>
    </row>
    <row r="9650" spans="8:9">
      <c r="H9650" s="1245"/>
      <c r="I9650" s="1245"/>
    </row>
    <row r="9651" spans="8:9">
      <c r="H9651" s="1245"/>
      <c r="I9651" s="1245"/>
    </row>
    <row r="9652" spans="8:9">
      <c r="H9652" s="1245"/>
      <c r="I9652" s="1245"/>
    </row>
    <row r="9653" spans="8:9">
      <c r="H9653" s="1245"/>
      <c r="I9653" s="1245"/>
    </row>
    <row r="9654" spans="8:9">
      <c r="H9654" s="1245"/>
      <c r="I9654" s="1245"/>
    </row>
    <row r="9655" spans="8:9">
      <c r="H9655" s="1245"/>
      <c r="I9655" s="1245"/>
    </row>
    <row r="9656" spans="8:9">
      <c r="H9656" s="1245"/>
      <c r="I9656" s="1245"/>
    </row>
    <row r="9657" spans="8:9">
      <c r="H9657" s="1245"/>
      <c r="I9657" s="1245"/>
    </row>
    <row r="9658" spans="8:9">
      <c r="H9658" s="1245"/>
      <c r="I9658" s="1245"/>
    </row>
    <row r="9659" spans="8:9">
      <c r="H9659" s="1245"/>
      <c r="I9659" s="1245"/>
    </row>
    <row r="9660" spans="8:9">
      <c r="H9660" s="1245"/>
      <c r="I9660" s="1245"/>
    </row>
    <row r="9661" spans="8:9">
      <c r="H9661" s="1245"/>
      <c r="I9661" s="1245"/>
    </row>
    <row r="9662" spans="8:9">
      <c r="H9662" s="1245"/>
      <c r="I9662" s="1245"/>
    </row>
    <row r="9663" spans="8:9">
      <c r="H9663" s="1245"/>
      <c r="I9663" s="1245"/>
    </row>
    <row r="9664" spans="8:9">
      <c r="H9664" s="1245"/>
      <c r="I9664" s="1245"/>
    </row>
    <row r="9665" spans="8:9">
      <c r="H9665" s="1245"/>
      <c r="I9665" s="1245"/>
    </row>
    <row r="9666" spans="8:9">
      <c r="H9666" s="1245"/>
      <c r="I9666" s="1245"/>
    </row>
    <row r="9667" spans="8:9">
      <c r="H9667" s="1245"/>
      <c r="I9667" s="1245"/>
    </row>
    <row r="9668" spans="8:9">
      <c r="H9668" s="1245"/>
      <c r="I9668" s="1245"/>
    </row>
    <row r="9669" spans="8:9">
      <c r="H9669" s="1245"/>
      <c r="I9669" s="1245"/>
    </row>
    <row r="9670" spans="8:9">
      <c r="H9670" s="1245"/>
      <c r="I9670" s="1245"/>
    </row>
    <row r="9671" spans="8:9">
      <c r="H9671" s="1245"/>
      <c r="I9671" s="1245"/>
    </row>
    <row r="9672" spans="8:9">
      <c r="H9672" s="1245"/>
      <c r="I9672" s="1245"/>
    </row>
    <row r="9673" spans="8:9">
      <c r="H9673" s="1245"/>
      <c r="I9673" s="1245"/>
    </row>
    <row r="9674" spans="8:9">
      <c r="H9674" s="1245"/>
      <c r="I9674" s="1245"/>
    </row>
    <row r="9675" spans="8:9">
      <c r="H9675" s="1245"/>
      <c r="I9675" s="1245"/>
    </row>
    <row r="9676" spans="8:9">
      <c r="H9676" s="1245"/>
      <c r="I9676" s="1245"/>
    </row>
    <row r="9677" spans="8:9">
      <c r="H9677" s="1245"/>
      <c r="I9677" s="1245"/>
    </row>
    <row r="9678" spans="8:9">
      <c r="H9678" s="1245"/>
      <c r="I9678" s="1245"/>
    </row>
    <row r="9679" spans="8:9">
      <c r="H9679" s="1245"/>
      <c r="I9679" s="1245"/>
    </row>
    <row r="9680" spans="8:9">
      <c r="H9680" s="1245"/>
      <c r="I9680" s="1245"/>
    </row>
    <row r="9681" spans="8:9">
      <c r="H9681" s="1245"/>
      <c r="I9681" s="1245"/>
    </row>
    <row r="9682" spans="8:9">
      <c r="H9682" s="1245"/>
      <c r="I9682" s="1245"/>
    </row>
    <row r="9683" spans="8:9">
      <c r="H9683" s="1245"/>
      <c r="I9683" s="1245"/>
    </row>
    <row r="9684" spans="8:9">
      <c r="H9684" s="1245"/>
      <c r="I9684" s="1245"/>
    </row>
    <row r="9685" spans="8:9">
      <c r="H9685" s="1245"/>
      <c r="I9685" s="1245"/>
    </row>
    <row r="9686" spans="8:9">
      <c r="H9686" s="1245"/>
      <c r="I9686" s="1245"/>
    </row>
    <row r="9687" spans="8:9">
      <c r="H9687" s="1245"/>
      <c r="I9687" s="1245"/>
    </row>
    <row r="9688" spans="8:9">
      <c r="H9688" s="1245"/>
      <c r="I9688" s="1245"/>
    </row>
    <row r="9689" spans="8:9">
      <c r="H9689" s="1245"/>
      <c r="I9689" s="1245"/>
    </row>
    <row r="9690" spans="8:9">
      <c r="H9690" s="1245"/>
      <c r="I9690" s="1245"/>
    </row>
    <row r="9691" spans="8:9">
      <c r="H9691" s="1245"/>
      <c r="I9691" s="1245"/>
    </row>
    <row r="9692" spans="8:9">
      <c r="H9692" s="1245"/>
      <c r="I9692" s="1245"/>
    </row>
    <row r="9693" spans="8:9">
      <c r="H9693" s="1245"/>
      <c r="I9693" s="1245"/>
    </row>
    <row r="9694" spans="8:9">
      <c r="H9694" s="1245"/>
      <c r="I9694" s="1245"/>
    </row>
    <row r="9695" spans="8:9">
      <c r="H9695" s="1245"/>
      <c r="I9695" s="1245"/>
    </row>
    <row r="9696" spans="8:9">
      <c r="H9696" s="1245"/>
      <c r="I9696" s="1245"/>
    </row>
    <row r="9697" spans="8:9">
      <c r="H9697" s="1245"/>
      <c r="I9697" s="1245"/>
    </row>
    <row r="9698" spans="8:9">
      <c r="H9698" s="1245"/>
      <c r="I9698" s="1245"/>
    </row>
    <row r="9699" spans="8:9">
      <c r="H9699" s="1245"/>
      <c r="I9699" s="1245"/>
    </row>
    <row r="9700" spans="8:9">
      <c r="H9700" s="1245"/>
      <c r="I9700" s="1245"/>
    </row>
    <row r="9701" spans="8:9">
      <c r="H9701" s="1245"/>
      <c r="I9701" s="1245"/>
    </row>
    <row r="9702" spans="8:9">
      <c r="H9702" s="1245"/>
      <c r="I9702" s="1245"/>
    </row>
    <row r="9703" spans="8:9">
      <c r="H9703" s="1245"/>
      <c r="I9703" s="1245"/>
    </row>
    <row r="9704" spans="8:9">
      <c r="H9704" s="1245"/>
      <c r="I9704" s="1245"/>
    </row>
    <row r="9705" spans="8:9">
      <c r="H9705" s="1245"/>
      <c r="I9705" s="1245"/>
    </row>
    <row r="9706" spans="8:9">
      <c r="H9706" s="1245"/>
      <c r="I9706" s="1245"/>
    </row>
    <row r="9707" spans="8:9">
      <c r="H9707" s="1245"/>
      <c r="I9707" s="1245"/>
    </row>
    <row r="9708" spans="8:9">
      <c r="H9708" s="1245"/>
      <c r="I9708" s="1245"/>
    </row>
    <row r="9709" spans="8:9">
      <c r="H9709" s="1245"/>
      <c r="I9709" s="1245"/>
    </row>
    <row r="9710" spans="8:9">
      <c r="H9710" s="1245"/>
      <c r="I9710" s="1245"/>
    </row>
    <row r="9711" spans="8:9">
      <c r="H9711" s="1245"/>
      <c r="I9711" s="1245"/>
    </row>
    <row r="9712" spans="8:9">
      <c r="H9712" s="1245"/>
      <c r="I9712" s="1245"/>
    </row>
    <row r="9713" spans="8:9">
      <c r="H9713" s="1245"/>
      <c r="I9713" s="1245"/>
    </row>
    <row r="9714" spans="8:9">
      <c r="H9714" s="1245"/>
      <c r="I9714" s="1245"/>
    </row>
    <row r="9715" spans="8:9">
      <c r="H9715" s="1245"/>
      <c r="I9715" s="1245"/>
    </row>
    <row r="9716" spans="8:9">
      <c r="H9716" s="1245"/>
      <c r="I9716" s="1245"/>
    </row>
    <row r="9717" spans="8:9">
      <c r="H9717" s="1245"/>
      <c r="I9717" s="1245"/>
    </row>
    <row r="9718" spans="8:9">
      <c r="H9718" s="1245"/>
      <c r="I9718" s="1245"/>
    </row>
    <row r="9719" spans="8:9">
      <c r="H9719" s="1245"/>
      <c r="I9719" s="1245"/>
    </row>
    <row r="9720" spans="8:9">
      <c r="H9720" s="1245"/>
      <c r="I9720" s="1245"/>
    </row>
    <row r="9721" spans="8:9">
      <c r="H9721" s="1245"/>
      <c r="I9721" s="1245"/>
    </row>
    <row r="9722" spans="8:9">
      <c r="H9722" s="1245"/>
      <c r="I9722" s="1245"/>
    </row>
    <row r="9723" spans="8:9">
      <c r="H9723" s="1245"/>
      <c r="I9723" s="1245"/>
    </row>
    <row r="9724" spans="8:9">
      <c r="H9724" s="1245"/>
      <c r="I9724" s="1245"/>
    </row>
    <row r="9725" spans="8:9">
      <c r="H9725" s="1245"/>
      <c r="I9725" s="1245"/>
    </row>
    <row r="9726" spans="8:9">
      <c r="H9726" s="1245"/>
      <c r="I9726" s="1245"/>
    </row>
    <row r="9727" spans="8:9">
      <c r="H9727" s="1245"/>
      <c r="I9727" s="1245"/>
    </row>
    <row r="9728" spans="8:9">
      <c r="H9728" s="1245"/>
      <c r="I9728" s="1245"/>
    </row>
    <row r="9729" spans="8:9">
      <c r="H9729" s="1245"/>
      <c r="I9729" s="1245"/>
    </row>
    <row r="9730" spans="8:9">
      <c r="H9730" s="1245"/>
      <c r="I9730" s="1245"/>
    </row>
    <row r="9731" spans="8:9">
      <c r="H9731" s="1245"/>
      <c r="I9731" s="1245"/>
    </row>
    <row r="9732" spans="8:9">
      <c r="H9732" s="1245"/>
      <c r="I9732" s="1245"/>
    </row>
    <row r="9733" spans="8:9">
      <c r="H9733" s="1245"/>
      <c r="I9733" s="1245"/>
    </row>
    <row r="9734" spans="8:9">
      <c r="H9734" s="1245"/>
      <c r="I9734" s="1245"/>
    </row>
    <row r="9735" spans="8:9">
      <c r="H9735" s="1245"/>
      <c r="I9735" s="1245"/>
    </row>
    <row r="9736" spans="8:9">
      <c r="H9736" s="1245"/>
      <c r="I9736" s="1245"/>
    </row>
    <row r="9737" spans="8:9">
      <c r="H9737" s="1245"/>
      <c r="I9737" s="1245"/>
    </row>
    <row r="9738" spans="8:9">
      <c r="H9738" s="1245"/>
      <c r="I9738" s="1245"/>
    </row>
    <row r="9739" spans="8:9">
      <c r="H9739" s="1245"/>
      <c r="I9739" s="1245"/>
    </row>
    <row r="9740" spans="8:9">
      <c r="H9740" s="1245"/>
      <c r="I9740" s="1245"/>
    </row>
    <row r="9741" spans="8:9">
      <c r="H9741" s="1245"/>
      <c r="I9741" s="1245"/>
    </row>
    <row r="9742" spans="8:9">
      <c r="H9742" s="1245"/>
      <c r="I9742" s="1245"/>
    </row>
    <row r="9743" spans="8:9">
      <c r="H9743" s="1245"/>
      <c r="I9743" s="1245"/>
    </row>
    <row r="9744" spans="8:9">
      <c r="H9744" s="1245"/>
      <c r="I9744" s="1245"/>
    </row>
    <row r="9745" spans="8:9">
      <c r="H9745" s="1245"/>
      <c r="I9745" s="1245"/>
    </row>
    <row r="9746" spans="8:9">
      <c r="H9746" s="1245"/>
      <c r="I9746" s="1245"/>
    </row>
    <row r="9747" spans="8:9">
      <c r="H9747" s="1245"/>
      <c r="I9747" s="1245"/>
    </row>
    <row r="9748" spans="8:9">
      <c r="H9748" s="1245"/>
      <c r="I9748" s="1245"/>
    </row>
    <row r="9749" spans="8:9">
      <c r="H9749" s="1245"/>
      <c r="I9749" s="1245"/>
    </row>
    <row r="9750" spans="8:9">
      <c r="H9750" s="1245"/>
      <c r="I9750" s="1245"/>
    </row>
    <row r="9751" spans="8:9">
      <c r="H9751" s="1245"/>
      <c r="I9751" s="1245"/>
    </row>
    <row r="9752" spans="8:9">
      <c r="H9752" s="1245"/>
      <c r="I9752" s="1245"/>
    </row>
    <row r="9753" spans="8:9">
      <c r="H9753" s="1245"/>
      <c r="I9753" s="1245"/>
    </row>
    <row r="9754" spans="8:9">
      <c r="H9754" s="1245"/>
      <c r="I9754" s="1245"/>
    </row>
    <row r="9755" spans="8:9">
      <c r="H9755" s="1245"/>
      <c r="I9755" s="1245"/>
    </row>
    <row r="9756" spans="8:9">
      <c r="H9756" s="1245"/>
      <c r="I9756" s="1245"/>
    </row>
    <row r="9757" spans="8:9">
      <c r="H9757" s="1245"/>
      <c r="I9757" s="1245"/>
    </row>
    <row r="9758" spans="8:9">
      <c r="H9758" s="1245"/>
      <c r="I9758" s="1245"/>
    </row>
    <row r="9759" spans="8:9">
      <c r="H9759" s="1245"/>
      <c r="I9759" s="1245"/>
    </row>
    <row r="9760" spans="8:9">
      <c r="H9760" s="1245"/>
      <c r="I9760" s="1245"/>
    </row>
    <row r="9761" spans="8:9">
      <c r="H9761" s="1245"/>
      <c r="I9761" s="1245"/>
    </row>
    <row r="9762" spans="8:9">
      <c r="H9762" s="1245"/>
      <c r="I9762" s="1245"/>
    </row>
    <row r="9763" spans="8:9">
      <c r="H9763" s="1245"/>
      <c r="I9763" s="1245"/>
    </row>
    <row r="9764" spans="8:9">
      <c r="H9764" s="1245"/>
      <c r="I9764" s="1245"/>
    </row>
    <row r="9765" spans="8:9">
      <c r="H9765" s="1245"/>
      <c r="I9765" s="1245"/>
    </row>
    <row r="9766" spans="8:9">
      <c r="H9766" s="1245"/>
      <c r="I9766" s="1245"/>
    </row>
    <row r="9767" spans="8:9">
      <c r="H9767" s="1245"/>
      <c r="I9767" s="1245"/>
    </row>
    <row r="9768" spans="8:9">
      <c r="H9768" s="1245"/>
      <c r="I9768" s="1245"/>
    </row>
    <row r="9769" spans="8:9">
      <c r="H9769" s="1245"/>
      <c r="I9769" s="1245"/>
    </row>
    <row r="9770" spans="8:9">
      <c r="H9770" s="1245"/>
      <c r="I9770" s="1245"/>
    </row>
    <row r="9771" spans="8:9">
      <c r="H9771" s="1245"/>
      <c r="I9771" s="1245"/>
    </row>
    <row r="9772" spans="8:9">
      <c r="H9772" s="1245"/>
      <c r="I9772" s="1245"/>
    </row>
    <row r="9773" spans="8:9">
      <c r="H9773" s="1245"/>
      <c r="I9773" s="1245"/>
    </row>
    <row r="9774" spans="8:9">
      <c r="H9774" s="1245"/>
      <c r="I9774" s="1245"/>
    </row>
    <row r="9775" spans="8:9">
      <c r="H9775" s="1245"/>
      <c r="I9775" s="1245"/>
    </row>
    <row r="9776" spans="8:9">
      <c r="H9776" s="1245"/>
      <c r="I9776" s="1245"/>
    </row>
    <row r="9777" spans="8:9">
      <c r="H9777" s="1245"/>
      <c r="I9777" s="1245"/>
    </row>
    <row r="9778" spans="8:9">
      <c r="H9778" s="1245"/>
      <c r="I9778" s="1245"/>
    </row>
    <row r="9779" spans="8:9">
      <c r="H9779" s="1245"/>
      <c r="I9779" s="1245"/>
    </row>
    <row r="9780" spans="8:9">
      <c r="H9780" s="1245"/>
      <c r="I9780" s="1245"/>
    </row>
    <row r="9781" spans="8:9">
      <c r="H9781" s="1245"/>
      <c r="I9781" s="1245"/>
    </row>
    <row r="9782" spans="8:9">
      <c r="H9782" s="1245"/>
      <c r="I9782" s="1245"/>
    </row>
    <row r="9783" spans="8:9">
      <c r="H9783" s="1245"/>
      <c r="I9783" s="1245"/>
    </row>
    <row r="9784" spans="8:9">
      <c r="H9784" s="1245"/>
      <c r="I9784" s="1245"/>
    </row>
    <row r="9785" spans="8:9">
      <c r="H9785" s="1245"/>
      <c r="I9785" s="1245"/>
    </row>
    <row r="9786" spans="8:9">
      <c r="H9786" s="1245"/>
      <c r="I9786" s="1245"/>
    </row>
    <row r="9787" spans="8:9">
      <c r="H9787" s="1245"/>
      <c r="I9787" s="1245"/>
    </row>
    <row r="9788" spans="8:9">
      <c r="H9788" s="1245"/>
      <c r="I9788" s="1245"/>
    </row>
    <row r="9789" spans="8:9">
      <c r="H9789" s="1245"/>
      <c r="I9789" s="1245"/>
    </row>
    <row r="9790" spans="8:9">
      <c r="H9790" s="1245"/>
      <c r="I9790" s="1245"/>
    </row>
    <row r="9791" spans="8:9">
      <c r="H9791" s="1245"/>
      <c r="I9791" s="1245"/>
    </row>
    <row r="9792" spans="8:9">
      <c r="H9792" s="1245"/>
      <c r="I9792" s="1245"/>
    </row>
    <row r="9793" spans="8:9">
      <c r="H9793" s="1245"/>
      <c r="I9793" s="1245"/>
    </row>
    <row r="9794" spans="8:9">
      <c r="H9794" s="1245"/>
      <c r="I9794" s="1245"/>
    </row>
    <row r="9795" spans="8:9">
      <c r="H9795" s="1245"/>
      <c r="I9795" s="1245"/>
    </row>
    <row r="9796" spans="8:9">
      <c r="H9796" s="1245"/>
      <c r="I9796" s="1245"/>
    </row>
    <row r="9797" spans="8:9">
      <c r="H9797" s="1245"/>
      <c r="I9797" s="1245"/>
    </row>
    <row r="9798" spans="8:9">
      <c r="H9798" s="1245"/>
      <c r="I9798" s="1245"/>
    </row>
    <row r="9799" spans="8:9">
      <c r="H9799" s="1245"/>
      <c r="I9799" s="1245"/>
    </row>
    <row r="9800" spans="8:9">
      <c r="H9800" s="1245"/>
      <c r="I9800" s="1245"/>
    </row>
    <row r="9801" spans="8:9">
      <c r="H9801" s="1245"/>
      <c r="I9801" s="1245"/>
    </row>
    <row r="9802" spans="8:9">
      <c r="H9802" s="1245"/>
      <c r="I9802" s="1245"/>
    </row>
    <row r="9803" spans="8:9">
      <c r="H9803" s="1245"/>
      <c r="I9803" s="1245"/>
    </row>
    <row r="9804" spans="8:9">
      <c r="H9804" s="1245"/>
      <c r="I9804" s="1245"/>
    </row>
    <row r="9805" spans="8:9">
      <c r="H9805" s="1245"/>
      <c r="I9805" s="1245"/>
    </row>
    <row r="9806" spans="8:9">
      <c r="H9806" s="1245"/>
      <c r="I9806" s="1245"/>
    </row>
    <row r="9807" spans="8:9">
      <c r="H9807" s="1245"/>
      <c r="I9807" s="1245"/>
    </row>
    <row r="9808" spans="8:9">
      <c r="H9808" s="1245"/>
      <c r="I9808" s="1245"/>
    </row>
    <row r="9809" spans="8:9">
      <c r="H9809" s="1245"/>
      <c r="I9809" s="1245"/>
    </row>
    <row r="9810" spans="8:9">
      <c r="H9810" s="1245"/>
      <c r="I9810" s="1245"/>
    </row>
    <row r="9811" spans="8:9">
      <c r="H9811" s="1245"/>
      <c r="I9811" s="1245"/>
    </row>
    <row r="9812" spans="8:9">
      <c r="H9812" s="1245"/>
      <c r="I9812" s="1245"/>
    </row>
    <row r="9813" spans="8:9">
      <c r="H9813" s="1245"/>
      <c r="I9813" s="1245"/>
    </row>
    <row r="9814" spans="8:9">
      <c r="H9814" s="1245"/>
      <c r="I9814" s="1245"/>
    </row>
    <row r="9815" spans="8:9">
      <c r="H9815" s="1245"/>
      <c r="I9815" s="1245"/>
    </row>
    <row r="9816" spans="8:9">
      <c r="H9816" s="1245"/>
      <c r="I9816" s="1245"/>
    </row>
    <row r="9817" spans="8:9">
      <c r="H9817" s="1245"/>
      <c r="I9817" s="1245"/>
    </row>
    <row r="9818" spans="8:9">
      <c r="H9818" s="1245"/>
      <c r="I9818" s="1245"/>
    </row>
    <row r="9819" spans="8:9">
      <c r="H9819" s="1245"/>
      <c r="I9819" s="1245"/>
    </row>
    <row r="9820" spans="8:9">
      <c r="H9820" s="1245"/>
      <c r="I9820" s="1245"/>
    </row>
    <row r="9821" spans="8:9">
      <c r="H9821" s="1245"/>
      <c r="I9821" s="1245"/>
    </row>
    <row r="9822" spans="8:9">
      <c r="H9822" s="1245"/>
      <c r="I9822" s="1245"/>
    </row>
    <row r="9823" spans="8:9">
      <c r="H9823" s="1245"/>
      <c r="I9823" s="1245"/>
    </row>
    <row r="9824" spans="8:9">
      <c r="H9824" s="1245"/>
      <c r="I9824" s="1245"/>
    </row>
    <row r="9825" spans="8:9">
      <c r="H9825" s="1245"/>
      <c r="I9825" s="1245"/>
    </row>
    <row r="9826" spans="8:9">
      <c r="H9826" s="1245"/>
      <c r="I9826" s="1245"/>
    </row>
    <row r="9827" spans="8:9">
      <c r="H9827" s="1245"/>
      <c r="I9827" s="1245"/>
    </row>
    <row r="9828" spans="8:9">
      <c r="H9828" s="1245"/>
      <c r="I9828" s="1245"/>
    </row>
    <row r="9829" spans="8:9">
      <c r="H9829" s="1245"/>
      <c r="I9829" s="1245"/>
    </row>
    <row r="9830" spans="8:9">
      <c r="H9830" s="1245"/>
      <c r="I9830" s="1245"/>
    </row>
    <row r="9831" spans="8:9">
      <c r="H9831" s="1245"/>
      <c r="I9831" s="1245"/>
    </row>
    <row r="9832" spans="8:9">
      <c r="H9832" s="1245"/>
      <c r="I9832" s="1245"/>
    </row>
    <row r="9833" spans="8:9">
      <c r="H9833" s="1245"/>
      <c r="I9833" s="1245"/>
    </row>
    <row r="9834" spans="8:9">
      <c r="H9834" s="1245"/>
      <c r="I9834" s="1245"/>
    </row>
    <row r="9835" spans="8:9">
      <c r="H9835" s="1245"/>
      <c r="I9835" s="1245"/>
    </row>
    <row r="9836" spans="8:9">
      <c r="H9836" s="1245"/>
      <c r="I9836" s="1245"/>
    </row>
    <row r="9837" spans="8:9">
      <c r="H9837" s="1245"/>
      <c r="I9837" s="1245"/>
    </row>
    <row r="9838" spans="8:9">
      <c r="H9838" s="1245"/>
      <c r="I9838" s="1245"/>
    </row>
    <row r="9839" spans="8:9">
      <c r="H9839" s="1245"/>
      <c r="I9839" s="1245"/>
    </row>
    <row r="9840" spans="8:9">
      <c r="H9840" s="1245"/>
      <c r="I9840" s="1245"/>
    </row>
    <row r="9841" spans="8:9">
      <c r="H9841" s="1245"/>
      <c r="I9841" s="1245"/>
    </row>
    <row r="9842" spans="8:9">
      <c r="H9842" s="1245"/>
      <c r="I9842" s="1245"/>
    </row>
    <row r="9843" spans="8:9">
      <c r="H9843" s="1245"/>
      <c r="I9843" s="1245"/>
    </row>
    <row r="9844" spans="8:9">
      <c r="H9844" s="1245"/>
      <c r="I9844" s="1245"/>
    </row>
    <row r="9845" spans="8:9">
      <c r="H9845" s="1245"/>
      <c r="I9845" s="1245"/>
    </row>
    <row r="9846" spans="8:9">
      <c r="H9846" s="1245"/>
      <c r="I9846" s="1245"/>
    </row>
    <row r="9847" spans="8:9">
      <c r="H9847" s="1245"/>
      <c r="I9847" s="1245"/>
    </row>
    <row r="9848" spans="8:9">
      <c r="H9848" s="1245"/>
      <c r="I9848" s="1245"/>
    </row>
    <row r="9849" spans="8:9">
      <c r="H9849" s="1245"/>
      <c r="I9849" s="1245"/>
    </row>
    <row r="9850" spans="8:9">
      <c r="H9850" s="1245"/>
      <c r="I9850" s="1245"/>
    </row>
    <row r="9851" spans="8:9">
      <c r="H9851" s="1245"/>
      <c r="I9851" s="1245"/>
    </row>
    <row r="9852" spans="8:9">
      <c r="H9852" s="1245"/>
      <c r="I9852" s="1245"/>
    </row>
    <row r="9853" spans="8:9">
      <c r="H9853" s="1245"/>
      <c r="I9853" s="1245"/>
    </row>
    <row r="9854" spans="8:9">
      <c r="H9854" s="1245"/>
      <c r="I9854" s="1245"/>
    </row>
    <row r="9855" spans="8:9">
      <c r="H9855" s="1245"/>
      <c r="I9855" s="1245"/>
    </row>
    <row r="9856" spans="8:9">
      <c r="H9856" s="1245"/>
      <c r="I9856" s="1245"/>
    </row>
    <row r="9857" spans="8:9">
      <c r="H9857" s="1245"/>
      <c r="I9857" s="1245"/>
    </row>
    <row r="9858" spans="8:9">
      <c r="H9858" s="1245"/>
      <c r="I9858" s="1245"/>
    </row>
    <row r="9859" spans="8:9">
      <c r="H9859" s="1245"/>
      <c r="I9859" s="1245"/>
    </row>
    <row r="9860" spans="8:9">
      <c r="H9860" s="1245"/>
      <c r="I9860" s="1245"/>
    </row>
    <row r="9861" spans="8:9">
      <c r="H9861" s="1245"/>
      <c r="I9861" s="1245"/>
    </row>
    <row r="9862" spans="8:9">
      <c r="H9862" s="1245"/>
      <c r="I9862" s="1245"/>
    </row>
    <row r="9863" spans="8:9">
      <c r="H9863" s="1245"/>
      <c r="I9863" s="1245"/>
    </row>
    <row r="9864" spans="8:9">
      <c r="H9864" s="1245"/>
      <c r="I9864" s="1245"/>
    </row>
    <row r="9865" spans="8:9">
      <c r="H9865" s="1245"/>
      <c r="I9865" s="1245"/>
    </row>
    <row r="9866" spans="8:9">
      <c r="H9866" s="1245"/>
      <c r="I9866" s="1245"/>
    </row>
    <row r="9867" spans="8:9">
      <c r="H9867" s="1245"/>
      <c r="I9867" s="1245"/>
    </row>
    <row r="9868" spans="8:9">
      <c r="H9868" s="1245"/>
      <c r="I9868" s="1245"/>
    </row>
    <row r="9869" spans="8:9">
      <c r="H9869" s="1245"/>
      <c r="I9869" s="1245"/>
    </row>
    <row r="9870" spans="8:9">
      <c r="H9870" s="1245"/>
      <c r="I9870" s="1245"/>
    </row>
    <row r="9871" spans="8:9">
      <c r="H9871" s="1245"/>
      <c r="I9871" s="1245"/>
    </row>
    <row r="9872" spans="8:9">
      <c r="H9872" s="1245"/>
      <c r="I9872" s="1245"/>
    </row>
    <row r="9873" spans="8:9">
      <c r="H9873" s="1245"/>
      <c r="I9873" s="1245"/>
    </row>
    <row r="9874" spans="8:9">
      <c r="H9874" s="1245"/>
      <c r="I9874" s="1245"/>
    </row>
    <row r="9875" spans="8:9">
      <c r="H9875" s="1245"/>
      <c r="I9875" s="1245"/>
    </row>
    <row r="9876" spans="8:9">
      <c r="H9876" s="1245"/>
      <c r="I9876" s="1245"/>
    </row>
    <row r="9877" spans="8:9">
      <c r="H9877" s="1245"/>
      <c r="I9877" s="1245"/>
    </row>
    <row r="9878" spans="8:9">
      <c r="H9878" s="1245"/>
      <c r="I9878" s="1245"/>
    </row>
    <row r="9879" spans="8:9">
      <c r="H9879" s="1245"/>
      <c r="I9879" s="1245"/>
    </row>
    <row r="9880" spans="8:9">
      <c r="H9880" s="1245"/>
      <c r="I9880" s="1245"/>
    </row>
    <row r="9881" spans="8:9">
      <c r="H9881" s="1245"/>
      <c r="I9881" s="1245"/>
    </row>
    <row r="9882" spans="8:9">
      <c r="H9882" s="1245"/>
      <c r="I9882" s="1245"/>
    </row>
    <row r="9883" spans="8:9">
      <c r="H9883" s="1245"/>
      <c r="I9883" s="1245"/>
    </row>
    <row r="9884" spans="8:9">
      <c r="H9884" s="1245"/>
      <c r="I9884" s="1245"/>
    </row>
    <row r="9885" spans="8:9">
      <c r="H9885" s="1245"/>
      <c r="I9885" s="1245"/>
    </row>
    <row r="9886" spans="8:9">
      <c r="H9886" s="1245"/>
      <c r="I9886" s="1245"/>
    </row>
    <row r="9887" spans="8:9">
      <c r="H9887" s="1245"/>
      <c r="I9887" s="1245"/>
    </row>
    <row r="9888" spans="8:9">
      <c r="H9888" s="1245"/>
      <c r="I9888" s="1245"/>
    </row>
    <row r="9889" spans="8:9">
      <c r="H9889" s="1245"/>
      <c r="I9889" s="1245"/>
    </row>
    <row r="9890" spans="8:9">
      <c r="H9890" s="1245"/>
      <c r="I9890" s="1245"/>
    </row>
    <row r="9891" spans="8:9">
      <c r="H9891" s="1245"/>
      <c r="I9891" s="1245"/>
    </row>
    <row r="9892" spans="8:9">
      <c r="H9892" s="1245"/>
      <c r="I9892" s="1245"/>
    </row>
    <row r="9893" spans="8:9">
      <c r="H9893" s="1245"/>
      <c r="I9893" s="1245"/>
    </row>
    <row r="9894" spans="8:9">
      <c r="H9894" s="1245"/>
      <c r="I9894" s="1245"/>
    </row>
    <row r="9895" spans="8:9">
      <c r="H9895" s="1245"/>
      <c r="I9895" s="1245"/>
    </row>
    <row r="9896" spans="8:9">
      <c r="H9896" s="1245"/>
      <c r="I9896" s="1245"/>
    </row>
    <row r="9897" spans="8:9">
      <c r="H9897" s="1245"/>
      <c r="I9897" s="1245"/>
    </row>
    <row r="9898" spans="8:9">
      <c r="H9898" s="1245"/>
      <c r="I9898" s="1245"/>
    </row>
    <row r="9899" spans="8:9">
      <c r="H9899" s="1245"/>
      <c r="I9899" s="1245"/>
    </row>
    <row r="9900" spans="8:9">
      <c r="H9900" s="1245"/>
      <c r="I9900" s="1245"/>
    </row>
    <row r="9901" spans="8:9">
      <c r="H9901" s="1245"/>
      <c r="I9901" s="1245"/>
    </row>
    <row r="9902" spans="8:9">
      <c r="H9902" s="1245"/>
      <c r="I9902" s="1245"/>
    </row>
    <row r="9903" spans="8:9">
      <c r="H9903" s="1245"/>
      <c r="I9903" s="1245"/>
    </row>
    <row r="9904" spans="8:9">
      <c r="H9904" s="1245"/>
      <c r="I9904" s="1245"/>
    </row>
    <row r="9905" spans="8:9">
      <c r="H9905" s="1245"/>
      <c r="I9905" s="1245"/>
    </row>
    <row r="9906" spans="8:9">
      <c r="H9906" s="1245"/>
      <c r="I9906" s="1245"/>
    </row>
    <row r="9907" spans="8:9">
      <c r="H9907" s="1245"/>
      <c r="I9907" s="1245"/>
    </row>
    <row r="9908" spans="8:9">
      <c r="H9908" s="1245"/>
      <c r="I9908" s="1245"/>
    </row>
    <row r="9909" spans="8:9">
      <c r="H9909" s="1245"/>
      <c r="I9909" s="1245"/>
    </row>
    <row r="9910" spans="8:9">
      <c r="H9910" s="1245"/>
      <c r="I9910" s="1245"/>
    </row>
    <row r="9911" spans="8:9">
      <c r="H9911" s="1245"/>
      <c r="I9911" s="1245"/>
    </row>
    <row r="9912" spans="8:9">
      <c r="H9912" s="1245"/>
      <c r="I9912" s="1245"/>
    </row>
    <row r="9913" spans="8:9">
      <c r="H9913" s="1245"/>
      <c r="I9913" s="1245"/>
    </row>
    <row r="9914" spans="8:9">
      <c r="H9914" s="1245"/>
      <c r="I9914" s="1245"/>
    </row>
    <row r="9915" spans="8:9">
      <c r="H9915" s="1245"/>
      <c r="I9915" s="1245"/>
    </row>
    <row r="9916" spans="8:9">
      <c r="H9916" s="1245"/>
      <c r="I9916" s="1245"/>
    </row>
    <row r="9917" spans="8:9">
      <c r="H9917" s="1245"/>
      <c r="I9917" s="1245"/>
    </row>
    <row r="9918" spans="8:9">
      <c r="H9918" s="1245"/>
      <c r="I9918" s="1245"/>
    </row>
    <row r="9919" spans="8:9">
      <c r="H9919" s="1245"/>
      <c r="I9919" s="1245"/>
    </row>
    <row r="9920" spans="8:9">
      <c r="H9920" s="1245"/>
      <c r="I9920" s="1245"/>
    </row>
    <row r="9921" spans="8:9">
      <c r="H9921" s="1245"/>
      <c r="I9921" s="1245"/>
    </row>
    <row r="9922" spans="8:9">
      <c r="H9922" s="1245"/>
      <c r="I9922" s="1245"/>
    </row>
    <row r="9923" spans="8:9">
      <c r="H9923" s="1245"/>
      <c r="I9923" s="1245"/>
    </row>
    <row r="9924" spans="8:9">
      <c r="H9924" s="1245"/>
      <c r="I9924" s="1245"/>
    </row>
    <row r="9925" spans="8:9">
      <c r="H9925" s="1245"/>
      <c r="I9925" s="1245"/>
    </row>
    <row r="9926" spans="8:9">
      <c r="H9926" s="1245"/>
      <c r="I9926" s="1245"/>
    </row>
    <row r="9927" spans="8:9">
      <c r="H9927" s="1245"/>
      <c r="I9927" s="1245"/>
    </row>
    <row r="9928" spans="8:9">
      <c r="H9928" s="1245"/>
      <c r="I9928" s="1245"/>
    </row>
    <row r="9929" spans="8:9">
      <c r="H9929" s="1245"/>
      <c r="I9929" s="1245"/>
    </row>
    <row r="9930" spans="8:9">
      <c r="H9930" s="1245"/>
      <c r="I9930" s="1245"/>
    </row>
    <row r="9931" spans="8:9">
      <c r="H9931" s="1245"/>
      <c r="I9931" s="1245"/>
    </row>
    <row r="9932" spans="8:9">
      <c r="H9932" s="1245"/>
      <c r="I9932" s="1245"/>
    </row>
    <row r="9933" spans="8:9">
      <c r="H9933" s="1245"/>
      <c r="I9933" s="1245"/>
    </row>
    <row r="9934" spans="8:9">
      <c r="H9934" s="1245"/>
      <c r="I9934" s="1245"/>
    </row>
    <row r="9935" spans="8:9">
      <c r="H9935" s="1245"/>
      <c r="I9935" s="1245"/>
    </row>
    <row r="9936" spans="8:9">
      <c r="H9936" s="1245"/>
      <c r="I9936" s="1245"/>
    </row>
    <row r="9937" spans="8:9">
      <c r="H9937" s="1245"/>
      <c r="I9937" s="1245"/>
    </row>
    <row r="9938" spans="8:9">
      <c r="H9938" s="1245"/>
      <c r="I9938" s="1245"/>
    </row>
    <row r="9939" spans="8:9">
      <c r="H9939" s="1245"/>
      <c r="I9939" s="1245"/>
    </row>
    <row r="9940" spans="8:9">
      <c r="H9940" s="1245"/>
      <c r="I9940" s="1245"/>
    </row>
    <row r="9941" spans="8:9">
      <c r="H9941" s="1245"/>
      <c r="I9941" s="1245"/>
    </row>
    <row r="9942" spans="8:9">
      <c r="H9942" s="1245"/>
      <c r="I9942" s="1245"/>
    </row>
    <row r="9943" spans="8:9">
      <c r="H9943" s="1245"/>
      <c r="I9943" s="1245"/>
    </row>
    <row r="9944" spans="8:9">
      <c r="H9944" s="1245"/>
      <c r="I9944" s="1245"/>
    </row>
    <row r="9945" spans="8:9">
      <c r="H9945" s="1245"/>
      <c r="I9945" s="1245"/>
    </row>
    <row r="9946" spans="8:9">
      <c r="H9946" s="1245"/>
      <c r="I9946" s="1245"/>
    </row>
    <row r="9947" spans="8:9">
      <c r="H9947" s="1245"/>
      <c r="I9947" s="1245"/>
    </row>
    <row r="9948" spans="8:9">
      <c r="H9948" s="1245"/>
      <c r="I9948" s="1245"/>
    </row>
    <row r="9949" spans="8:9">
      <c r="H9949" s="1245"/>
      <c r="I9949" s="1245"/>
    </row>
    <row r="9950" spans="8:9">
      <c r="H9950" s="1245"/>
      <c r="I9950" s="1245"/>
    </row>
    <row r="9951" spans="8:9">
      <c r="H9951" s="1245"/>
      <c r="I9951" s="1245"/>
    </row>
    <row r="9952" spans="8:9">
      <c r="H9952" s="1245"/>
      <c r="I9952" s="1245"/>
    </row>
    <row r="9953" spans="8:9">
      <c r="H9953" s="1245"/>
      <c r="I9953" s="1245"/>
    </row>
    <row r="9954" spans="8:9">
      <c r="H9954" s="1245"/>
      <c r="I9954" s="1245"/>
    </row>
    <row r="9955" spans="8:9">
      <c r="H9955" s="1245"/>
      <c r="I9955" s="1245"/>
    </row>
    <row r="9956" spans="8:9">
      <c r="H9956" s="1245"/>
      <c r="I9956" s="1245"/>
    </row>
    <row r="9957" spans="8:9">
      <c r="H9957" s="1245"/>
      <c r="I9957" s="1245"/>
    </row>
    <row r="9958" spans="8:9">
      <c r="H9958" s="1245"/>
      <c r="I9958" s="1245"/>
    </row>
    <row r="9959" spans="8:9">
      <c r="H9959" s="1245"/>
      <c r="I9959" s="1245"/>
    </row>
    <row r="9960" spans="8:9">
      <c r="H9960" s="1245"/>
      <c r="I9960" s="1245"/>
    </row>
    <row r="9961" spans="8:9">
      <c r="H9961" s="1245"/>
      <c r="I9961" s="1245"/>
    </row>
    <row r="9962" spans="8:9">
      <c r="H9962" s="1245"/>
      <c r="I9962" s="1245"/>
    </row>
    <row r="9963" spans="8:9">
      <c r="H9963" s="1245"/>
      <c r="I9963" s="1245"/>
    </row>
    <row r="9964" spans="8:9">
      <c r="H9964" s="1245"/>
      <c r="I9964" s="1245"/>
    </row>
    <row r="9965" spans="8:9">
      <c r="H9965" s="1245"/>
      <c r="I9965" s="1245"/>
    </row>
    <row r="9966" spans="8:9">
      <c r="H9966" s="1245"/>
      <c r="I9966" s="1245"/>
    </row>
    <row r="9967" spans="8:9">
      <c r="H9967" s="1245"/>
      <c r="I9967" s="1245"/>
    </row>
    <row r="9968" spans="8:9">
      <c r="H9968" s="1245"/>
      <c r="I9968" s="1245"/>
    </row>
    <row r="9969" spans="8:9">
      <c r="H9969" s="1245"/>
      <c r="I9969" s="1245"/>
    </row>
    <row r="9970" spans="8:9">
      <c r="H9970" s="1245"/>
      <c r="I9970" s="1245"/>
    </row>
    <row r="9971" spans="8:9">
      <c r="H9971" s="1245"/>
      <c r="I9971" s="1245"/>
    </row>
    <row r="9972" spans="8:9">
      <c r="H9972" s="1245"/>
      <c r="I9972" s="1245"/>
    </row>
    <row r="9973" spans="8:9">
      <c r="H9973" s="1245"/>
      <c r="I9973" s="1245"/>
    </row>
    <row r="9974" spans="8:9">
      <c r="H9974" s="1245"/>
      <c r="I9974" s="1245"/>
    </row>
    <row r="9975" spans="8:9">
      <c r="H9975" s="1245"/>
      <c r="I9975" s="1245"/>
    </row>
    <row r="9976" spans="8:9">
      <c r="H9976" s="1245"/>
      <c r="I9976" s="1245"/>
    </row>
    <row r="9977" spans="8:9">
      <c r="H9977" s="1245"/>
      <c r="I9977" s="1245"/>
    </row>
    <row r="9978" spans="8:9">
      <c r="H9978" s="1245"/>
      <c r="I9978" s="1245"/>
    </row>
    <row r="9979" spans="8:9">
      <c r="H9979" s="1245"/>
      <c r="I9979" s="1245"/>
    </row>
    <row r="9980" spans="8:9">
      <c r="H9980" s="1245"/>
      <c r="I9980" s="1245"/>
    </row>
    <row r="9981" spans="8:9">
      <c r="H9981" s="1245"/>
      <c r="I9981" s="1245"/>
    </row>
    <row r="9982" spans="8:9">
      <c r="H9982" s="1245"/>
      <c r="I9982" s="1245"/>
    </row>
    <row r="9983" spans="8:9">
      <c r="H9983" s="1245"/>
      <c r="I9983" s="1245"/>
    </row>
    <row r="9984" spans="8:9">
      <c r="H9984" s="1245"/>
      <c r="I9984" s="1245"/>
    </row>
    <row r="9985" spans="8:9">
      <c r="H9985" s="1245"/>
      <c r="I9985" s="1245"/>
    </row>
    <row r="9986" spans="8:9">
      <c r="H9986" s="1245"/>
      <c r="I9986" s="1245"/>
    </row>
    <row r="9987" spans="8:9">
      <c r="H9987" s="1245"/>
      <c r="I9987" s="1245"/>
    </row>
    <row r="9988" spans="8:9">
      <c r="H9988" s="1245"/>
      <c r="I9988" s="1245"/>
    </row>
    <row r="9989" spans="8:9">
      <c r="H9989" s="1245"/>
      <c r="I9989" s="1245"/>
    </row>
    <row r="9990" spans="8:9">
      <c r="H9990" s="1245"/>
      <c r="I9990" s="1245"/>
    </row>
    <row r="9991" spans="8:9">
      <c r="H9991" s="1245"/>
      <c r="I9991" s="1245"/>
    </row>
    <row r="9992" spans="8:9">
      <c r="H9992" s="1245"/>
      <c r="I9992" s="1245"/>
    </row>
    <row r="9993" spans="8:9">
      <c r="H9993" s="1245"/>
      <c r="I9993" s="1245"/>
    </row>
    <row r="9994" spans="8:9">
      <c r="H9994" s="1245"/>
      <c r="I9994" s="1245"/>
    </row>
    <row r="9995" spans="8:9">
      <c r="H9995" s="1245"/>
      <c r="I9995" s="1245"/>
    </row>
    <row r="9996" spans="8:9">
      <c r="H9996" s="1245"/>
      <c r="I9996" s="1245"/>
    </row>
    <row r="9997" spans="8:9">
      <c r="H9997" s="1245"/>
      <c r="I9997" s="1245"/>
    </row>
    <row r="9998" spans="8:9">
      <c r="H9998" s="1245"/>
      <c r="I9998" s="1245"/>
    </row>
    <row r="9999" spans="8:9">
      <c r="H9999" s="1245"/>
      <c r="I9999" s="1245"/>
    </row>
    <row r="10000" spans="8:9">
      <c r="H10000" s="1245"/>
      <c r="I10000" s="1245"/>
    </row>
    <row r="10001" spans="8:9">
      <c r="H10001" s="1245"/>
      <c r="I10001" s="1245"/>
    </row>
    <row r="10002" spans="8:9">
      <c r="H10002" s="1245"/>
      <c r="I10002" s="1245"/>
    </row>
    <row r="10003" spans="8:9">
      <c r="H10003" s="1245"/>
      <c r="I10003" s="1245"/>
    </row>
    <row r="10004" spans="8:9">
      <c r="H10004" s="1245"/>
      <c r="I10004" s="1245"/>
    </row>
    <row r="10005" spans="8:9">
      <c r="H10005" s="1245"/>
      <c r="I10005" s="1245"/>
    </row>
    <row r="10006" spans="8:9">
      <c r="H10006" s="1245"/>
      <c r="I10006" s="1245"/>
    </row>
    <row r="10007" spans="8:9">
      <c r="H10007" s="1245"/>
      <c r="I10007" s="1245"/>
    </row>
    <row r="10008" spans="8:9">
      <c r="H10008" s="1245"/>
      <c r="I10008" s="1245"/>
    </row>
    <row r="10009" spans="8:9">
      <c r="H10009" s="1245"/>
      <c r="I10009" s="1245"/>
    </row>
    <row r="10010" spans="8:9">
      <c r="H10010" s="1245"/>
      <c r="I10010" s="1245"/>
    </row>
    <row r="10011" spans="8:9">
      <c r="H10011" s="1245"/>
      <c r="I10011" s="1245"/>
    </row>
    <row r="10012" spans="8:9">
      <c r="H10012" s="1245"/>
      <c r="I10012" s="1245"/>
    </row>
    <row r="10013" spans="8:9">
      <c r="H10013" s="1245"/>
      <c r="I10013" s="1245"/>
    </row>
    <row r="10014" spans="8:9">
      <c r="H10014" s="1245"/>
      <c r="I10014" s="1245"/>
    </row>
    <row r="10015" spans="8:9">
      <c r="H10015" s="1245"/>
      <c r="I10015" s="1245"/>
    </row>
    <row r="10016" spans="8:9">
      <c r="H10016" s="1245"/>
      <c r="I10016" s="1245"/>
    </row>
    <row r="10017" spans="8:9">
      <c r="H10017" s="1245"/>
      <c r="I10017" s="1245"/>
    </row>
    <row r="10018" spans="8:9">
      <c r="H10018" s="1245"/>
      <c r="I10018" s="1245"/>
    </row>
    <row r="10019" spans="8:9">
      <c r="H10019" s="1245"/>
      <c r="I10019" s="1245"/>
    </row>
    <row r="10020" spans="8:9">
      <c r="H10020" s="1245"/>
      <c r="I10020" s="1245"/>
    </row>
    <row r="10021" spans="8:9">
      <c r="H10021" s="1245"/>
      <c r="I10021" s="1245"/>
    </row>
    <row r="10022" spans="8:9">
      <c r="H10022" s="1245"/>
      <c r="I10022" s="1245"/>
    </row>
    <row r="10023" spans="8:9">
      <c r="H10023" s="1245"/>
      <c r="I10023" s="1245"/>
    </row>
    <row r="10024" spans="8:9">
      <c r="H10024" s="1245"/>
      <c r="I10024" s="1245"/>
    </row>
    <row r="10025" spans="8:9">
      <c r="H10025" s="1245"/>
      <c r="I10025" s="1245"/>
    </row>
    <row r="10026" spans="8:9">
      <c r="H10026" s="1245"/>
      <c r="I10026" s="1245"/>
    </row>
    <row r="10027" spans="8:9">
      <c r="H10027" s="1245"/>
      <c r="I10027" s="1245"/>
    </row>
    <row r="10028" spans="8:9">
      <c r="H10028" s="1245"/>
      <c r="I10028" s="1245"/>
    </row>
    <row r="10029" spans="8:9">
      <c r="H10029" s="1245"/>
      <c r="I10029" s="1245"/>
    </row>
    <row r="10030" spans="8:9">
      <c r="H10030" s="1245"/>
      <c r="I10030" s="1245"/>
    </row>
    <row r="10031" spans="8:9">
      <c r="H10031" s="1245"/>
      <c r="I10031" s="1245"/>
    </row>
    <row r="10032" spans="8:9">
      <c r="H10032" s="1245"/>
      <c r="I10032" s="1245"/>
    </row>
    <row r="10033" spans="8:9">
      <c r="H10033" s="1245"/>
      <c r="I10033" s="1245"/>
    </row>
    <row r="10034" spans="8:9">
      <c r="H10034" s="1245"/>
      <c r="I10034" s="1245"/>
    </row>
    <row r="10035" spans="8:9">
      <c r="H10035" s="1245"/>
      <c r="I10035" s="1245"/>
    </row>
    <row r="10036" spans="8:9">
      <c r="H10036" s="1245"/>
      <c r="I10036" s="1245"/>
    </row>
    <row r="10037" spans="8:9">
      <c r="H10037" s="1245"/>
      <c r="I10037" s="1245"/>
    </row>
    <row r="10038" spans="8:9">
      <c r="H10038" s="1245"/>
      <c r="I10038" s="1245"/>
    </row>
    <row r="10039" spans="8:9">
      <c r="H10039" s="1245"/>
      <c r="I10039" s="1245"/>
    </row>
    <row r="10040" spans="8:9">
      <c r="H10040" s="1245"/>
      <c r="I10040" s="1245"/>
    </row>
    <row r="10041" spans="8:9">
      <c r="H10041" s="1245"/>
      <c r="I10041" s="1245"/>
    </row>
    <row r="10042" spans="8:9">
      <c r="H10042" s="1245"/>
      <c r="I10042" s="1245"/>
    </row>
    <row r="10043" spans="8:9">
      <c r="H10043" s="1245"/>
      <c r="I10043" s="1245"/>
    </row>
    <row r="10044" spans="8:9">
      <c r="H10044" s="1245"/>
      <c r="I10044" s="1245"/>
    </row>
    <row r="10045" spans="8:9">
      <c r="H10045" s="1245"/>
      <c r="I10045" s="1245"/>
    </row>
    <row r="10046" spans="8:9">
      <c r="H10046" s="1245"/>
      <c r="I10046" s="1245"/>
    </row>
    <row r="10047" spans="8:9">
      <c r="H10047" s="1245"/>
      <c r="I10047" s="1245"/>
    </row>
    <row r="10048" spans="8:9">
      <c r="H10048" s="1245"/>
      <c r="I10048" s="1245"/>
    </row>
    <row r="10049" spans="8:9">
      <c r="H10049" s="1245"/>
      <c r="I10049" s="1245"/>
    </row>
    <row r="10050" spans="8:9">
      <c r="H10050" s="1245"/>
      <c r="I10050" s="1245"/>
    </row>
    <row r="10051" spans="8:9">
      <c r="H10051" s="1245"/>
      <c r="I10051" s="1245"/>
    </row>
    <row r="10052" spans="8:9">
      <c r="H10052" s="1245"/>
      <c r="I10052" s="1245"/>
    </row>
    <row r="10053" spans="8:9">
      <c r="H10053" s="1245"/>
      <c r="I10053" s="1245"/>
    </row>
    <row r="10054" spans="8:9">
      <c r="H10054" s="1245"/>
      <c r="I10054" s="1245"/>
    </row>
    <row r="10055" spans="8:9">
      <c r="H10055" s="1245"/>
      <c r="I10055" s="1245"/>
    </row>
    <row r="10056" spans="8:9">
      <c r="H10056" s="1245"/>
      <c r="I10056" s="1245"/>
    </row>
    <row r="10057" spans="8:9">
      <c r="H10057" s="1245"/>
      <c r="I10057" s="1245"/>
    </row>
    <row r="10058" spans="8:9">
      <c r="H10058" s="1245"/>
      <c r="I10058" s="1245"/>
    </row>
    <row r="10059" spans="8:9">
      <c r="H10059" s="1245"/>
      <c r="I10059" s="1245"/>
    </row>
    <row r="10060" spans="8:9">
      <c r="H10060" s="1245"/>
      <c r="I10060" s="1245"/>
    </row>
    <row r="10061" spans="8:9">
      <c r="H10061" s="1245"/>
      <c r="I10061" s="1245"/>
    </row>
    <row r="10062" spans="8:9">
      <c r="H10062" s="1245"/>
      <c r="I10062" s="1245"/>
    </row>
    <row r="10063" spans="8:9">
      <c r="H10063" s="1245"/>
      <c r="I10063" s="1245"/>
    </row>
    <row r="10064" spans="8:9">
      <c r="H10064" s="1245"/>
      <c r="I10064" s="1245"/>
    </row>
    <row r="10065" spans="8:9">
      <c r="H10065" s="1245"/>
      <c r="I10065" s="1245"/>
    </row>
    <row r="10066" spans="8:9">
      <c r="H10066" s="1245"/>
      <c r="I10066" s="1245"/>
    </row>
    <row r="10067" spans="8:9">
      <c r="H10067" s="1245"/>
      <c r="I10067" s="1245"/>
    </row>
    <row r="10068" spans="8:9">
      <c r="H10068" s="1245"/>
      <c r="I10068" s="1245"/>
    </row>
    <row r="10069" spans="8:9">
      <c r="H10069" s="1245"/>
      <c r="I10069" s="1245"/>
    </row>
    <row r="10070" spans="8:9">
      <c r="H10070" s="1245"/>
      <c r="I10070" s="1245"/>
    </row>
    <row r="10071" spans="8:9">
      <c r="H10071" s="1245"/>
      <c r="I10071" s="1245"/>
    </row>
    <row r="10072" spans="8:9">
      <c r="H10072" s="1245"/>
      <c r="I10072" s="1245"/>
    </row>
    <row r="10073" spans="8:9">
      <c r="H10073" s="1245"/>
      <c r="I10073" s="1245"/>
    </row>
    <row r="10074" spans="8:9">
      <c r="H10074" s="1245"/>
      <c r="I10074" s="1245"/>
    </row>
    <row r="10075" spans="8:9">
      <c r="H10075" s="1245"/>
      <c r="I10075" s="1245"/>
    </row>
    <row r="10076" spans="8:9">
      <c r="H10076" s="1245"/>
      <c r="I10076" s="1245"/>
    </row>
    <row r="10077" spans="8:9">
      <c r="H10077" s="1245"/>
      <c r="I10077" s="1245"/>
    </row>
    <row r="10078" spans="8:9">
      <c r="H10078" s="1245"/>
      <c r="I10078" s="1245"/>
    </row>
    <row r="10079" spans="8:9">
      <c r="H10079" s="1245"/>
      <c r="I10079" s="1245"/>
    </row>
    <row r="10080" spans="8:9">
      <c r="H10080" s="1245"/>
      <c r="I10080" s="1245"/>
    </row>
    <row r="10081" spans="8:9">
      <c r="H10081" s="1245"/>
      <c r="I10081" s="1245"/>
    </row>
    <row r="10082" spans="8:9">
      <c r="H10082" s="1245"/>
      <c r="I10082" s="1245"/>
    </row>
    <row r="10083" spans="8:9">
      <c r="H10083" s="1245"/>
      <c r="I10083" s="1245"/>
    </row>
    <row r="10084" spans="8:9">
      <c r="H10084" s="1245"/>
      <c r="I10084" s="1245"/>
    </row>
    <row r="10085" spans="8:9">
      <c r="H10085" s="1245"/>
      <c r="I10085" s="1245"/>
    </row>
    <row r="10086" spans="8:9">
      <c r="H10086" s="1245"/>
      <c r="I10086" s="1245"/>
    </row>
    <row r="10087" spans="8:9">
      <c r="H10087" s="1245"/>
      <c r="I10087" s="1245"/>
    </row>
    <row r="10088" spans="8:9">
      <c r="H10088" s="1245"/>
      <c r="I10088" s="1245"/>
    </row>
    <row r="10089" spans="8:9">
      <c r="H10089" s="1245"/>
      <c r="I10089" s="1245"/>
    </row>
    <row r="10090" spans="8:9">
      <c r="H10090" s="1245"/>
      <c r="I10090" s="1245"/>
    </row>
    <row r="10091" spans="8:9">
      <c r="H10091" s="1245"/>
      <c r="I10091" s="1245"/>
    </row>
    <row r="10092" spans="8:9">
      <c r="H10092" s="1245"/>
      <c r="I10092" s="1245"/>
    </row>
    <row r="10093" spans="8:9">
      <c r="H10093" s="1245"/>
      <c r="I10093" s="1245"/>
    </row>
    <row r="10094" spans="8:9">
      <c r="H10094" s="1245"/>
      <c r="I10094" s="1245"/>
    </row>
    <row r="10095" spans="8:9">
      <c r="H10095" s="1245"/>
      <c r="I10095" s="1245"/>
    </row>
    <row r="10096" spans="8:9">
      <c r="H10096" s="1245"/>
      <c r="I10096" s="1245"/>
    </row>
    <row r="10097" spans="8:9">
      <c r="H10097" s="1245"/>
      <c r="I10097" s="1245"/>
    </row>
    <row r="10098" spans="8:9">
      <c r="H10098" s="1245"/>
      <c r="I10098" s="1245"/>
    </row>
    <row r="10099" spans="8:9">
      <c r="H10099" s="1245"/>
      <c r="I10099" s="1245"/>
    </row>
    <row r="10100" spans="8:9">
      <c r="H10100" s="1245"/>
      <c r="I10100" s="1245"/>
    </row>
    <row r="10101" spans="8:9">
      <c r="H10101" s="1245"/>
      <c r="I10101" s="1245"/>
    </row>
    <row r="10102" spans="8:9">
      <c r="H10102" s="1245"/>
      <c r="I10102" s="1245"/>
    </row>
    <row r="10103" spans="8:9">
      <c r="H10103" s="1245"/>
      <c r="I10103" s="1245"/>
    </row>
    <row r="10104" spans="8:9">
      <c r="H10104" s="1245"/>
      <c r="I10104" s="1245"/>
    </row>
    <row r="10105" spans="8:9">
      <c r="H10105" s="1245"/>
      <c r="I10105" s="1245"/>
    </row>
    <row r="10106" spans="8:9">
      <c r="H10106" s="1245"/>
      <c r="I10106" s="1245"/>
    </row>
    <row r="10107" spans="8:9">
      <c r="H10107" s="1245"/>
      <c r="I10107" s="1245"/>
    </row>
    <row r="10108" spans="8:9">
      <c r="H10108" s="1245"/>
      <c r="I10108" s="1245"/>
    </row>
    <row r="10109" spans="8:9">
      <c r="H10109" s="1245"/>
      <c r="I10109" s="1245"/>
    </row>
    <row r="10110" spans="8:9">
      <c r="H10110" s="1245"/>
      <c r="I10110" s="1245"/>
    </row>
    <row r="10111" spans="8:9">
      <c r="H10111" s="1245"/>
      <c r="I10111" s="1245"/>
    </row>
    <row r="10112" spans="8:9">
      <c r="H10112" s="1245"/>
      <c r="I10112" s="1245"/>
    </row>
    <row r="10113" spans="8:9">
      <c r="H10113" s="1245"/>
      <c r="I10113" s="1245"/>
    </row>
    <row r="10114" spans="8:9">
      <c r="H10114" s="1245"/>
      <c r="I10114" s="1245"/>
    </row>
    <row r="10115" spans="8:9">
      <c r="H10115" s="1245"/>
      <c r="I10115" s="1245"/>
    </row>
    <row r="10116" spans="8:9">
      <c r="H10116" s="1245"/>
      <c r="I10116" s="1245"/>
    </row>
    <row r="10117" spans="8:9">
      <c r="H10117" s="1245"/>
      <c r="I10117" s="1245"/>
    </row>
    <row r="10118" spans="8:9">
      <c r="H10118" s="1245"/>
      <c r="I10118" s="1245"/>
    </row>
    <row r="10119" spans="8:9">
      <c r="H10119" s="1245"/>
      <c r="I10119" s="1245"/>
    </row>
    <row r="10120" spans="8:9">
      <c r="H10120" s="1245"/>
      <c r="I10120" s="1245"/>
    </row>
    <row r="10121" spans="8:9">
      <c r="H10121" s="1245"/>
      <c r="I10121" s="1245"/>
    </row>
    <row r="10122" spans="8:9">
      <c r="H10122" s="1245"/>
      <c r="I10122" s="1245"/>
    </row>
    <row r="10123" spans="8:9">
      <c r="H10123" s="1245"/>
      <c r="I10123" s="1245"/>
    </row>
    <row r="10124" spans="8:9">
      <c r="H10124" s="1245"/>
      <c r="I10124" s="1245"/>
    </row>
    <row r="10125" spans="8:9">
      <c r="H10125" s="1245"/>
      <c r="I10125" s="1245"/>
    </row>
    <row r="10126" spans="8:9">
      <c r="H10126" s="1245"/>
      <c r="I10126" s="1245"/>
    </row>
    <row r="10127" spans="8:9">
      <c r="H10127" s="1245"/>
      <c r="I10127" s="1245"/>
    </row>
    <row r="10128" spans="8:9">
      <c r="H10128" s="1245"/>
      <c r="I10128" s="1245"/>
    </row>
    <row r="10129" spans="8:9">
      <c r="H10129" s="1245"/>
      <c r="I10129" s="1245"/>
    </row>
    <row r="10130" spans="8:9">
      <c r="H10130" s="1245"/>
      <c r="I10130" s="1245"/>
    </row>
    <row r="10131" spans="8:9">
      <c r="H10131" s="1245"/>
      <c r="I10131" s="1245"/>
    </row>
    <row r="10132" spans="8:9">
      <c r="H10132" s="1245"/>
      <c r="I10132" s="1245"/>
    </row>
    <row r="10133" spans="8:9">
      <c r="H10133" s="1245"/>
      <c r="I10133" s="1245"/>
    </row>
    <row r="10134" spans="8:9">
      <c r="H10134" s="1245"/>
      <c r="I10134" s="1245"/>
    </row>
    <row r="10135" spans="8:9">
      <c r="H10135" s="1245"/>
      <c r="I10135" s="1245"/>
    </row>
    <row r="10136" spans="8:9">
      <c r="H10136" s="1245"/>
      <c r="I10136" s="1245"/>
    </row>
    <row r="10137" spans="8:9">
      <c r="H10137" s="1245"/>
      <c r="I10137" s="1245"/>
    </row>
    <row r="10138" spans="8:9">
      <c r="H10138" s="1245"/>
      <c r="I10138" s="1245"/>
    </row>
    <row r="10139" spans="8:9">
      <c r="H10139" s="1245"/>
      <c r="I10139" s="1245"/>
    </row>
    <row r="10140" spans="8:9">
      <c r="H10140" s="1245"/>
      <c r="I10140" s="1245"/>
    </row>
    <row r="10141" spans="8:9">
      <c r="H10141" s="1245"/>
      <c r="I10141" s="1245"/>
    </row>
    <row r="10142" spans="8:9">
      <c r="H10142" s="1245"/>
      <c r="I10142" s="1245"/>
    </row>
    <row r="10143" spans="8:9">
      <c r="H10143" s="1245"/>
      <c r="I10143" s="1245"/>
    </row>
    <row r="10144" spans="8:9">
      <c r="H10144" s="1245"/>
      <c r="I10144" s="1245"/>
    </row>
    <row r="10145" spans="8:9">
      <c r="H10145" s="1245"/>
      <c r="I10145" s="1245"/>
    </row>
    <row r="10146" spans="8:9">
      <c r="H10146" s="1245"/>
      <c r="I10146" s="1245"/>
    </row>
    <row r="10147" spans="8:9">
      <c r="H10147" s="1245"/>
      <c r="I10147" s="1245"/>
    </row>
    <row r="10148" spans="8:9">
      <c r="H10148" s="1245"/>
      <c r="I10148" s="1245"/>
    </row>
    <row r="10149" spans="8:9">
      <c r="H10149" s="1245"/>
      <c r="I10149" s="1245"/>
    </row>
    <row r="10150" spans="8:9">
      <c r="H10150" s="1245"/>
      <c r="I10150" s="1245"/>
    </row>
    <row r="10151" spans="8:9">
      <c r="H10151" s="1245"/>
      <c r="I10151" s="1245"/>
    </row>
    <row r="10152" spans="8:9">
      <c r="H10152" s="1245"/>
      <c r="I10152" s="1245"/>
    </row>
    <row r="10153" spans="8:9">
      <c r="H10153" s="1245"/>
      <c r="I10153" s="1245"/>
    </row>
    <row r="10154" spans="8:9">
      <c r="H10154" s="1245"/>
      <c r="I10154" s="1245"/>
    </row>
    <row r="10155" spans="8:9">
      <c r="H10155" s="1245"/>
      <c r="I10155" s="1245"/>
    </row>
    <row r="10156" spans="8:9">
      <c r="H10156" s="1245"/>
      <c r="I10156" s="1245"/>
    </row>
    <row r="10157" spans="8:9">
      <c r="H10157" s="1245"/>
      <c r="I10157" s="1245"/>
    </row>
    <row r="10158" spans="8:9">
      <c r="H10158" s="1245"/>
      <c r="I10158" s="1245"/>
    </row>
    <row r="10159" spans="8:9">
      <c r="H10159" s="1245"/>
      <c r="I10159" s="1245"/>
    </row>
    <row r="10160" spans="8:9">
      <c r="H10160" s="1245"/>
      <c r="I10160" s="1245"/>
    </row>
    <row r="10161" spans="8:9">
      <c r="H10161" s="1245"/>
      <c r="I10161" s="1245"/>
    </row>
    <row r="10162" spans="8:9">
      <c r="H10162" s="1245"/>
      <c r="I10162" s="1245"/>
    </row>
    <row r="10163" spans="8:9">
      <c r="H10163" s="1245"/>
      <c r="I10163" s="1245"/>
    </row>
    <row r="10164" spans="8:9">
      <c r="H10164" s="1245"/>
      <c r="I10164" s="1245"/>
    </row>
    <row r="10165" spans="8:9">
      <c r="H10165" s="1245"/>
      <c r="I10165" s="1245"/>
    </row>
    <row r="10166" spans="8:9">
      <c r="H10166" s="1245"/>
      <c r="I10166" s="1245"/>
    </row>
    <row r="10167" spans="8:9">
      <c r="H10167" s="1245"/>
      <c r="I10167" s="1245"/>
    </row>
    <row r="10168" spans="8:9">
      <c r="H10168" s="1245"/>
      <c r="I10168" s="1245"/>
    </row>
    <row r="10169" spans="8:9">
      <c r="H10169" s="1245"/>
      <c r="I10169" s="1245"/>
    </row>
    <row r="10170" spans="8:9">
      <c r="H10170" s="1245"/>
      <c r="I10170" s="1245"/>
    </row>
    <row r="10171" spans="8:9">
      <c r="H10171" s="1245"/>
      <c r="I10171" s="1245"/>
    </row>
    <row r="10172" spans="8:9">
      <c r="H10172" s="1245"/>
      <c r="I10172" s="1245"/>
    </row>
    <row r="10173" spans="8:9">
      <c r="H10173" s="1245"/>
      <c r="I10173" s="1245"/>
    </row>
    <row r="10174" spans="8:9">
      <c r="H10174" s="1245"/>
      <c r="I10174" s="1245"/>
    </row>
    <row r="10175" spans="8:9">
      <c r="H10175" s="1245"/>
      <c r="I10175" s="1245"/>
    </row>
    <row r="10176" spans="8:9">
      <c r="H10176" s="1245"/>
      <c r="I10176" s="1245"/>
    </row>
    <row r="10177" spans="8:9">
      <c r="H10177" s="1245"/>
      <c r="I10177" s="1245"/>
    </row>
    <row r="10178" spans="8:9">
      <c r="H10178" s="1245"/>
      <c r="I10178" s="1245"/>
    </row>
    <row r="10179" spans="8:9">
      <c r="H10179" s="1245"/>
      <c r="I10179" s="1245"/>
    </row>
    <row r="10180" spans="8:9">
      <c r="H10180" s="1245"/>
      <c r="I10180" s="1245"/>
    </row>
    <row r="10181" spans="8:9">
      <c r="H10181" s="1245"/>
      <c r="I10181" s="1245"/>
    </row>
    <row r="10182" spans="8:9">
      <c r="H10182" s="1245"/>
      <c r="I10182" s="1245"/>
    </row>
    <row r="10183" spans="8:9">
      <c r="H10183" s="1245"/>
      <c r="I10183" s="1245"/>
    </row>
    <row r="10184" spans="8:9">
      <c r="H10184" s="1245"/>
      <c r="I10184" s="1245"/>
    </row>
    <row r="10185" spans="8:9">
      <c r="H10185" s="1245"/>
      <c r="I10185" s="1245"/>
    </row>
    <row r="10186" spans="8:9">
      <c r="H10186" s="1245"/>
      <c r="I10186" s="1245"/>
    </row>
    <row r="10187" spans="8:9">
      <c r="H10187" s="1245"/>
      <c r="I10187" s="1245"/>
    </row>
    <row r="10188" spans="8:9">
      <c r="H10188" s="1245"/>
      <c r="I10188" s="1245"/>
    </row>
    <row r="10189" spans="8:9">
      <c r="H10189" s="1245"/>
      <c r="I10189" s="1245"/>
    </row>
    <row r="10190" spans="8:9">
      <c r="H10190" s="1245"/>
      <c r="I10190" s="1245"/>
    </row>
    <row r="10191" spans="8:9">
      <c r="H10191" s="1245"/>
      <c r="I10191" s="1245"/>
    </row>
    <row r="10192" spans="8:9">
      <c r="H10192" s="1245"/>
      <c r="I10192" s="1245"/>
    </row>
    <row r="10193" spans="8:9">
      <c r="H10193" s="1245"/>
      <c r="I10193" s="1245"/>
    </row>
    <row r="10194" spans="8:9">
      <c r="H10194" s="1245"/>
      <c r="I10194" s="1245"/>
    </row>
    <row r="10195" spans="8:9">
      <c r="H10195" s="1245"/>
      <c r="I10195" s="1245"/>
    </row>
    <row r="10196" spans="8:9">
      <c r="H10196" s="1245"/>
      <c r="I10196" s="1245"/>
    </row>
    <row r="10197" spans="8:9">
      <c r="H10197" s="1245"/>
      <c r="I10197" s="1245"/>
    </row>
    <row r="10198" spans="8:9">
      <c r="H10198" s="1245"/>
      <c r="I10198" s="1245"/>
    </row>
    <row r="10199" spans="8:9">
      <c r="H10199" s="1245"/>
      <c r="I10199" s="1245"/>
    </row>
    <row r="10200" spans="8:9">
      <c r="H10200" s="1245"/>
      <c r="I10200" s="1245"/>
    </row>
    <row r="10201" spans="8:9">
      <c r="H10201" s="1245"/>
      <c r="I10201" s="1245"/>
    </row>
    <row r="10202" spans="8:9">
      <c r="H10202" s="1245"/>
      <c r="I10202" s="1245"/>
    </row>
    <row r="10203" spans="8:9">
      <c r="H10203" s="1245"/>
      <c r="I10203" s="1245"/>
    </row>
    <row r="10204" spans="8:9">
      <c r="H10204" s="1245"/>
      <c r="I10204" s="1245"/>
    </row>
    <row r="10205" spans="8:9">
      <c r="H10205" s="1245"/>
      <c r="I10205" s="1245"/>
    </row>
    <row r="10206" spans="8:9">
      <c r="H10206" s="1245"/>
      <c r="I10206" s="1245"/>
    </row>
    <row r="10207" spans="8:9">
      <c r="H10207" s="1245"/>
      <c r="I10207" s="1245"/>
    </row>
    <row r="10208" spans="8:9">
      <c r="H10208" s="1245"/>
      <c r="I10208" s="1245"/>
    </row>
    <row r="10209" spans="8:9">
      <c r="H10209" s="1245"/>
      <c r="I10209" s="1245"/>
    </row>
    <row r="10210" spans="8:9">
      <c r="H10210" s="1245"/>
      <c r="I10210" s="1245"/>
    </row>
    <row r="10211" spans="8:9">
      <c r="H10211" s="1245"/>
      <c r="I10211" s="1245"/>
    </row>
    <row r="10212" spans="8:9">
      <c r="H10212" s="1245"/>
      <c r="I10212" s="1245"/>
    </row>
    <row r="10213" spans="8:9">
      <c r="H10213" s="1245"/>
      <c r="I10213" s="1245"/>
    </row>
    <row r="10214" spans="8:9">
      <c r="H10214" s="1245"/>
      <c r="I10214" s="1245"/>
    </row>
    <row r="10215" spans="8:9">
      <c r="H10215" s="1245"/>
      <c r="I10215" s="1245"/>
    </row>
    <row r="10216" spans="8:9">
      <c r="H10216" s="1245"/>
      <c r="I10216" s="1245"/>
    </row>
    <row r="10217" spans="8:9">
      <c r="H10217" s="1245"/>
      <c r="I10217" s="1245"/>
    </row>
    <row r="10218" spans="8:9">
      <c r="H10218" s="1245"/>
      <c r="I10218" s="1245"/>
    </row>
    <row r="10219" spans="8:9">
      <c r="H10219" s="1245"/>
      <c r="I10219" s="1245"/>
    </row>
    <row r="10220" spans="8:9">
      <c r="H10220" s="1245"/>
      <c r="I10220" s="1245"/>
    </row>
    <row r="10221" spans="8:9">
      <c r="H10221" s="1245"/>
      <c r="I10221" s="1245"/>
    </row>
    <row r="10222" spans="8:9">
      <c r="H10222" s="1245"/>
      <c r="I10222" s="1245"/>
    </row>
    <row r="10223" spans="8:9">
      <c r="H10223" s="1245"/>
      <c r="I10223" s="1245"/>
    </row>
    <row r="10224" spans="8:9">
      <c r="H10224" s="1245"/>
      <c r="I10224" s="1245"/>
    </row>
    <row r="10225" spans="8:9">
      <c r="H10225" s="1245"/>
      <c r="I10225" s="1245"/>
    </row>
    <row r="10226" spans="8:9">
      <c r="H10226" s="1245"/>
      <c r="I10226" s="1245"/>
    </row>
    <row r="10227" spans="8:9">
      <c r="H10227" s="1245"/>
      <c r="I10227" s="1245"/>
    </row>
    <row r="10228" spans="8:9">
      <c r="H10228" s="1245"/>
      <c r="I10228" s="1245"/>
    </row>
    <row r="10229" spans="8:9">
      <c r="H10229" s="1245"/>
      <c r="I10229" s="1245"/>
    </row>
    <row r="10230" spans="8:9">
      <c r="H10230" s="1245"/>
      <c r="I10230" s="1245"/>
    </row>
    <row r="10231" spans="8:9">
      <c r="H10231" s="1245"/>
      <c r="I10231" s="1245"/>
    </row>
    <row r="10232" spans="8:9">
      <c r="H10232" s="1245"/>
      <c r="I10232" s="1245"/>
    </row>
    <row r="10233" spans="8:9">
      <c r="H10233" s="1245"/>
      <c r="I10233" s="1245"/>
    </row>
    <row r="10234" spans="8:9">
      <c r="H10234" s="1245"/>
      <c r="I10234" s="1245"/>
    </row>
    <row r="10235" spans="8:9">
      <c r="H10235" s="1245"/>
      <c r="I10235" s="1245"/>
    </row>
    <row r="10236" spans="8:9">
      <c r="H10236" s="1245"/>
      <c r="I10236" s="1245"/>
    </row>
    <row r="10237" spans="8:9">
      <c r="H10237" s="1245"/>
      <c r="I10237" s="1245"/>
    </row>
    <row r="10238" spans="8:9">
      <c r="H10238" s="1245"/>
      <c r="I10238" s="1245"/>
    </row>
    <row r="10239" spans="8:9">
      <c r="H10239" s="1245"/>
      <c r="I10239" s="1245"/>
    </row>
    <row r="10240" spans="8:9">
      <c r="H10240" s="1245"/>
      <c r="I10240" s="1245"/>
    </row>
    <row r="10241" spans="8:9">
      <c r="H10241" s="1245"/>
      <c r="I10241" s="1245"/>
    </row>
    <row r="10242" spans="8:9">
      <c r="H10242" s="1245"/>
      <c r="I10242" s="1245"/>
    </row>
    <row r="10243" spans="8:9">
      <c r="H10243" s="1245"/>
      <c r="I10243" s="1245"/>
    </row>
    <row r="10244" spans="8:9">
      <c r="H10244" s="1245"/>
      <c r="I10244" s="1245"/>
    </row>
    <row r="10245" spans="8:9">
      <c r="H10245" s="1245"/>
      <c r="I10245" s="1245"/>
    </row>
    <row r="10246" spans="8:9">
      <c r="H10246" s="1245"/>
      <c r="I10246" s="1245"/>
    </row>
    <row r="10247" spans="8:9">
      <c r="H10247" s="1245"/>
      <c r="I10247" s="1245"/>
    </row>
    <row r="10248" spans="8:9">
      <c r="H10248" s="1245"/>
      <c r="I10248" s="1245"/>
    </row>
    <row r="10249" spans="8:9">
      <c r="H10249" s="1245"/>
      <c r="I10249" s="1245"/>
    </row>
    <row r="10250" spans="8:9">
      <c r="H10250" s="1245"/>
      <c r="I10250" s="1245"/>
    </row>
    <row r="10251" spans="8:9">
      <c r="H10251" s="1245"/>
      <c r="I10251" s="1245"/>
    </row>
    <row r="10252" spans="8:9">
      <c r="H10252" s="1245"/>
      <c r="I10252" s="1245"/>
    </row>
    <row r="10253" spans="8:9">
      <c r="H10253" s="1245"/>
      <c r="I10253" s="1245"/>
    </row>
    <row r="10254" spans="8:9">
      <c r="H10254" s="1245"/>
      <c r="I10254" s="1245"/>
    </row>
    <row r="10255" spans="8:9">
      <c r="H10255" s="1245"/>
      <c r="I10255" s="1245"/>
    </row>
    <row r="10256" spans="8:9">
      <c r="H10256" s="1245"/>
      <c r="I10256" s="1245"/>
    </row>
    <row r="10257" spans="8:9">
      <c r="H10257" s="1245"/>
      <c r="I10257" s="1245"/>
    </row>
    <row r="10258" spans="8:9">
      <c r="H10258" s="1245"/>
      <c r="I10258" s="1245"/>
    </row>
    <row r="10259" spans="8:9">
      <c r="H10259" s="1245"/>
      <c r="I10259" s="1245"/>
    </row>
    <row r="10260" spans="8:9">
      <c r="H10260" s="1245"/>
      <c r="I10260" s="1245"/>
    </row>
    <row r="10261" spans="8:9">
      <c r="H10261" s="1245"/>
      <c r="I10261" s="1245"/>
    </row>
    <row r="10262" spans="8:9">
      <c r="H10262" s="1245"/>
      <c r="I10262" s="1245"/>
    </row>
    <row r="10263" spans="8:9">
      <c r="H10263" s="1245"/>
      <c r="I10263" s="1245"/>
    </row>
    <row r="10264" spans="8:9">
      <c r="H10264" s="1245"/>
      <c r="I10264" s="1245"/>
    </row>
    <row r="10265" spans="8:9">
      <c r="H10265" s="1245"/>
      <c r="I10265" s="1245"/>
    </row>
    <row r="10266" spans="8:9">
      <c r="H10266" s="1245"/>
      <c r="I10266" s="1245"/>
    </row>
    <row r="10267" spans="8:9">
      <c r="H10267" s="1245"/>
      <c r="I10267" s="1245"/>
    </row>
    <row r="10268" spans="8:9">
      <c r="H10268" s="1245"/>
      <c r="I10268" s="1245"/>
    </row>
    <row r="10269" spans="8:9">
      <c r="H10269" s="1245"/>
      <c r="I10269" s="1245"/>
    </row>
    <row r="10270" spans="8:9">
      <c r="H10270" s="1245"/>
      <c r="I10270" s="1245"/>
    </row>
    <row r="10271" spans="8:9">
      <c r="H10271" s="1245"/>
      <c r="I10271" s="1245"/>
    </row>
    <row r="10272" spans="8:9">
      <c r="H10272" s="1245"/>
      <c r="I10272" s="1245"/>
    </row>
    <row r="10273" spans="8:9">
      <c r="H10273" s="1245"/>
      <c r="I10273" s="1245"/>
    </row>
    <row r="10274" spans="8:9">
      <c r="H10274" s="1245"/>
      <c r="I10274" s="1245"/>
    </row>
    <row r="10275" spans="8:9">
      <c r="H10275" s="1245"/>
      <c r="I10275" s="1245"/>
    </row>
    <row r="10276" spans="8:9">
      <c r="H10276" s="1245"/>
      <c r="I10276" s="1245"/>
    </row>
    <row r="10277" spans="8:9">
      <c r="H10277" s="1245"/>
      <c r="I10277" s="1245"/>
    </row>
    <row r="10278" spans="8:9">
      <c r="H10278" s="1245"/>
      <c r="I10278" s="1245"/>
    </row>
    <row r="10279" spans="8:9">
      <c r="H10279" s="1245"/>
      <c r="I10279" s="1245"/>
    </row>
    <row r="10280" spans="8:9">
      <c r="H10280" s="1245"/>
      <c r="I10280" s="1245"/>
    </row>
    <row r="10281" spans="8:9">
      <c r="H10281" s="1245"/>
      <c r="I10281" s="1245"/>
    </row>
    <row r="10282" spans="8:9">
      <c r="H10282" s="1245"/>
      <c r="I10282" s="1245"/>
    </row>
    <row r="10283" spans="8:9">
      <c r="H10283" s="1245"/>
      <c r="I10283" s="1245"/>
    </row>
    <row r="10284" spans="8:9">
      <c r="H10284" s="1245"/>
      <c r="I10284" s="1245"/>
    </row>
    <row r="10285" spans="8:9">
      <c r="H10285" s="1245"/>
      <c r="I10285" s="1245"/>
    </row>
    <row r="10286" spans="8:9">
      <c r="H10286" s="1245"/>
      <c r="I10286" s="1245"/>
    </row>
    <row r="10287" spans="8:9">
      <c r="H10287" s="1245"/>
      <c r="I10287" s="1245"/>
    </row>
    <row r="10288" spans="8:9">
      <c r="H10288" s="1245"/>
      <c r="I10288" s="1245"/>
    </row>
    <row r="10289" spans="8:9">
      <c r="H10289" s="1245"/>
      <c r="I10289" s="1245"/>
    </row>
    <row r="10290" spans="8:9">
      <c r="H10290" s="1245"/>
      <c r="I10290" s="1245"/>
    </row>
    <row r="10291" spans="8:9">
      <c r="H10291" s="1245"/>
      <c r="I10291" s="1245"/>
    </row>
    <row r="10292" spans="8:9">
      <c r="H10292" s="1245"/>
      <c r="I10292" s="1245"/>
    </row>
    <row r="10293" spans="8:9">
      <c r="H10293" s="1245"/>
      <c r="I10293" s="1245"/>
    </row>
    <row r="10294" spans="8:9">
      <c r="H10294" s="1245"/>
      <c r="I10294" s="1245"/>
    </row>
    <row r="10295" spans="8:9">
      <c r="H10295" s="1245"/>
      <c r="I10295" s="1245"/>
    </row>
    <row r="10296" spans="8:9">
      <c r="H10296" s="1245"/>
      <c r="I10296" s="1245"/>
    </row>
    <row r="10297" spans="8:9">
      <c r="H10297" s="1245"/>
      <c r="I10297" s="1245"/>
    </row>
    <row r="10298" spans="8:9">
      <c r="H10298" s="1245"/>
      <c r="I10298" s="1245"/>
    </row>
    <row r="10299" spans="8:9">
      <c r="H10299" s="1245"/>
      <c r="I10299" s="1245"/>
    </row>
    <row r="10300" spans="8:9">
      <c r="H10300" s="1245"/>
      <c r="I10300" s="1245"/>
    </row>
    <row r="10301" spans="8:9">
      <c r="H10301" s="1245"/>
      <c r="I10301" s="1245"/>
    </row>
    <row r="10302" spans="8:9">
      <c r="H10302" s="1245"/>
      <c r="I10302" s="1245"/>
    </row>
    <row r="10303" spans="8:9">
      <c r="H10303" s="1245"/>
      <c r="I10303" s="1245"/>
    </row>
    <row r="10304" spans="8:9">
      <c r="H10304" s="1245"/>
      <c r="I10304" s="1245"/>
    </row>
    <row r="10305" spans="8:9">
      <c r="H10305" s="1245"/>
      <c r="I10305" s="1245"/>
    </row>
    <row r="10306" spans="8:9">
      <c r="H10306" s="1245"/>
      <c r="I10306" s="1245"/>
    </row>
    <row r="10307" spans="8:9">
      <c r="H10307" s="1245"/>
      <c r="I10307" s="1245"/>
    </row>
    <row r="10308" spans="8:9">
      <c r="H10308" s="1245"/>
      <c r="I10308" s="1245"/>
    </row>
    <row r="10309" spans="8:9">
      <c r="H10309" s="1245"/>
      <c r="I10309" s="1245"/>
    </row>
    <row r="10310" spans="8:9">
      <c r="H10310" s="1245"/>
      <c r="I10310" s="1245"/>
    </row>
    <row r="10311" spans="8:9">
      <c r="H10311" s="1245"/>
      <c r="I10311" s="1245"/>
    </row>
    <row r="10312" spans="8:9">
      <c r="H10312" s="1245"/>
      <c r="I10312" s="1245"/>
    </row>
    <row r="10313" spans="8:9">
      <c r="H10313" s="1245"/>
      <c r="I10313" s="1245"/>
    </row>
    <row r="10314" spans="8:9">
      <c r="H10314" s="1245"/>
      <c r="I10314" s="1245"/>
    </row>
    <row r="10315" spans="8:9">
      <c r="H10315" s="1245"/>
      <c r="I10315" s="1245"/>
    </row>
    <row r="10316" spans="8:9">
      <c r="H10316" s="1245"/>
      <c r="I10316" s="1245"/>
    </row>
    <row r="10317" spans="8:9">
      <c r="H10317" s="1245"/>
      <c r="I10317" s="1245"/>
    </row>
    <row r="10318" spans="8:9">
      <c r="H10318" s="1245"/>
      <c r="I10318" s="1245"/>
    </row>
    <row r="10319" spans="8:9">
      <c r="H10319" s="1245"/>
      <c r="I10319" s="1245"/>
    </row>
    <row r="10320" spans="8:9">
      <c r="H10320" s="1245"/>
      <c r="I10320" s="1245"/>
    </row>
    <row r="10321" spans="8:9">
      <c r="H10321" s="1245"/>
      <c r="I10321" s="1245"/>
    </row>
    <row r="10322" spans="8:9">
      <c r="H10322" s="1245"/>
      <c r="I10322" s="1245"/>
    </row>
    <row r="10323" spans="8:9">
      <c r="H10323" s="1245"/>
      <c r="I10323" s="1245"/>
    </row>
    <row r="10324" spans="8:9">
      <c r="H10324" s="1245"/>
      <c r="I10324" s="1245"/>
    </row>
    <row r="10325" spans="8:9">
      <c r="H10325" s="1245"/>
      <c r="I10325" s="1245"/>
    </row>
    <row r="10326" spans="8:9">
      <c r="H10326" s="1245"/>
      <c r="I10326" s="1245"/>
    </row>
    <row r="10327" spans="8:9">
      <c r="H10327" s="1245"/>
      <c r="I10327" s="1245"/>
    </row>
    <row r="10328" spans="8:9">
      <c r="H10328" s="1245"/>
      <c r="I10328" s="1245"/>
    </row>
    <row r="10329" spans="8:9">
      <c r="H10329" s="1245"/>
      <c r="I10329" s="1245"/>
    </row>
    <row r="10330" spans="8:9">
      <c r="H10330" s="1245"/>
      <c r="I10330" s="1245"/>
    </row>
    <row r="10331" spans="8:9">
      <c r="H10331" s="1245"/>
      <c r="I10331" s="1245"/>
    </row>
    <row r="10332" spans="8:9">
      <c r="H10332" s="1245"/>
      <c r="I10332" s="1245"/>
    </row>
    <row r="10333" spans="8:9">
      <c r="H10333" s="1245"/>
      <c r="I10333" s="1245"/>
    </row>
    <row r="10334" spans="8:9">
      <c r="H10334" s="1245"/>
      <c r="I10334" s="1245"/>
    </row>
    <row r="10335" spans="8:9">
      <c r="H10335" s="1245"/>
      <c r="I10335" s="1245"/>
    </row>
    <row r="10336" spans="8:9">
      <c r="H10336" s="1245"/>
      <c r="I10336" s="1245"/>
    </row>
    <row r="10337" spans="8:9">
      <c r="H10337" s="1245"/>
      <c r="I10337" s="1245"/>
    </row>
    <row r="10338" spans="8:9">
      <c r="H10338" s="1245"/>
      <c r="I10338" s="1245"/>
    </row>
    <row r="10339" spans="8:9">
      <c r="H10339" s="1245"/>
      <c r="I10339" s="1245"/>
    </row>
    <row r="10340" spans="8:9">
      <c r="H10340" s="1245"/>
      <c r="I10340" s="1245"/>
    </row>
    <row r="10341" spans="8:9">
      <c r="H10341" s="1245"/>
      <c r="I10341" s="1245"/>
    </row>
    <row r="10342" spans="8:9">
      <c r="H10342" s="1245"/>
      <c r="I10342" s="1245"/>
    </row>
    <row r="10343" spans="8:9">
      <c r="H10343" s="1245"/>
      <c r="I10343" s="1245"/>
    </row>
    <row r="10344" spans="8:9">
      <c r="H10344" s="1245"/>
      <c r="I10344" s="1245"/>
    </row>
    <row r="10345" spans="8:9">
      <c r="H10345" s="1245"/>
      <c r="I10345" s="1245"/>
    </row>
    <row r="10346" spans="8:9">
      <c r="H10346" s="1245"/>
      <c r="I10346" s="1245"/>
    </row>
    <row r="10347" spans="8:9">
      <c r="H10347" s="1245"/>
      <c r="I10347" s="1245"/>
    </row>
    <row r="10348" spans="8:9">
      <c r="H10348" s="1245"/>
      <c r="I10348" s="1245"/>
    </row>
    <row r="10349" spans="8:9">
      <c r="H10349" s="1245"/>
      <c r="I10349" s="1245"/>
    </row>
    <row r="10350" spans="8:9">
      <c r="H10350" s="1245"/>
      <c r="I10350" s="1245"/>
    </row>
    <row r="10351" spans="8:9">
      <c r="H10351" s="1245"/>
      <c r="I10351" s="1245"/>
    </row>
    <row r="10352" spans="8:9">
      <c r="H10352" s="1245"/>
      <c r="I10352" s="1245"/>
    </row>
    <row r="10353" spans="8:9">
      <c r="H10353" s="1245"/>
      <c r="I10353" s="1245"/>
    </row>
    <row r="10354" spans="8:9">
      <c r="H10354" s="1245"/>
      <c r="I10354" s="1245"/>
    </row>
    <row r="10355" spans="8:9">
      <c r="H10355" s="1245"/>
      <c r="I10355" s="1245"/>
    </row>
    <row r="10356" spans="8:9">
      <c r="H10356" s="1245"/>
      <c r="I10356" s="1245"/>
    </row>
    <row r="10357" spans="8:9">
      <c r="H10357" s="1245"/>
      <c r="I10357" s="1245"/>
    </row>
    <row r="10358" spans="8:9">
      <c r="H10358" s="1245"/>
      <c r="I10358" s="1245"/>
    </row>
    <row r="10359" spans="8:9">
      <c r="H10359" s="1245"/>
      <c r="I10359" s="1245"/>
    </row>
    <row r="10360" spans="8:9">
      <c r="H10360" s="1245"/>
      <c r="I10360" s="1245"/>
    </row>
    <row r="10361" spans="8:9">
      <c r="H10361" s="1245"/>
      <c r="I10361" s="1245"/>
    </row>
    <row r="10362" spans="8:9">
      <c r="H10362" s="1245"/>
      <c r="I10362" s="1245"/>
    </row>
    <row r="10363" spans="8:9">
      <c r="H10363" s="1245"/>
      <c r="I10363" s="1245"/>
    </row>
    <row r="10364" spans="8:9">
      <c r="H10364" s="1245"/>
      <c r="I10364" s="1245"/>
    </row>
    <row r="10365" spans="8:9">
      <c r="H10365" s="1245"/>
      <c r="I10365" s="1245"/>
    </row>
    <row r="10366" spans="8:9">
      <c r="H10366" s="1245"/>
      <c r="I10366" s="1245"/>
    </row>
    <row r="10367" spans="8:9">
      <c r="H10367" s="1245"/>
      <c r="I10367" s="1245"/>
    </row>
    <row r="10368" spans="8:9">
      <c r="H10368" s="1245"/>
      <c r="I10368" s="1245"/>
    </row>
    <row r="10369" spans="8:9">
      <c r="H10369" s="1245"/>
      <c r="I10369" s="1245"/>
    </row>
    <row r="10370" spans="8:9">
      <c r="H10370" s="1245"/>
      <c r="I10370" s="1245"/>
    </row>
    <row r="10371" spans="8:9">
      <c r="H10371" s="1245"/>
      <c r="I10371" s="1245"/>
    </row>
    <row r="10372" spans="8:9">
      <c r="H10372" s="1245"/>
      <c r="I10372" s="1245"/>
    </row>
    <row r="10373" spans="8:9">
      <c r="H10373" s="1245"/>
      <c r="I10373" s="1245"/>
    </row>
    <row r="10374" spans="8:9">
      <c r="H10374" s="1245"/>
      <c r="I10374" s="1245"/>
    </row>
    <row r="10375" spans="8:9">
      <c r="H10375" s="1245"/>
      <c r="I10375" s="1245"/>
    </row>
    <row r="10376" spans="8:9">
      <c r="H10376" s="1245"/>
      <c r="I10376" s="1245"/>
    </row>
    <row r="10377" spans="8:9">
      <c r="H10377" s="1245"/>
      <c r="I10377" s="1245"/>
    </row>
    <row r="10378" spans="8:9">
      <c r="H10378" s="1245"/>
      <c r="I10378" s="1245"/>
    </row>
    <row r="10379" spans="8:9">
      <c r="H10379" s="1245"/>
      <c r="I10379" s="1245"/>
    </row>
    <row r="10380" spans="8:9">
      <c r="H10380" s="1245"/>
      <c r="I10380" s="1245"/>
    </row>
    <row r="10381" spans="8:9">
      <c r="H10381" s="1245"/>
      <c r="I10381" s="1245"/>
    </row>
    <row r="10382" spans="8:9">
      <c r="H10382" s="1245"/>
      <c r="I10382" s="1245"/>
    </row>
    <row r="10383" spans="8:9">
      <c r="H10383" s="1245"/>
      <c r="I10383" s="1245"/>
    </row>
    <row r="10384" spans="8:9">
      <c r="H10384" s="1245"/>
      <c r="I10384" s="1245"/>
    </row>
    <row r="10385" spans="8:9">
      <c r="H10385" s="1245"/>
      <c r="I10385" s="1245"/>
    </row>
    <row r="10386" spans="8:9">
      <c r="H10386" s="1245"/>
      <c r="I10386" s="1245"/>
    </row>
    <row r="10387" spans="8:9">
      <c r="H10387" s="1245"/>
      <c r="I10387" s="1245"/>
    </row>
    <row r="10388" spans="8:9">
      <c r="H10388" s="1245"/>
      <c r="I10388" s="1245"/>
    </row>
    <row r="10389" spans="8:9">
      <c r="H10389" s="1245"/>
      <c r="I10389" s="1245"/>
    </row>
    <row r="10390" spans="8:9">
      <c r="H10390" s="1245"/>
      <c r="I10390" s="1245"/>
    </row>
    <row r="10391" spans="8:9">
      <c r="H10391" s="1245"/>
      <c r="I10391" s="1245"/>
    </row>
    <row r="10392" spans="8:9">
      <c r="H10392" s="1245"/>
      <c r="I10392" s="1245"/>
    </row>
    <row r="10393" spans="8:9">
      <c r="H10393" s="1245"/>
      <c r="I10393" s="1245"/>
    </row>
    <row r="10394" spans="8:9">
      <c r="H10394" s="1245"/>
      <c r="I10394" s="1245"/>
    </row>
    <row r="10395" spans="8:9">
      <c r="H10395" s="1245"/>
      <c r="I10395" s="1245"/>
    </row>
    <row r="10396" spans="8:9">
      <c r="H10396" s="1245"/>
      <c r="I10396" s="1245"/>
    </row>
    <row r="10397" spans="8:9">
      <c r="H10397" s="1245"/>
      <c r="I10397" s="1245"/>
    </row>
    <row r="10398" spans="8:9">
      <c r="H10398" s="1245"/>
      <c r="I10398" s="1245"/>
    </row>
    <row r="10399" spans="8:9">
      <c r="H10399" s="1245"/>
      <c r="I10399" s="1245"/>
    </row>
    <row r="10400" spans="8:9">
      <c r="H10400" s="1245"/>
      <c r="I10400" s="1245"/>
    </row>
    <row r="10401" spans="8:9">
      <c r="H10401" s="1245"/>
      <c r="I10401" s="1245"/>
    </row>
    <row r="10402" spans="8:9">
      <c r="H10402" s="1245"/>
      <c r="I10402" s="1245"/>
    </row>
    <row r="10403" spans="8:9">
      <c r="H10403" s="1245"/>
      <c r="I10403" s="1245"/>
    </row>
    <row r="10404" spans="8:9">
      <c r="H10404" s="1245"/>
      <c r="I10404" s="1245"/>
    </row>
    <row r="10405" spans="8:9">
      <c r="H10405" s="1245"/>
      <c r="I10405" s="1245"/>
    </row>
    <row r="10406" spans="8:9">
      <c r="H10406" s="1245"/>
      <c r="I10406" s="1245"/>
    </row>
    <row r="10407" spans="8:9">
      <c r="H10407" s="1245"/>
      <c r="I10407" s="1245"/>
    </row>
    <row r="10408" spans="8:9">
      <c r="H10408" s="1245"/>
      <c r="I10408" s="1245"/>
    </row>
    <row r="10409" spans="8:9">
      <c r="H10409" s="1245"/>
      <c r="I10409" s="1245"/>
    </row>
    <row r="10410" spans="8:9">
      <c r="H10410" s="1245"/>
      <c r="I10410" s="1245"/>
    </row>
    <row r="10411" spans="8:9">
      <c r="H10411" s="1245"/>
      <c r="I10411" s="1245"/>
    </row>
    <row r="10412" spans="8:9">
      <c r="H10412" s="1245"/>
      <c r="I10412" s="1245"/>
    </row>
    <row r="10413" spans="8:9">
      <c r="H10413" s="1245"/>
      <c r="I10413" s="1245"/>
    </row>
    <row r="10414" spans="8:9">
      <c r="H10414" s="1245"/>
      <c r="I10414" s="1245"/>
    </row>
    <row r="10415" spans="8:9">
      <c r="H10415" s="1245"/>
      <c r="I10415" s="1245"/>
    </row>
    <row r="10416" spans="8:9">
      <c r="H10416" s="1245"/>
      <c r="I10416" s="1245"/>
    </row>
    <row r="10417" spans="8:9">
      <c r="H10417" s="1245"/>
      <c r="I10417" s="1245"/>
    </row>
    <row r="10418" spans="8:9">
      <c r="H10418" s="1245"/>
      <c r="I10418" s="1245"/>
    </row>
    <row r="10419" spans="8:9">
      <c r="H10419" s="1245"/>
      <c r="I10419" s="1245"/>
    </row>
    <row r="10420" spans="8:9">
      <c r="H10420" s="1245"/>
      <c r="I10420" s="1245"/>
    </row>
    <row r="10421" spans="8:9">
      <c r="H10421" s="1245"/>
      <c r="I10421" s="1245"/>
    </row>
    <row r="10422" spans="8:9">
      <c r="H10422" s="1245"/>
      <c r="I10422" s="1245"/>
    </row>
    <row r="10423" spans="8:9">
      <c r="H10423" s="1245"/>
      <c r="I10423" s="1245"/>
    </row>
    <row r="10424" spans="8:9">
      <c r="H10424" s="1245"/>
      <c r="I10424" s="1245"/>
    </row>
    <row r="10425" spans="8:9">
      <c r="H10425" s="1245"/>
      <c r="I10425" s="1245"/>
    </row>
    <row r="10426" spans="8:9">
      <c r="H10426" s="1245"/>
      <c r="I10426" s="1245"/>
    </row>
    <row r="10427" spans="8:9">
      <c r="H10427" s="1245"/>
      <c r="I10427" s="1245"/>
    </row>
    <row r="10428" spans="8:9">
      <c r="H10428" s="1245"/>
      <c r="I10428" s="1245"/>
    </row>
    <row r="10429" spans="8:9">
      <c r="H10429" s="1245"/>
      <c r="I10429" s="1245"/>
    </row>
    <row r="10430" spans="8:9">
      <c r="H10430" s="1245"/>
      <c r="I10430" s="1245"/>
    </row>
    <row r="10431" spans="8:9">
      <c r="H10431" s="1245"/>
      <c r="I10431" s="1245"/>
    </row>
    <row r="10432" spans="8:9">
      <c r="H10432" s="1245"/>
      <c r="I10432" s="1245"/>
    </row>
    <row r="10433" spans="8:9">
      <c r="H10433" s="1245"/>
      <c r="I10433" s="1245"/>
    </row>
    <row r="10434" spans="8:9">
      <c r="H10434" s="1245"/>
      <c r="I10434" s="1245"/>
    </row>
    <row r="10435" spans="8:9">
      <c r="H10435" s="1245"/>
      <c r="I10435" s="1245"/>
    </row>
    <row r="10436" spans="8:9">
      <c r="H10436" s="1245"/>
      <c r="I10436" s="1245"/>
    </row>
    <row r="10437" spans="8:9">
      <c r="H10437" s="1245"/>
      <c r="I10437" s="1245"/>
    </row>
    <row r="10438" spans="8:9">
      <c r="H10438" s="1245"/>
      <c r="I10438" s="1245"/>
    </row>
    <row r="10439" spans="8:9">
      <c r="H10439" s="1245"/>
      <c r="I10439" s="1245"/>
    </row>
    <row r="10440" spans="8:9">
      <c r="H10440" s="1245"/>
      <c r="I10440" s="1245"/>
    </row>
    <row r="10441" spans="8:9">
      <c r="H10441" s="1245"/>
      <c r="I10441" s="1245"/>
    </row>
    <row r="10442" spans="8:9">
      <c r="H10442" s="1245"/>
      <c r="I10442" s="1245"/>
    </row>
    <row r="10443" spans="8:9">
      <c r="H10443" s="1245"/>
      <c r="I10443" s="1245"/>
    </row>
    <row r="10444" spans="8:9">
      <c r="H10444" s="1245"/>
      <c r="I10444" s="1245"/>
    </row>
    <row r="10445" spans="8:9">
      <c r="H10445" s="1245"/>
      <c r="I10445" s="1245"/>
    </row>
    <row r="10446" spans="8:9">
      <c r="H10446" s="1245"/>
      <c r="I10446" s="1245"/>
    </row>
    <row r="10447" spans="8:9">
      <c r="H10447" s="1245"/>
      <c r="I10447" s="1245"/>
    </row>
    <row r="10448" spans="8:9">
      <c r="H10448" s="1245"/>
      <c r="I10448" s="1245"/>
    </row>
    <row r="10449" spans="8:9">
      <c r="H10449" s="1245"/>
      <c r="I10449" s="1245"/>
    </row>
    <row r="10450" spans="8:9">
      <c r="H10450" s="1245"/>
      <c r="I10450" s="1245"/>
    </row>
    <row r="10451" spans="8:9">
      <c r="H10451" s="1245"/>
      <c r="I10451" s="1245"/>
    </row>
    <row r="10452" spans="8:9">
      <c r="H10452" s="1245"/>
      <c r="I10452" s="1245"/>
    </row>
    <row r="10453" spans="8:9">
      <c r="H10453" s="1245"/>
      <c r="I10453" s="1245"/>
    </row>
    <row r="10454" spans="8:9">
      <c r="H10454" s="1245"/>
      <c r="I10454" s="1245"/>
    </row>
    <row r="10455" spans="8:9">
      <c r="H10455" s="1245"/>
      <c r="I10455" s="1245"/>
    </row>
    <row r="10456" spans="8:9">
      <c r="H10456" s="1245"/>
      <c r="I10456" s="1245"/>
    </row>
    <row r="10457" spans="8:9">
      <c r="H10457" s="1245"/>
      <c r="I10457" s="1245"/>
    </row>
    <row r="10458" spans="8:9">
      <c r="H10458" s="1245"/>
      <c r="I10458" s="1245"/>
    </row>
    <row r="10459" spans="8:9">
      <c r="H10459" s="1245"/>
      <c r="I10459" s="1245"/>
    </row>
    <row r="10460" spans="8:9">
      <c r="H10460" s="1245"/>
      <c r="I10460" s="1245"/>
    </row>
    <row r="10461" spans="8:9">
      <c r="H10461" s="1245"/>
      <c r="I10461" s="1245"/>
    </row>
    <row r="10462" spans="8:9">
      <c r="H10462" s="1245"/>
      <c r="I10462" s="1245"/>
    </row>
    <row r="10463" spans="8:9">
      <c r="H10463" s="1245"/>
      <c r="I10463" s="1245"/>
    </row>
    <row r="10464" spans="8:9">
      <c r="H10464" s="1245"/>
      <c r="I10464" s="1245"/>
    </row>
    <row r="10465" spans="8:9">
      <c r="H10465" s="1245"/>
      <c r="I10465" s="1245"/>
    </row>
    <row r="10466" spans="8:9">
      <c r="H10466" s="1245"/>
      <c r="I10466" s="1245"/>
    </row>
    <row r="10467" spans="8:9">
      <c r="H10467" s="1245"/>
      <c r="I10467" s="1245"/>
    </row>
    <row r="10468" spans="8:9">
      <c r="H10468" s="1245"/>
      <c r="I10468" s="1245"/>
    </row>
    <row r="10469" spans="8:9">
      <c r="H10469" s="1245"/>
      <c r="I10469" s="1245"/>
    </row>
    <row r="10470" spans="8:9">
      <c r="H10470" s="1245"/>
      <c r="I10470" s="1245"/>
    </row>
    <row r="10471" spans="8:9">
      <c r="H10471" s="1245"/>
      <c r="I10471" s="1245"/>
    </row>
    <row r="10472" spans="8:9">
      <c r="H10472" s="1245"/>
      <c r="I10472" s="1245"/>
    </row>
    <row r="10473" spans="8:9">
      <c r="H10473" s="1245"/>
      <c r="I10473" s="1245"/>
    </row>
    <row r="10474" spans="8:9">
      <c r="H10474" s="1245"/>
      <c r="I10474" s="1245"/>
    </row>
    <row r="10475" spans="8:9">
      <c r="H10475" s="1245"/>
      <c r="I10475" s="1245"/>
    </row>
    <row r="10476" spans="8:9">
      <c r="H10476" s="1245"/>
      <c r="I10476" s="1245"/>
    </row>
    <row r="10477" spans="8:9">
      <c r="H10477" s="1245"/>
      <c r="I10477" s="1245"/>
    </row>
    <row r="10478" spans="8:9">
      <c r="H10478" s="1245"/>
      <c r="I10478" s="1245"/>
    </row>
    <row r="10479" spans="8:9">
      <c r="H10479" s="1245"/>
      <c r="I10479" s="1245"/>
    </row>
    <row r="10480" spans="8:9">
      <c r="H10480" s="1245"/>
      <c r="I10480" s="1245"/>
    </row>
    <row r="10481" spans="8:9">
      <c r="H10481" s="1245"/>
      <c r="I10481" s="1245"/>
    </row>
    <row r="10482" spans="8:9">
      <c r="H10482" s="1245"/>
      <c r="I10482" s="1245"/>
    </row>
    <row r="10483" spans="8:9">
      <c r="H10483" s="1245"/>
      <c r="I10483" s="1245"/>
    </row>
    <row r="10484" spans="8:9">
      <c r="H10484" s="1245"/>
      <c r="I10484" s="1245"/>
    </row>
    <row r="10485" spans="8:9">
      <c r="H10485" s="1245"/>
      <c r="I10485" s="1245"/>
    </row>
    <row r="10486" spans="8:9">
      <c r="H10486" s="1245"/>
      <c r="I10486" s="1245"/>
    </row>
    <row r="10487" spans="8:9">
      <c r="H10487" s="1245"/>
      <c r="I10487" s="1245"/>
    </row>
    <row r="10488" spans="8:9">
      <c r="H10488" s="1245"/>
      <c r="I10488" s="1245"/>
    </row>
    <row r="10489" spans="8:9">
      <c r="H10489" s="1245"/>
      <c r="I10489" s="1245"/>
    </row>
    <row r="10490" spans="8:9">
      <c r="H10490" s="1245"/>
      <c r="I10490" s="1245"/>
    </row>
    <row r="10491" spans="8:9">
      <c r="H10491" s="1245"/>
      <c r="I10491" s="1245"/>
    </row>
    <row r="10492" spans="8:9">
      <c r="H10492" s="1245"/>
      <c r="I10492" s="1245"/>
    </row>
    <row r="10493" spans="8:9">
      <c r="H10493" s="1245"/>
      <c r="I10493" s="1245"/>
    </row>
    <row r="10494" spans="8:9">
      <c r="H10494" s="1245"/>
      <c r="I10494" s="1245"/>
    </row>
    <row r="10495" spans="8:9">
      <c r="H10495" s="1245"/>
      <c r="I10495" s="1245"/>
    </row>
    <row r="10496" spans="8:9">
      <c r="H10496" s="1245"/>
      <c r="I10496" s="1245"/>
    </row>
    <row r="10497" spans="8:9">
      <c r="H10497" s="1245"/>
      <c r="I10497" s="1245"/>
    </row>
    <row r="10498" spans="8:9">
      <c r="H10498" s="1245"/>
      <c r="I10498" s="1245"/>
    </row>
    <row r="10499" spans="8:9">
      <c r="H10499" s="1245"/>
      <c r="I10499" s="1245"/>
    </row>
    <row r="10500" spans="8:9">
      <c r="H10500" s="1245"/>
      <c r="I10500" s="1245"/>
    </row>
    <row r="10501" spans="8:9">
      <c r="H10501" s="1245"/>
      <c r="I10501" s="1245"/>
    </row>
    <row r="10502" spans="8:9">
      <c r="H10502" s="1245"/>
      <c r="I10502" s="1245"/>
    </row>
    <row r="10503" spans="8:9">
      <c r="H10503" s="1245"/>
      <c r="I10503" s="1245"/>
    </row>
    <row r="10504" spans="8:9">
      <c r="H10504" s="1245"/>
      <c r="I10504" s="1245"/>
    </row>
    <row r="10505" spans="8:9">
      <c r="H10505" s="1245"/>
      <c r="I10505" s="1245"/>
    </row>
    <row r="10506" spans="8:9">
      <c r="H10506" s="1245"/>
      <c r="I10506" s="1245"/>
    </row>
    <row r="10507" spans="8:9">
      <c r="H10507" s="1245"/>
      <c r="I10507" s="1245"/>
    </row>
    <row r="10508" spans="8:9">
      <c r="H10508" s="1245"/>
      <c r="I10508" s="1245"/>
    </row>
    <row r="10509" spans="8:9">
      <c r="H10509" s="1245"/>
      <c r="I10509" s="1245"/>
    </row>
    <row r="10510" spans="8:9">
      <c r="H10510" s="1245"/>
      <c r="I10510" s="1245"/>
    </row>
    <row r="10511" spans="8:9">
      <c r="H10511" s="1245"/>
      <c r="I10511" s="1245"/>
    </row>
    <row r="10512" spans="8:9">
      <c r="H10512" s="1245"/>
      <c r="I10512" s="1245"/>
    </row>
    <row r="10513" spans="8:9">
      <c r="H10513" s="1245"/>
      <c r="I10513" s="1245"/>
    </row>
    <row r="10514" spans="8:9">
      <c r="H10514" s="1245"/>
      <c r="I10514" s="1245"/>
    </row>
    <row r="10515" spans="8:9">
      <c r="H10515" s="1245"/>
      <c r="I10515" s="1245"/>
    </row>
    <row r="10516" spans="8:9">
      <c r="H10516" s="1245"/>
      <c r="I10516" s="1245"/>
    </row>
    <row r="10517" spans="8:9">
      <c r="H10517" s="1245"/>
      <c r="I10517" s="1245"/>
    </row>
    <row r="10518" spans="8:9">
      <c r="H10518" s="1245"/>
      <c r="I10518" s="1245"/>
    </row>
    <row r="10519" spans="8:9">
      <c r="H10519" s="1245"/>
      <c r="I10519" s="1245"/>
    </row>
    <row r="10520" spans="8:9">
      <c r="H10520" s="1245"/>
      <c r="I10520" s="1245"/>
    </row>
    <row r="10521" spans="8:9">
      <c r="H10521" s="1245"/>
      <c r="I10521" s="1245"/>
    </row>
    <row r="10522" spans="8:9">
      <c r="H10522" s="1245"/>
      <c r="I10522" s="1245"/>
    </row>
    <row r="10523" spans="8:9">
      <c r="H10523" s="1245"/>
      <c r="I10523" s="1245"/>
    </row>
    <row r="10524" spans="8:9">
      <c r="H10524" s="1245"/>
      <c r="I10524" s="1245"/>
    </row>
    <row r="10525" spans="8:9">
      <c r="H10525" s="1245"/>
      <c r="I10525" s="1245"/>
    </row>
    <row r="10526" spans="8:9">
      <c r="H10526" s="1245"/>
      <c r="I10526" s="1245"/>
    </row>
    <row r="10527" spans="8:9">
      <c r="H10527" s="1245"/>
      <c r="I10527" s="1245"/>
    </row>
    <row r="10528" spans="8:9">
      <c r="H10528" s="1245"/>
      <c r="I10528" s="1245"/>
    </row>
    <row r="10529" spans="8:9">
      <c r="H10529" s="1245"/>
      <c r="I10529" s="1245"/>
    </row>
    <row r="10530" spans="8:9">
      <c r="H10530" s="1245"/>
      <c r="I10530" s="1245"/>
    </row>
    <row r="10531" spans="8:9">
      <c r="H10531" s="1245"/>
      <c r="I10531" s="1245"/>
    </row>
    <row r="10532" spans="8:9">
      <c r="H10532" s="1245"/>
      <c r="I10532" s="1245"/>
    </row>
    <row r="10533" spans="8:9">
      <c r="H10533" s="1245"/>
      <c r="I10533" s="1245"/>
    </row>
    <row r="10534" spans="8:9">
      <c r="H10534" s="1245"/>
      <c r="I10534" s="1245"/>
    </row>
    <row r="10535" spans="8:9">
      <c r="H10535" s="1245"/>
      <c r="I10535" s="1245"/>
    </row>
    <row r="10536" spans="8:9">
      <c r="H10536" s="1245"/>
      <c r="I10536" s="1245"/>
    </row>
    <row r="10537" spans="8:9">
      <c r="H10537" s="1245"/>
      <c r="I10537" s="1245"/>
    </row>
    <row r="10538" spans="8:9">
      <c r="H10538" s="1245"/>
      <c r="I10538" s="1245"/>
    </row>
    <row r="10539" spans="8:9">
      <c r="H10539" s="1245"/>
      <c r="I10539" s="1245"/>
    </row>
    <row r="10540" spans="8:9">
      <c r="H10540" s="1245"/>
      <c r="I10540" s="1245"/>
    </row>
    <row r="10541" spans="8:9">
      <c r="H10541" s="1245"/>
      <c r="I10541" s="1245"/>
    </row>
    <row r="10542" spans="8:9">
      <c r="H10542" s="1245"/>
      <c r="I10542" s="1245"/>
    </row>
    <row r="10543" spans="8:9">
      <c r="H10543" s="1245"/>
      <c r="I10543" s="1245"/>
    </row>
    <row r="10544" spans="8:9">
      <c r="H10544" s="1245"/>
      <c r="I10544" s="1245"/>
    </row>
    <row r="10545" spans="8:9">
      <c r="H10545" s="1245"/>
      <c r="I10545" s="1245"/>
    </row>
    <row r="10546" spans="8:9">
      <c r="H10546" s="1245"/>
      <c r="I10546" s="1245"/>
    </row>
    <row r="10547" spans="8:9">
      <c r="H10547" s="1245"/>
      <c r="I10547" s="1245"/>
    </row>
    <row r="10548" spans="8:9">
      <c r="H10548" s="1245"/>
      <c r="I10548" s="1245"/>
    </row>
    <row r="10549" spans="8:9">
      <c r="H10549" s="1245"/>
      <c r="I10549" s="1245"/>
    </row>
    <row r="10550" spans="8:9">
      <c r="H10550" s="1245"/>
      <c r="I10550" s="1245"/>
    </row>
    <row r="10551" spans="8:9">
      <c r="H10551" s="1245"/>
      <c r="I10551" s="1245"/>
    </row>
    <row r="10552" spans="8:9">
      <c r="H10552" s="1245"/>
      <c r="I10552" s="1245"/>
    </row>
    <row r="10553" spans="8:9">
      <c r="H10553" s="1245"/>
      <c r="I10553" s="1245"/>
    </row>
    <row r="10554" spans="8:9">
      <c r="H10554" s="1245"/>
      <c r="I10554" s="1245"/>
    </row>
    <row r="10555" spans="8:9">
      <c r="H10555" s="1245"/>
      <c r="I10555" s="1245"/>
    </row>
    <row r="10556" spans="8:9">
      <c r="H10556" s="1245"/>
      <c r="I10556" s="1245"/>
    </row>
    <row r="10557" spans="8:9">
      <c r="H10557" s="1245"/>
      <c r="I10557" s="1245"/>
    </row>
    <row r="10558" spans="8:9">
      <c r="H10558" s="1245"/>
      <c r="I10558" s="1245"/>
    </row>
    <row r="10559" spans="8:9">
      <c r="H10559" s="1245"/>
      <c r="I10559" s="1245"/>
    </row>
    <row r="10560" spans="8:9">
      <c r="H10560" s="1245"/>
      <c r="I10560" s="1245"/>
    </row>
    <row r="10561" spans="8:9">
      <c r="H10561" s="1245"/>
      <c r="I10561" s="1245"/>
    </row>
    <row r="10562" spans="8:9">
      <c r="H10562" s="1245"/>
      <c r="I10562" s="1245"/>
    </row>
    <row r="10563" spans="8:9">
      <c r="H10563" s="1245"/>
      <c r="I10563" s="1245"/>
    </row>
    <row r="10564" spans="8:9">
      <c r="H10564" s="1245"/>
      <c r="I10564" s="1245"/>
    </row>
    <row r="10565" spans="8:9">
      <c r="H10565" s="1245"/>
      <c r="I10565" s="1245"/>
    </row>
    <row r="10566" spans="8:9">
      <c r="H10566" s="1245"/>
      <c r="I10566" s="1245"/>
    </row>
    <row r="10567" spans="8:9">
      <c r="H10567" s="1245"/>
      <c r="I10567" s="1245"/>
    </row>
    <row r="10568" spans="8:9">
      <c r="H10568" s="1245"/>
      <c r="I10568" s="1245"/>
    </row>
    <row r="10569" spans="8:9">
      <c r="H10569" s="1245"/>
      <c r="I10569" s="1245"/>
    </row>
    <row r="10570" spans="8:9">
      <c r="H10570" s="1245"/>
      <c r="I10570" s="1245"/>
    </row>
    <row r="10571" spans="8:9">
      <c r="H10571" s="1245"/>
      <c r="I10571" s="1245"/>
    </row>
    <row r="10572" spans="8:9">
      <c r="H10572" s="1245"/>
      <c r="I10572" s="1245"/>
    </row>
    <row r="10573" spans="8:9">
      <c r="H10573" s="1245"/>
      <c r="I10573" s="1245"/>
    </row>
    <row r="10574" spans="8:9">
      <c r="H10574" s="1245"/>
      <c r="I10574" s="1245"/>
    </row>
    <row r="10575" spans="8:9">
      <c r="H10575" s="1245"/>
      <c r="I10575" s="1245"/>
    </row>
    <row r="10576" spans="8:9">
      <c r="H10576" s="1245"/>
      <c r="I10576" s="1245"/>
    </row>
    <row r="10577" spans="8:9">
      <c r="H10577" s="1245"/>
      <c r="I10577" s="1245"/>
    </row>
    <row r="10578" spans="8:9">
      <c r="H10578" s="1245"/>
      <c r="I10578" s="1245"/>
    </row>
    <row r="10579" spans="8:9">
      <c r="H10579" s="1245"/>
      <c r="I10579" s="1245"/>
    </row>
    <row r="10580" spans="8:9">
      <c r="H10580" s="1245"/>
      <c r="I10580" s="1245"/>
    </row>
    <row r="10581" spans="8:9">
      <c r="H10581" s="1245"/>
      <c r="I10581" s="1245"/>
    </row>
    <row r="10582" spans="8:9">
      <c r="H10582" s="1245"/>
      <c r="I10582" s="1245"/>
    </row>
    <row r="10583" spans="8:9">
      <c r="H10583" s="1245"/>
      <c r="I10583" s="1245"/>
    </row>
    <row r="10584" spans="8:9">
      <c r="H10584" s="1245"/>
      <c r="I10584" s="1245"/>
    </row>
    <row r="10585" spans="8:9">
      <c r="H10585" s="1245"/>
      <c r="I10585" s="1245"/>
    </row>
    <row r="10586" spans="8:9">
      <c r="H10586" s="1245"/>
      <c r="I10586" s="1245"/>
    </row>
    <row r="10587" spans="8:9">
      <c r="H10587" s="1245"/>
      <c r="I10587" s="1245"/>
    </row>
    <row r="10588" spans="8:9">
      <c r="H10588" s="1245"/>
      <c r="I10588" s="1245"/>
    </row>
    <row r="10589" spans="8:9">
      <c r="H10589" s="1245"/>
      <c r="I10589" s="1245"/>
    </row>
    <row r="10590" spans="8:9">
      <c r="H10590" s="1245"/>
      <c r="I10590" s="1245"/>
    </row>
    <row r="10591" spans="8:9">
      <c r="H10591" s="1245"/>
      <c r="I10591" s="1245"/>
    </row>
    <row r="10592" spans="8:9">
      <c r="H10592" s="1245"/>
      <c r="I10592" s="1245"/>
    </row>
    <row r="10593" spans="8:9">
      <c r="H10593" s="1245"/>
      <c r="I10593" s="1245"/>
    </row>
    <row r="10594" spans="8:9">
      <c r="H10594" s="1245"/>
      <c r="I10594" s="1245"/>
    </row>
    <row r="10595" spans="8:9">
      <c r="H10595" s="1245"/>
      <c r="I10595" s="1245"/>
    </row>
    <row r="10596" spans="8:9">
      <c r="H10596" s="1245"/>
      <c r="I10596" s="1245"/>
    </row>
    <row r="10597" spans="8:9">
      <c r="H10597" s="1245"/>
      <c r="I10597" s="1245"/>
    </row>
    <row r="10598" spans="8:9">
      <c r="H10598" s="1245"/>
      <c r="I10598" s="1245"/>
    </row>
    <row r="10599" spans="8:9">
      <c r="H10599" s="1245"/>
      <c r="I10599" s="1245"/>
    </row>
    <row r="10600" spans="8:9">
      <c r="H10600" s="1245"/>
      <c r="I10600" s="1245"/>
    </row>
    <row r="10601" spans="8:9">
      <c r="H10601" s="1245"/>
      <c r="I10601" s="1245"/>
    </row>
    <row r="10602" spans="8:9">
      <c r="H10602" s="1245"/>
      <c r="I10602" s="1245"/>
    </row>
    <row r="10603" spans="8:9">
      <c r="H10603" s="1245"/>
      <c r="I10603" s="1245"/>
    </row>
    <row r="10604" spans="8:9">
      <c r="H10604" s="1245"/>
      <c r="I10604" s="1245"/>
    </row>
    <row r="10605" spans="8:9">
      <c r="H10605" s="1245"/>
      <c r="I10605" s="1245"/>
    </row>
    <row r="10606" spans="8:9">
      <c r="H10606" s="1245"/>
      <c r="I10606" s="1245"/>
    </row>
    <row r="10607" spans="8:9">
      <c r="H10607" s="1245"/>
      <c r="I10607" s="1245"/>
    </row>
    <row r="10608" spans="8:9">
      <c r="H10608" s="1245"/>
      <c r="I10608" s="1245"/>
    </row>
    <row r="10609" spans="8:9">
      <c r="H10609" s="1245"/>
      <c r="I10609" s="1245"/>
    </row>
    <row r="10610" spans="8:9">
      <c r="H10610" s="1245"/>
      <c r="I10610" s="1245"/>
    </row>
    <row r="10611" spans="8:9">
      <c r="H10611" s="1245"/>
      <c r="I10611" s="1245"/>
    </row>
    <row r="10612" spans="8:9">
      <c r="H10612" s="1245"/>
      <c r="I10612" s="1245"/>
    </row>
    <row r="10613" spans="8:9">
      <c r="H10613" s="1245"/>
      <c r="I10613" s="1245"/>
    </row>
    <row r="10614" spans="8:9">
      <c r="H10614" s="1245"/>
      <c r="I10614" s="1245"/>
    </row>
    <row r="10615" spans="8:9">
      <c r="H10615" s="1245"/>
      <c r="I10615" s="1245"/>
    </row>
    <row r="10616" spans="8:9">
      <c r="H10616" s="1245"/>
      <c r="I10616" s="1245"/>
    </row>
    <row r="10617" spans="8:9">
      <c r="H10617" s="1245"/>
      <c r="I10617" s="1245"/>
    </row>
    <row r="10618" spans="8:9">
      <c r="H10618" s="1245"/>
      <c r="I10618" s="1245"/>
    </row>
    <row r="10619" spans="8:9">
      <c r="H10619" s="1245"/>
      <c r="I10619" s="1245"/>
    </row>
    <row r="10620" spans="8:9">
      <c r="H10620" s="1245"/>
      <c r="I10620" s="1245"/>
    </row>
    <row r="10621" spans="8:9">
      <c r="H10621" s="1245"/>
      <c r="I10621" s="1245"/>
    </row>
    <row r="10622" spans="8:9">
      <c r="H10622" s="1245"/>
      <c r="I10622" s="1245"/>
    </row>
    <row r="10623" spans="8:9">
      <c r="H10623" s="1245"/>
      <c r="I10623" s="1245"/>
    </row>
    <row r="10624" spans="8:9">
      <c r="H10624" s="1245"/>
      <c r="I10624" s="1245"/>
    </row>
    <row r="10625" spans="8:9">
      <c r="H10625" s="1245"/>
      <c r="I10625" s="1245"/>
    </row>
    <row r="10626" spans="8:9">
      <c r="H10626" s="1245"/>
      <c r="I10626" s="1245"/>
    </row>
    <row r="10627" spans="8:9">
      <c r="H10627" s="1245"/>
      <c r="I10627" s="1245"/>
    </row>
    <row r="10628" spans="8:9">
      <c r="H10628" s="1245"/>
      <c r="I10628" s="1245"/>
    </row>
    <row r="10629" spans="8:9">
      <c r="H10629" s="1245"/>
      <c r="I10629" s="1245"/>
    </row>
    <row r="10630" spans="8:9">
      <c r="H10630" s="1245"/>
      <c r="I10630" s="1245"/>
    </row>
    <row r="10631" spans="8:9">
      <c r="H10631" s="1245"/>
      <c r="I10631" s="1245"/>
    </row>
    <row r="10632" spans="8:9">
      <c r="H10632" s="1245"/>
      <c r="I10632" s="1245"/>
    </row>
    <row r="10633" spans="8:9">
      <c r="H10633" s="1245"/>
      <c r="I10633" s="1245"/>
    </row>
    <row r="10634" spans="8:9">
      <c r="H10634" s="1245"/>
      <c r="I10634" s="1245"/>
    </row>
    <row r="10635" spans="8:9">
      <c r="H10635" s="1245"/>
      <c r="I10635" s="1245"/>
    </row>
    <row r="10636" spans="8:9">
      <c r="H10636" s="1245"/>
      <c r="I10636" s="1245"/>
    </row>
    <row r="10637" spans="8:9">
      <c r="H10637" s="1245"/>
      <c r="I10637" s="1245"/>
    </row>
    <row r="10638" spans="8:9">
      <c r="H10638" s="1245"/>
      <c r="I10638" s="1245"/>
    </row>
    <row r="10639" spans="8:9">
      <c r="H10639" s="1245"/>
      <c r="I10639" s="1245"/>
    </row>
    <row r="10640" spans="8:9">
      <c r="H10640" s="1245"/>
      <c r="I10640" s="1245"/>
    </row>
    <row r="10641" spans="8:9">
      <c r="H10641" s="1245"/>
      <c r="I10641" s="1245"/>
    </row>
    <row r="10642" spans="8:9">
      <c r="H10642" s="1245"/>
      <c r="I10642" s="1245"/>
    </row>
    <row r="10643" spans="8:9">
      <c r="H10643" s="1245"/>
      <c r="I10643" s="1245"/>
    </row>
    <row r="10644" spans="8:9">
      <c r="H10644" s="1245"/>
      <c r="I10644" s="1245"/>
    </row>
    <row r="10645" spans="8:9">
      <c r="H10645" s="1245"/>
      <c r="I10645" s="1245"/>
    </row>
    <row r="10646" spans="8:9">
      <c r="H10646" s="1245"/>
      <c r="I10646" s="1245"/>
    </row>
    <row r="10647" spans="8:9">
      <c r="H10647" s="1245"/>
      <c r="I10647" s="1245"/>
    </row>
    <row r="10648" spans="8:9">
      <c r="H10648" s="1245"/>
      <c r="I10648" s="1245"/>
    </row>
    <row r="10649" spans="8:9">
      <c r="H10649" s="1245"/>
      <c r="I10649" s="1245"/>
    </row>
    <row r="10650" spans="8:9">
      <c r="H10650" s="1245"/>
      <c r="I10650" s="1245"/>
    </row>
    <row r="10651" spans="8:9">
      <c r="H10651" s="1245"/>
      <c r="I10651" s="1245"/>
    </row>
    <row r="10652" spans="8:9">
      <c r="H10652" s="1245"/>
      <c r="I10652" s="1245"/>
    </row>
    <row r="10653" spans="8:9">
      <c r="H10653" s="1245"/>
      <c r="I10653" s="1245"/>
    </row>
    <row r="10654" spans="8:9">
      <c r="H10654" s="1245"/>
      <c r="I10654" s="1245"/>
    </row>
    <row r="10655" spans="8:9">
      <c r="H10655" s="1245"/>
      <c r="I10655" s="1245"/>
    </row>
    <row r="10656" spans="8:9">
      <c r="H10656" s="1245"/>
      <c r="I10656" s="1245"/>
    </row>
    <row r="10657" spans="8:9">
      <c r="H10657" s="1245"/>
      <c r="I10657" s="1245"/>
    </row>
    <row r="10658" spans="8:9">
      <c r="H10658" s="1245"/>
      <c r="I10658" s="1245"/>
    </row>
    <row r="10659" spans="8:9">
      <c r="H10659" s="1245"/>
      <c r="I10659" s="1245"/>
    </row>
    <row r="10660" spans="8:9">
      <c r="H10660" s="1245"/>
      <c r="I10660" s="1245"/>
    </row>
    <row r="10661" spans="8:9">
      <c r="H10661" s="1245"/>
      <c r="I10661" s="1245"/>
    </row>
    <row r="10662" spans="8:9">
      <c r="H10662" s="1245"/>
      <c r="I10662" s="1245"/>
    </row>
    <row r="10663" spans="8:9">
      <c r="H10663" s="1245"/>
      <c r="I10663" s="1245"/>
    </row>
    <row r="10664" spans="8:9">
      <c r="H10664" s="1245"/>
      <c r="I10664" s="1245"/>
    </row>
    <row r="10665" spans="8:9">
      <c r="H10665" s="1245"/>
      <c r="I10665" s="1245"/>
    </row>
    <row r="10666" spans="8:9">
      <c r="H10666" s="1245"/>
      <c r="I10666" s="1245"/>
    </row>
    <row r="10667" spans="8:9">
      <c r="H10667" s="1245"/>
      <c r="I10667" s="1245"/>
    </row>
    <row r="10668" spans="8:9">
      <c r="H10668" s="1245"/>
      <c r="I10668" s="1245"/>
    </row>
    <row r="10669" spans="8:9">
      <c r="H10669" s="1245"/>
      <c r="I10669" s="1245"/>
    </row>
    <row r="10670" spans="8:9">
      <c r="H10670" s="1245"/>
      <c r="I10670" s="1245"/>
    </row>
    <row r="10671" spans="8:9">
      <c r="H10671" s="1245"/>
      <c r="I10671" s="1245"/>
    </row>
    <row r="10672" spans="8:9">
      <c r="H10672" s="1245"/>
      <c r="I10672" s="1245"/>
    </row>
    <row r="10673" spans="8:9">
      <c r="H10673" s="1245"/>
      <c r="I10673" s="1245"/>
    </row>
    <row r="10674" spans="8:9">
      <c r="H10674" s="1245"/>
      <c r="I10674" s="1245"/>
    </row>
    <row r="10675" spans="8:9">
      <c r="H10675" s="1245"/>
      <c r="I10675" s="1245"/>
    </row>
    <row r="10676" spans="8:9">
      <c r="H10676" s="1245"/>
      <c r="I10676" s="1245"/>
    </row>
    <row r="10677" spans="8:9">
      <c r="H10677" s="1245"/>
      <c r="I10677" s="1245"/>
    </row>
    <row r="10678" spans="8:9">
      <c r="H10678" s="1245"/>
      <c r="I10678" s="1245"/>
    </row>
    <row r="10679" spans="8:9">
      <c r="H10679" s="1245"/>
      <c r="I10679" s="1245"/>
    </row>
    <row r="10680" spans="8:9">
      <c r="H10680" s="1245"/>
      <c r="I10680" s="1245"/>
    </row>
    <row r="10681" spans="8:9">
      <c r="H10681" s="1245"/>
      <c r="I10681" s="1245"/>
    </row>
    <row r="10682" spans="8:9">
      <c r="H10682" s="1245"/>
      <c r="I10682" s="1245"/>
    </row>
    <row r="10683" spans="8:9">
      <c r="H10683" s="1245"/>
      <c r="I10683" s="1245"/>
    </row>
    <row r="10684" spans="8:9">
      <c r="H10684" s="1245"/>
      <c r="I10684" s="1245"/>
    </row>
    <row r="10685" spans="8:9">
      <c r="H10685" s="1245"/>
      <c r="I10685" s="1245"/>
    </row>
    <row r="10686" spans="8:9">
      <c r="H10686" s="1245"/>
      <c r="I10686" s="1245"/>
    </row>
    <row r="10687" spans="8:9">
      <c r="H10687" s="1245"/>
      <c r="I10687" s="1245"/>
    </row>
    <row r="10688" spans="8:9">
      <c r="H10688" s="1245"/>
      <c r="I10688" s="1245"/>
    </row>
    <row r="10689" spans="8:9">
      <c r="H10689" s="1245"/>
      <c r="I10689" s="1245"/>
    </row>
    <row r="10690" spans="8:9">
      <c r="H10690" s="1245"/>
      <c r="I10690" s="1245"/>
    </row>
    <row r="10691" spans="8:9">
      <c r="H10691" s="1245"/>
      <c r="I10691" s="1245"/>
    </row>
    <row r="10692" spans="8:9">
      <c r="H10692" s="1245"/>
      <c r="I10692" s="1245"/>
    </row>
    <row r="10693" spans="8:9">
      <c r="H10693" s="1245"/>
      <c r="I10693" s="1245"/>
    </row>
    <row r="10694" spans="8:9">
      <c r="H10694" s="1245"/>
      <c r="I10694" s="1245"/>
    </row>
    <row r="10695" spans="8:9">
      <c r="H10695" s="1245"/>
      <c r="I10695" s="1245"/>
    </row>
    <row r="10696" spans="8:9">
      <c r="H10696" s="1245"/>
      <c r="I10696" s="1245"/>
    </row>
    <row r="10697" spans="8:9">
      <c r="H10697" s="1245"/>
      <c r="I10697" s="1245"/>
    </row>
    <row r="10698" spans="8:9">
      <c r="H10698" s="1245"/>
      <c r="I10698" s="1245"/>
    </row>
    <row r="10699" spans="8:9">
      <c r="H10699" s="1245"/>
      <c r="I10699" s="1245"/>
    </row>
    <row r="10700" spans="8:9">
      <c r="H10700" s="1245"/>
      <c r="I10700" s="1245"/>
    </row>
    <row r="10701" spans="8:9">
      <c r="H10701" s="1245"/>
      <c r="I10701" s="1245"/>
    </row>
    <row r="10702" spans="8:9">
      <c r="H10702" s="1245"/>
      <c r="I10702" s="1245"/>
    </row>
    <row r="10703" spans="8:9">
      <c r="H10703" s="1245"/>
      <c r="I10703" s="1245"/>
    </row>
    <row r="10704" spans="8:9">
      <c r="H10704" s="1245"/>
      <c r="I10704" s="1245"/>
    </row>
    <row r="10705" spans="8:9">
      <c r="H10705" s="1245"/>
      <c r="I10705" s="1245"/>
    </row>
    <row r="10706" spans="8:9">
      <c r="H10706" s="1245"/>
      <c r="I10706" s="1245"/>
    </row>
    <row r="10707" spans="8:9">
      <c r="H10707" s="1245"/>
      <c r="I10707" s="1245"/>
    </row>
    <row r="10708" spans="8:9">
      <c r="H10708" s="1245"/>
      <c r="I10708" s="1245"/>
    </row>
    <row r="10709" spans="8:9">
      <c r="H10709" s="1245"/>
      <c r="I10709" s="1245"/>
    </row>
    <row r="10710" spans="8:9">
      <c r="H10710" s="1245"/>
      <c r="I10710" s="1245"/>
    </row>
    <row r="10711" spans="8:9">
      <c r="H10711" s="1245"/>
      <c r="I10711" s="1245"/>
    </row>
    <row r="10712" spans="8:9">
      <c r="H10712" s="1245"/>
      <c r="I10712" s="1245"/>
    </row>
    <row r="10713" spans="8:9">
      <c r="H10713" s="1245"/>
      <c r="I10713" s="1245"/>
    </row>
    <row r="10714" spans="8:9">
      <c r="H10714" s="1245"/>
      <c r="I10714" s="1245"/>
    </row>
    <row r="10715" spans="8:9">
      <c r="H10715" s="1245"/>
      <c r="I10715" s="1245"/>
    </row>
    <row r="10716" spans="8:9">
      <c r="H10716" s="1245"/>
      <c r="I10716" s="1245"/>
    </row>
    <row r="10717" spans="8:9">
      <c r="H10717" s="1245"/>
      <c r="I10717" s="1245"/>
    </row>
    <row r="10718" spans="8:9">
      <c r="H10718" s="1245"/>
      <c r="I10718" s="1245"/>
    </row>
    <row r="10719" spans="8:9">
      <c r="H10719" s="1245"/>
      <c r="I10719" s="1245"/>
    </row>
    <row r="10720" spans="8:9">
      <c r="H10720" s="1245"/>
      <c r="I10720" s="1245"/>
    </row>
    <row r="10721" spans="8:9">
      <c r="H10721" s="1245"/>
      <c r="I10721" s="1245"/>
    </row>
    <row r="10722" spans="8:9">
      <c r="H10722" s="1245"/>
      <c r="I10722" s="1245"/>
    </row>
    <row r="10723" spans="8:9">
      <c r="H10723" s="1245"/>
      <c r="I10723" s="1245"/>
    </row>
    <row r="10724" spans="8:9">
      <c r="H10724" s="1245"/>
      <c r="I10724" s="1245"/>
    </row>
    <row r="10725" spans="8:9">
      <c r="H10725" s="1245"/>
      <c r="I10725" s="1245"/>
    </row>
    <row r="10726" spans="8:9">
      <c r="H10726" s="1245"/>
      <c r="I10726" s="1245"/>
    </row>
    <row r="10727" spans="8:9">
      <c r="H10727" s="1245"/>
      <c r="I10727" s="1245"/>
    </row>
    <row r="10728" spans="8:9">
      <c r="H10728" s="1245"/>
      <c r="I10728" s="1245"/>
    </row>
    <row r="10729" spans="8:9">
      <c r="H10729" s="1245"/>
      <c r="I10729" s="1245"/>
    </row>
    <row r="10730" spans="8:9">
      <c r="H10730" s="1245"/>
      <c r="I10730" s="1245"/>
    </row>
    <row r="10731" spans="8:9">
      <c r="H10731" s="1245"/>
      <c r="I10731" s="1245"/>
    </row>
    <row r="10732" spans="8:9">
      <c r="H10732" s="1245"/>
      <c r="I10732" s="1245"/>
    </row>
    <row r="10733" spans="8:9">
      <c r="H10733" s="1245"/>
      <c r="I10733" s="1245"/>
    </row>
    <row r="10734" spans="8:9">
      <c r="H10734" s="1245"/>
      <c r="I10734" s="1245"/>
    </row>
    <row r="10735" spans="8:9">
      <c r="H10735" s="1245"/>
      <c r="I10735" s="1245"/>
    </row>
    <row r="10736" spans="8:9">
      <c r="H10736" s="1245"/>
      <c r="I10736" s="1245"/>
    </row>
    <row r="10737" spans="8:9">
      <c r="H10737" s="1245"/>
      <c r="I10737" s="1245"/>
    </row>
    <row r="10738" spans="8:9">
      <c r="H10738" s="1245"/>
      <c r="I10738" s="1245"/>
    </row>
    <row r="10739" spans="8:9">
      <c r="H10739" s="1245"/>
      <c r="I10739" s="1245"/>
    </row>
    <row r="10740" spans="8:9">
      <c r="H10740" s="1245"/>
      <c r="I10740" s="1245"/>
    </row>
    <row r="10741" spans="8:9">
      <c r="H10741" s="1245"/>
      <c r="I10741" s="1245"/>
    </row>
    <row r="10742" spans="8:9">
      <c r="H10742" s="1245"/>
      <c r="I10742" s="1245"/>
    </row>
    <row r="10743" spans="8:9">
      <c r="H10743" s="1245"/>
      <c r="I10743" s="1245"/>
    </row>
    <row r="10744" spans="8:9">
      <c r="H10744" s="1245"/>
      <c r="I10744" s="1245"/>
    </row>
    <row r="10745" spans="8:9">
      <c r="H10745" s="1245"/>
      <c r="I10745" s="1245"/>
    </row>
    <row r="10746" spans="8:9">
      <c r="H10746" s="1245"/>
      <c r="I10746" s="1245"/>
    </row>
    <row r="10747" spans="8:9">
      <c r="H10747" s="1245"/>
      <c r="I10747" s="1245"/>
    </row>
    <row r="10748" spans="8:9">
      <c r="H10748" s="1245"/>
      <c r="I10748" s="1245"/>
    </row>
    <row r="10749" spans="8:9">
      <c r="H10749" s="1245"/>
      <c r="I10749" s="1245"/>
    </row>
    <row r="10750" spans="8:9">
      <c r="H10750" s="1245"/>
      <c r="I10750" s="1245"/>
    </row>
    <row r="10751" spans="8:9">
      <c r="H10751" s="1245"/>
      <c r="I10751" s="1245"/>
    </row>
    <row r="10752" spans="8:9">
      <c r="H10752" s="1245"/>
      <c r="I10752" s="1245"/>
    </row>
    <row r="10753" spans="8:9">
      <c r="H10753" s="1245"/>
      <c r="I10753" s="1245"/>
    </row>
    <row r="10754" spans="8:9">
      <c r="H10754" s="1245"/>
      <c r="I10754" s="1245"/>
    </row>
    <row r="10755" spans="8:9">
      <c r="H10755" s="1245"/>
      <c r="I10755" s="1245"/>
    </row>
    <row r="10756" spans="8:9">
      <c r="H10756" s="1245"/>
      <c r="I10756" s="1245"/>
    </row>
    <row r="10757" spans="8:9">
      <c r="H10757" s="1245"/>
      <c r="I10757" s="1245"/>
    </row>
    <row r="10758" spans="8:9">
      <c r="H10758" s="1245"/>
      <c r="I10758" s="1245"/>
    </row>
    <row r="10759" spans="8:9">
      <c r="H10759" s="1245"/>
      <c r="I10759" s="1245"/>
    </row>
    <row r="10760" spans="8:9">
      <c r="H10760" s="1245"/>
      <c r="I10760" s="1245"/>
    </row>
    <row r="10761" spans="8:9">
      <c r="H10761" s="1245"/>
      <c r="I10761" s="1245"/>
    </row>
    <row r="10762" spans="8:9">
      <c r="H10762" s="1245"/>
      <c r="I10762" s="1245"/>
    </row>
    <row r="10763" spans="8:9">
      <c r="H10763" s="1245"/>
      <c r="I10763" s="1245"/>
    </row>
    <row r="10764" spans="8:9">
      <c r="H10764" s="1245"/>
      <c r="I10764" s="1245"/>
    </row>
    <row r="10765" spans="8:9">
      <c r="H10765" s="1245"/>
      <c r="I10765" s="1245"/>
    </row>
    <row r="10766" spans="8:9">
      <c r="H10766" s="1245"/>
      <c r="I10766" s="1245"/>
    </row>
    <row r="10767" spans="8:9">
      <c r="H10767" s="1245"/>
      <c r="I10767" s="1245"/>
    </row>
    <row r="10768" spans="8:9">
      <c r="H10768" s="1245"/>
      <c r="I10768" s="1245"/>
    </row>
    <row r="10769" spans="8:9">
      <c r="H10769" s="1245"/>
      <c r="I10769" s="1245"/>
    </row>
    <row r="10770" spans="8:9">
      <c r="H10770" s="1245"/>
      <c r="I10770" s="1245"/>
    </row>
    <row r="10771" spans="8:9">
      <c r="H10771" s="1245"/>
      <c r="I10771" s="1245"/>
    </row>
    <row r="10772" spans="8:9">
      <c r="H10772" s="1245"/>
      <c r="I10772" s="1245"/>
    </row>
    <row r="10773" spans="8:9">
      <c r="H10773" s="1245"/>
      <c r="I10773" s="1245"/>
    </row>
    <row r="10774" spans="8:9">
      <c r="H10774" s="1245"/>
      <c r="I10774" s="1245"/>
    </row>
    <row r="10775" spans="8:9">
      <c r="H10775" s="1245"/>
      <c r="I10775" s="1245"/>
    </row>
    <row r="10776" spans="8:9">
      <c r="H10776" s="1245"/>
      <c r="I10776" s="1245"/>
    </row>
    <row r="10777" spans="8:9">
      <c r="H10777" s="1245"/>
      <c r="I10777" s="1245"/>
    </row>
    <row r="10778" spans="8:9">
      <c r="H10778" s="1245"/>
      <c r="I10778" s="1245"/>
    </row>
    <row r="10779" spans="8:9">
      <c r="H10779" s="1245"/>
      <c r="I10779" s="1245"/>
    </row>
    <row r="10780" spans="8:9">
      <c r="H10780" s="1245"/>
      <c r="I10780" s="1245"/>
    </row>
    <row r="10781" spans="8:9">
      <c r="H10781" s="1245"/>
      <c r="I10781" s="1245"/>
    </row>
    <row r="10782" spans="8:9">
      <c r="H10782" s="1245"/>
      <c r="I10782" s="1245"/>
    </row>
    <row r="10783" spans="8:9">
      <c r="H10783" s="1245"/>
      <c r="I10783" s="1245"/>
    </row>
    <row r="10784" spans="8:9">
      <c r="H10784" s="1245"/>
      <c r="I10784" s="1245"/>
    </row>
    <row r="10785" spans="8:9">
      <c r="H10785" s="1245"/>
      <c r="I10785" s="1245"/>
    </row>
    <row r="10786" spans="8:9">
      <c r="H10786" s="1245"/>
      <c r="I10786" s="1245"/>
    </row>
    <row r="10787" spans="8:9">
      <c r="H10787" s="1245"/>
      <c r="I10787" s="1245"/>
    </row>
    <row r="10788" spans="8:9">
      <c r="H10788" s="1245"/>
      <c r="I10788" s="1245"/>
    </row>
    <row r="10789" spans="8:9">
      <c r="H10789" s="1245"/>
      <c r="I10789" s="1245"/>
    </row>
    <row r="10790" spans="8:9">
      <c r="H10790" s="1245"/>
      <c r="I10790" s="1245"/>
    </row>
    <row r="10791" spans="8:9">
      <c r="H10791" s="1245"/>
      <c r="I10791" s="1245"/>
    </row>
    <row r="10792" spans="8:9">
      <c r="H10792" s="1245"/>
      <c r="I10792" s="1245"/>
    </row>
    <row r="10793" spans="8:9">
      <c r="H10793" s="1245"/>
      <c r="I10793" s="1245"/>
    </row>
    <row r="10794" spans="8:9">
      <c r="H10794" s="1245"/>
      <c r="I10794" s="1245"/>
    </row>
    <row r="10795" spans="8:9">
      <c r="H10795" s="1245"/>
      <c r="I10795" s="1245"/>
    </row>
    <row r="10796" spans="8:9">
      <c r="H10796" s="1245"/>
      <c r="I10796" s="1245"/>
    </row>
    <row r="10797" spans="8:9">
      <c r="H10797" s="1245"/>
      <c r="I10797" s="1245"/>
    </row>
    <row r="10798" spans="8:9">
      <c r="H10798" s="1245"/>
      <c r="I10798" s="1245"/>
    </row>
    <row r="10799" spans="8:9">
      <c r="H10799" s="1245"/>
      <c r="I10799" s="1245"/>
    </row>
    <row r="10800" spans="8:9">
      <c r="H10800" s="1245"/>
      <c r="I10800" s="1245"/>
    </row>
    <row r="10801" spans="8:9">
      <c r="H10801" s="1245"/>
      <c r="I10801" s="1245"/>
    </row>
    <row r="10802" spans="8:9">
      <c r="H10802" s="1245"/>
      <c r="I10802" s="1245"/>
    </row>
    <row r="10803" spans="8:9">
      <c r="H10803" s="1245"/>
      <c r="I10803" s="1245"/>
    </row>
    <row r="10804" spans="8:9">
      <c r="H10804" s="1245"/>
      <c r="I10804" s="1245"/>
    </row>
    <row r="10805" spans="8:9">
      <c r="H10805" s="1245"/>
      <c r="I10805" s="1245"/>
    </row>
    <row r="10806" spans="8:9">
      <c r="H10806" s="1245"/>
      <c r="I10806" s="1245"/>
    </row>
    <row r="10807" spans="8:9">
      <c r="H10807" s="1245"/>
      <c r="I10807" s="1245"/>
    </row>
    <row r="10808" spans="8:9">
      <c r="H10808" s="1245"/>
      <c r="I10808" s="1245"/>
    </row>
    <row r="10809" spans="8:9">
      <c r="H10809" s="1245"/>
      <c r="I10809" s="1245"/>
    </row>
    <row r="10810" spans="8:9">
      <c r="H10810" s="1245"/>
      <c r="I10810" s="1245"/>
    </row>
    <row r="10811" spans="8:9">
      <c r="H10811" s="1245"/>
      <c r="I10811" s="1245"/>
    </row>
    <row r="10812" spans="8:9">
      <c r="H10812" s="1245"/>
      <c r="I10812" s="1245"/>
    </row>
    <row r="10813" spans="8:9">
      <c r="H10813" s="1245"/>
      <c r="I10813" s="1245"/>
    </row>
    <row r="10814" spans="8:9">
      <c r="H10814" s="1245"/>
      <c r="I10814" s="1245"/>
    </row>
    <row r="10815" spans="8:9">
      <c r="H10815" s="1245"/>
      <c r="I10815" s="1245"/>
    </row>
    <row r="10816" spans="8:9">
      <c r="H10816" s="1245"/>
      <c r="I10816" s="1245"/>
    </row>
    <row r="10817" spans="8:9">
      <c r="H10817" s="1245"/>
      <c r="I10817" s="1245"/>
    </row>
    <row r="10818" spans="8:9">
      <c r="H10818" s="1245"/>
      <c r="I10818" s="1245"/>
    </row>
    <row r="10819" spans="8:9">
      <c r="H10819" s="1245"/>
      <c r="I10819" s="1245"/>
    </row>
    <row r="10820" spans="8:9">
      <c r="H10820" s="1245"/>
      <c r="I10820" s="1245"/>
    </row>
    <row r="10821" spans="8:9">
      <c r="H10821" s="1245"/>
      <c r="I10821" s="1245"/>
    </row>
    <row r="10822" spans="8:9">
      <c r="H10822" s="1245"/>
      <c r="I10822" s="1245"/>
    </row>
    <row r="10823" spans="8:9">
      <c r="H10823" s="1245"/>
      <c r="I10823" s="1245"/>
    </row>
    <row r="10824" spans="8:9">
      <c r="H10824" s="1245"/>
      <c r="I10824" s="1245"/>
    </row>
    <row r="10825" spans="8:9">
      <c r="H10825" s="1245"/>
      <c r="I10825" s="1245"/>
    </row>
    <row r="10826" spans="8:9">
      <c r="H10826" s="1245"/>
      <c r="I10826" s="1245"/>
    </row>
    <row r="10827" spans="8:9">
      <c r="H10827" s="1245"/>
      <c r="I10827" s="1245"/>
    </row>
    <row r="10828" spans="8:9">
      <c r="H10828" s="1245"/>
      <c r="I10828" s="1245"/>
    </row>
    <row r="10829" spans="8:9">
      <c r="H10829" s="1245"/>
      <c r="I10829" s="1245"/>
    </row>
    <row r="10830" spans="8:9">
      <c r="H10830" s="1245"/>
      <c r="I10830" s="1245"/>
    </row>
    <row r="10831" spans="8:9">
      <c r="H10831" s="1245"/>
      <c r="I10831" s="1245"/>
    </row>
    <row r="10832" spans="8:9">
      <c r="H10832" s="1245"/>
      <c r="I10832" s="1245"/>
    </row>
    <row r="10833" spans="8:9">
      <c r="H10833" s="1245"/>
      <c r="I10833" s="1245"/>
    </row>
    <row r="10834" spans="8:9">
      <c r="H10834" s="1245"/>
      <c r="I10834" s="1245"/>
    </row>
    <row r="10835" spans="8:9">
      <c r="H10835" s="1245"/>
      <c r="I10835" s="1245"/>
    </row>
    <row r="10836" spans="8:9">
      <c r="H10836" s="1245"/>
      <c r="I10836" s="1245"/>
    </row>
    <row r="10837" spans="8:9">
      <c r="H10837" s="1245"/>
      <c r="I10837" s="1245"/>
    </row>
    <row r="10838" spans="8:9">
      <c r="H10838" s="1245"/>
      <c r="I10838" s="1245"/>
    </row>
    <row r="10839" spans="8:9">
      <c r="H10839" s="1245"/>
      <c r="I10839" s="1245"/>
    </row>
    <row r="10840" spans="8:9">
      <c r="H10840" s="1245"/>
      <c r="I10840" s="1245"/>
    </row>
    <row r="10841" spans="8:9">
      <c r="H10841" s="1245"/>
      <c r="I10841" s="1245"/>
    </row>
    <row r="10842" spans="8:9">
      <c r="H10842" s="1245"/>
      <c r="I10842" s="1245"/>
    </row>
    <row r="10843" spans="8:9">
      <c r="H10843" s="1245"/>
      <c r="I10843" s="1245"/>
    </row>
    <row r="10844" spans="8:9">
      <c r="H10844" s="1245"/>
      <c r="I10844" s="1245"/>
    </row>
    <row r="10845" spans="8:9">
      <c r="H10845" s="1245"/>
      <c r="I10845" s="1245"/>
    </row>
    <row r="10846" spans="8:9">
      <c r="H10846" s="1245"/>
      <c r="I10846" s="1245"/>
    </row>
    <row r="10847" spans="8:9">
      <c r="H10847" s="1245"/>
      <c r="I10847" s="1245"/>
    </row>
    <row r="10848" spans="8:9">
      <c r="H10848" s="1245"/>
      <c r="I10848" s="1245"/>
    </row>
    <row r="10849" spans="8:9">
      <c r="H10849" s="1245"/>
      <c r="I10849" s="1245"/>
    </row>
    <row r="10850" spans="8:9">
      <c r="H10850" s="1245"/>
      <c r="I10850" s="1245"/>
    </row>
    <row r="10851" spans="8:9">
      <c r="H10851" s="1245"/>
      <c r="I10851" s="1245"/>
    </row>
    <row r="10852" spans="8:9">
      <c r="H10852" s="1245"/>
      <c r="I10852" s="1245"/>
    </row>
    <row r="10853" spans="8:9">
      <c r="H10853" s="1245"/>
      <c r="I10853" s="1245"/>
    </row>
    <row r="10854" spans="8:9">
      <c r="H10854" s="1245"/>
      <c r="I10854" s="1245"/>
    </row>
    <row r="10855" spans="8:9">
      <c r="H10855" s="1245"/>
      <c r="I10855" s="1245"/>
    </row>
    <row r="10856" spans="8:9">
      <c r="H10856" s="1245"/>
      <c r="I10856" s="1245"/>
    </row>
    <row r="10857" spans="8:9">
      <c r="H10857" s="1245"/>
      <c r="I10857" s="1245"/>
    </row>
    <row r="10858" spans="8:9">
      <c r="H10858" s="1245"/>
      <c r="I10858" s="1245"/>
    </row>
    <row r="10859" spans="8:9">
      <c r="H10859" s="1245"/>
      <c r="I10859" s="1245"/>
    </row>
    <row r="10860" spans="8:9">
      <c r="H10860" s="1245"/>
      <c r="I10860" s="1245"/>
    </row>
    <row r="10861" spans="8:9">
      <c r="H10861" s="1245"/>
      <c r="I10861" s="1245"/>
    </row>
    <row r="10862" spans="8:9">
      <c r="H10862" s="1245"/>
      <c r="I10862" s="1245"/>
    </row>
    <row r="10863" spans="8:9">
      <c r="H10863" s="1245"/>
      <c r="I10863" s="1245"/>
    </row>
    <row r="10864" spans="8:9">
      <c r="H10864" s="1245"/>
      <c r="I10864" s="1245"/>
    </row>
    <row r="10865" spans="8:9">
      <c r="H10865" s="1245"/>
      <c r="I10865" s="1245"/>
    </row>
    <row r="10866" spans="8:9">
      <c r="H10866" s="1245"/>
      <c r="I10866" s="1245"/>
    </row>
    <row r="10867" spans="8:9">
      <c r="H10867" s="1245"/>
      <c r="I10867" s="1245"/>
    </row>
    <row r="10868" spans="8:9">
      <c r="H10868" s="1245"/>
      <c r="I10868" s="1245"/>
    </row>
    <row r="10869" spans="8:9">
      <c r="H10869" s="1245"/>
      <c r="I10869" s="1245"/>
    </row>
    <row r="10870" spans="8:9">
      <c r="H10870" s="1245"/>
      <c r="I10870" s="1245"/>
    </row>
    <row r="10871" spans="8:9">
      <c r="H10871" s="1245"/>
      <c r="I10871" s="1245"/>
    </row>
    <row r="10872" spans="8:9">
      <c r="H10872" s="1245"/>
      <c r="I10872" s="1245"/>
    </row>
    <row r="10873" spans="8:9">
      <c r="H10873" s="1245"/>
      <c r="I10873" s="1245"/>
    </row>
    <row r="10874" spans="8:9">
      <c r="H10874" s="1245"/>
      <c r="I10874" s="1245"/>
    </row>
    <row r="10875" spans="8:9">
      <c r="H10875" s="1245"/>
      <c r="I10875" s="1245"/>
    </row>
    <row r="10876" spans="8:9">
      <c r="H10876" s="1245"/>
      <c r="I10876" s="1245"/>
    </row>
    <row r="10877" spans="8:9">
      <c r="H10877" s="1245"/>
      <c r="I10877" s="1245"/>
    </row>
    <row r="10878" spans="8:9">
      <c r="H10878" s="1245"/>
      <c r="I10878" s="1245"/>
    </row>
    <row r="10879" spans="8:9">
      <c r="H10879" s="1245"/>
      <c r="I10879" s="1245"/>
    </row>
    <row r="10880" spans="8:9">
      <c r="H10880" s="1245"/>
      <c r="I10880" s="1245"/>
    </row>
    <row r="10881" spans="8:9">
      <c r="H10881" s="1245"/>
      <c r="I10881" s="1245"/>
    </row>
    <row r="10882" spans="8:9">
      <c r="H10882" s="1245"/>
      <c r="I10882" s="1245"/>
    </row>
    <row r="10883" spans="8:9">
      <c r="H10883" s="1245"/>
      <c r="I10883" s="1245"/>
    </row>
    <row r="10884" spans="8:9">
      <c r="H10884" s="1245"/>
      <c r="I10884" s="1245"/>
    </row>
    <row r="10885" spans="8:9">
      <c r="H10885" s="1245"/>
      <c r="I10885" s="1245"/>
    </row>
    <row r="10886" spans="8:9">
      <c r="H10886" s="1245"/>
      <c r="I10886" s="1245"/>
    </row>
    <row r="10887" spans="8:9">
      <c r="H10887" s="1245"/>
      <c r="I10887" s="1245"/>
    </row>
    <row r="10888" spans="8:9">
      <c r="H10888" s="1245"/>
      <c r="I10888" s="1245"/>
    </row>
    <row r="10889" spans="8:9">
      <c r="H10889" s="1245"/>
      <c r="I10889" s="1245"/>
    </row>
    <row r="10890" spans="8:9">
      <c r="H10890" s="1245"/>
      <c r="I10890" s="1245"/>
    </row>
    <row r="10891" spans="8:9">
      <c r="H10891" s="1245"/>
      <c r="I10891" s="1245"/>
    </row>
    <row r="10892" spans="8:9">
      <c r="H10892" s="1245"/>
      <c r="I10892" s="1245"/>
    </row>
    <row r="10893" spans="8:9">
      <c r="H10893" s="1245"/>
      <c r="I10893" s="1245"/>
    </row>
    <row r="10894" spans="8:9">
      <c r="H10894" s="1245"/>
      <c r="I10894" s="1245"/>
    </row>
    <row r="10895" spans="8:9">
      <c r="H10895" s="1245"/>
      <c r="I10895" s="1245"/>
    </row>
    <row r="10896" spans="8:9">
      <c r="H10896" s="1245"/>
      <c r="I10896" s="1245"/>
    </row>
    <row r="10897" spans="8:9">
      <c r="H10897" s="1245"/>
      <c r="I10897" s="1245"/>
    </row>
    <row r="10898" spans="8:9">
      <c r="H10898" s="1245"/>
      <c r="I10898" s="1245"/>
    </row>
    <row r="10899" spans="8:9">
      <c r="H10899" s="1245"/>
      <c r="I10899" s="1245"/>
    </row>
    <row r="10900" spans="8:9">
      <c r="H10900" s="1245"/>
      <c r="I10900" s="1245"/>
    </row>
    <row r="10901" spans="8:9">
      <c r="H10901" s="1245"/>
      <c r="I10901" s="1245"/>
    </row>
    <row r="10902" spans="8:9">
      <c r="H10902" s="1245"/>
      <c r="I10902" s="1245"/>
    </row>
    <row r="10903" spans="8:9">
      <c r="H10903" s="1245"/>
      <c r="I10903" s="1245"/>
    </row>
    <row r="10904" spans="8:9">
      <c r="H10904" s="1245"/>
      <c r="I10904" s="1245"/>
    </row>
    <row r="10905" spans="8:9">
      <c r="H10905" s="1245"/>
      <c r="I10905" s="1245"/>
    </row>
    <row r="10906" spans="8:9">
      <c r="H10906" s="1245"/>
      <c r="I10906" s="1245"/>
    </row>
    <row r="10907" spans="8:9">
      <c r="H10907" s="1245"/>
      <c r="I10907" s="1245"/>
    </row>
    <row r="10908" spans="8:9">
      <c r="H10908" s="1245"/>
      <c r="I10908" s="1245"/>
    </row>
    <row r="10909" spans="8:9">
      <c r="H10909" s="1245"/>
      <c r="I10909" s="1245"/>
    </row>
    <row r="10910" spans="8:9">
      <c r="H10910" s="1245"/>
      <c r="I10910" s="1245"/>
    </row>
    <row r="10911" spans="8:9">
      <c r="H10911" s="1245"/>
      <c r="I10911" s="1245"/>
    </row>
    <row r="10912" spans="8:9">
      <c r="H10912" s="1245"/>
      <c r="I10912" s="1245"/>
    </row>
    <row r="10913" spans="8:9">
      <c r="H10913" s="1245"/>
      <c r="I10913" s="1245"/>
    </row>
    <row r="10914" spans="8:9">
      <c r="H10914" s="1245"/>
      <c r="I10914" s="1245"/>
    </row>
    <row r="10915" spans="8:9">
      <c r="H10915" s="1245"/>
      <c r="I10915" s="1245"/>
    </row>
    <row r="10916" spans="8:9">
      <c r="H10916" s="1245"/>
      <c r="I10916" s="1245"/>
    </row>
    <row r="10917" spans="8:9">
      <c r="H10917" s="1245"/>
      <c r="I10917" s="1245"/>
    </row>
    <row r="10918" spans="8:9">
      <c r="H10918" s="1245"/>
      <c r="I10918" s="1245"/>
    </row>
    <row r="10919" spans="8:9">
      <c r="H10919" s="1245"/>
      <c r="I10919" s="1245"/>
    </row>
    <row r="10920" spans="8:9">
      <c r="H10920" s="1245"/>
      <c r="I10920" s="1245"/>
    </row>
    <row r="10921" spans="8:9">
      <c r="H10921" s="1245"/>
      <c r="I10921" s="1245"/>
    </row>
    <row r="10922" spans="8:9">
      <c r="H10922" s="1245"/>
      <c r="I10922" s="1245"/>
    </row>
    <row r="10923" spans="8:9">
      <c r="H10923" s="1245"/>
      <c r="I10923" s="1245"/>
    </row>
    <row r="10924" spans="8:9">
      <c r="H10924" s="1245"/>
      <c r="I10924" s="1245"/>
    </row>
    <row r="10925" spans="8:9">
      <c r="H10925" s="1245"/>
      <c r="I10925" s="1245"/>
    </row>
    <row r="10926" spans="8:9">
      <c r="H10926" s="1245"/>
      <c r="I10926" s="1245"/>
    </row>
    <row r="10927" spans="8:9">
      <c r="H10927" s="1245"/>
      <c r="I10927" s="1245"/>
    </row>
    <row r="10928" spans="8:9">
      <c r="H10928" s="1245"/>
      <c r="I10928" s="1245"/>
    </row>
    <row r="10929" spans="8:9">
      <c r="H10929" s="1245"/>
      <c r="I10929" s="1245"/>
    </row>
    <row r="10930" spans="8:9">
      <c r="H10930" s="1245"/>
      <c r="I10930" s="1245"/>
    </row>
    <row r="10931" spans="8:9">
      <c r="H10931" s="1245"/>
      <c r="I10931" s="1245"/>
    </row>
    <row r="10932" spans="8:9">
      <c r="H10932" s="1245"/>
      <c r="I10932" s="1245"/>
    </row>
    <row r="10933" spans="8:9">
      <c r="H10933" s="1245"/>
      <c r="I10933" s="1245"/>
    </row>
    <row r="10934" spans="8:9">
      <c r="H10934" s="1245"/>
      <c r="I10934" s="1245"/>
    </row>
    <row r="10935" spans="8:9">
      <c r="H10935" s="1245"/>
      <c r="I10935" s="1245"/>
    </row>
    <row r="10936" spans="8:9">
      <c r="H10936" s="1245"/>
      <c r="I10936" s="1245"/>
    </row>
    <row r="10937" spans="8:9">
      <c r="H10937" s="1245"/>
      <c r="I10937" s="1245"/>
    </row>
    <row r="10938" spans="8:9">
      <c r="H10938" s="1245"/>
      <c r="I10938" s="1245"/>
    </row>
    <row r="10939" spans="8:9">
      <c r="H10939" s="1245"/>
      <c r="I10939" s="1245"/>
    </row>
    <row r="10940" spans="8:9">
      <c r="H10940" s="1245"/>
      <c r="I10940" s="1245"/>
    </row>
    <row r="10941" spans="8:9">
      <c r="H10941" s="1245"/>
      <c r="I10941" s="1245"/>
    </row>
    <row r="10942" spans="8:9">
      <c r="H10942" s="1245"/>
      <c r="I10942" s="1245"/>
    </row>
    <row r="10943" spans="8:9">
      <c r="H10943" s="1245"/>
      <c r="I10943" s="1245"/>
    </row>
    <row r="10944" spans="8:9">
      <c r="H10944" s="1245"/>
      <c r="I10944" s="1245"/>
    </row>
    <row r="10945" spans="8:9">
      <c r="H10945" s="1245"/>
      <c r="I10945" s="1245"/>
    </row>
    <row r="10946" spans="8:9">
      <c r="H10946" s="1245"/>
      <c r="I10946" s="1245"/>
    </row>
    <row r="10947" spans="8:9">
      <c r="H10947" s="1245"/>
      <c r="I10947" s="1245"/>
    </row>
    <row r="10948" spans="8:9">
      <c r="H10948" s="1245"/>
      <c r="I10948" s="1245"/>
    </row>
    <row r="10949" spans="8:9">
      <c r="H10949" s="1245"/>
      <c r="I10949" s="1245"/>
    </row>
    <row r="10950" spans="8:9">
      <c r="H10950" s="1245"/>
      <c r="I10950" s="1245"/>
    </row>
    <row r="10951" spans="8:9">
      <c r="H10951" s="1245"/>
      <c r="I10951" s="1245"/>
    </row>
    <row r="10952" spans="8:9">
      <c r="H10952" s="1245"/>
      <c r="I10952" s="1245"/>
    </row>
    <row r="10953" spans="8:9">
      <c r="H10953" s="1245"/>
      <c r="I10953" s="1245"/>
    </row>
    <row r="10954" spans="8:9">
      <c r="H10954" s="1245"/>
      <c r="I10954" s="1245"/>
    </row>
    <row r="10955" spans="8:9">
      <c r="H10955" s="1245"/>
      <c r="I10955" s="1245"/>
    </row>
    <row r="10956" spans="8:9">
      <c r="H10956" s="1245"/>
      <c r="I10956" s="1245"/>
    </row>
    <row r="10957" spans="8:9">
      <c r="H10957" s="1245"/>
      <c r="I10957" s="1245"/>
    </row>
    <row r="10958" spans="8:9">
      <c r="H10958" s="1245"/>
      <c r="I10958" s="1245"/>
    </row>
    <row r="10959" spans="8:9">
      <c r="H10959" s="1245"/>
      <c r="I10959" s="1245"/>
    </row>
    <row r="10960" spans="8:9">
      <c r="H10960" s="1245"/>
      <c r="I10960" s="1245"/>
    </row>
    <row r="10961" spans="8:9">
      <c r="H10961" s="1245"/>
      <c r="I10961" s="1245"/>
    </row>
    <row r="10962" spans="8:9">
      <c r="H10962" s="1245"/>
      <c r="I10962" s="1245"/>
    </row>
    <row r="10963" spans="8:9">
      <c r="H10963" s="1245"/>
      <c r="I10963" s="1245"/>
    </row>
    <row r="10964" spans="8:9">
      <c r="H10964" s="1245"/>
      <c r="I10964" s="1245"/>
    </row>
    <row r="10965" spans="8:9">
      <c r="H10965" s="1245"/>
      <c r="I10965" s="1245"/>
    </row>
    <row r="10966" spans="8:9">
      <c r="H10966" s="1245"/>
      <c r="I10966" s="1245"/>
    </row>
    <row r="10967" spans="8:9">
      <c r="H10967" s="1245"/>
      <c r="I10967" s="1245"/>
    </row>
    <row r="10968" spans="8:9">
      <c r="H10968" s="1245"/>
      <c r="I10968" s="1245"/>
    </row>
    <row r="10969" spans="8:9">
      <c r="H10969" s="1245"/>
      <c r="I10969" s="1245"/>
    </row>
    <row r="10970" spans="8:9">
      <c r="H10970" s="1245"/>
      <c r="I10970" s="1245"/>
    </row>
    <row r="10971" spans="8:9">
      <c r="H10971" s="1245"/>
      <c r="I10971" s="1245"/>
    </row>
    <row r="10972" spans="8:9">
      <c r="H10972" s="1245"/>
      <c r="I10972" s="1245"/>
    </row>
    <row r="10973" spans="8:9">
      <c r="H10973" s="1245"/>
      <c r="I10973" s="1245"/>
    </row>
    <row r="10974" spans="8:9">
      <c r="H10974" s="1245"/>
      <c r="I10974" s="1245"/>
    </row>
    <row r="10975" spans="8:9">
      <c r="H10975" s="1245"/>
      <c r="I10975" s="1245"/>
    </row>
    <row r="10976" spans="8:9">
      <c r="H10976" s="1245"/>
      <c r="I10976" s="1245"/>
    </row>
    <row r="10977" spans="8:9">
      <c r="H10977" s="1245"/>
      <c r="I10977" s="1245"/>
    </row>
    <row r="10978" spans="8:9">
      <c r="H10978" s="1245"/>
      <c r="I10978" s="1245"/>
    </row>
    <row r="10979" spans="8:9">
      <c r="H10979" s="1245"/>
      <c r="I10979" s="1245"/>
    </row>
    <row r="10980" spans="8:9">
      <c r="H10980" s="1245"/>
      <c r="I10980" s="1245"/>
    </row>
    <row r="10981" spans="8:9">
      <c r="H10981" s="1245"/>
      <c r="I10981" s="1245"/>
    </row>
    <row r="10982" spans="8:9">
      <c r="H10982" s="1245"/>
      <c r="I10982" s="1245"/>
    </row>
    <row r="10983" spans="8:9">
      <c r="H10983" s="1245"/>
      <c r="I10983" s="1245"/>
    </row>
    <row r="10984" spans="8:9">
      <c r="H10984" s="1245"/>
      <c r="I10984" s="1245"/>
    </row>
    <row r="10985" spans="8:9">
      <c r="H10985" s="1245"/>
      <c r="I10985" s="1245"/>
    </row>
    <row r="10986" spans="8:9">
      <c r="H10986" s="1245"/>
      <c r="I10986" s="1245"/>
    </row>
    <row r="10987" spans="8:9">
      <c r="H10987" s="1245"/>
      <c r="I10987" s="1245"/>
    </row>
    <row r="10988" spans="8:9">
      <c r="H10988" s="1245"/>
      <c r="I10988" s="1245"/>
    </row>
    <row r="10989" spans="8:9">
      <c r="H10989" s="1245"/>
      <c r="I10989" s="1245"/>
    </row>
    <row r="10990" spans="8:9">
      <c r="H10990" s="1245"/>
      <c r="I10990" s="1245"/>
    </row>
    <row r="10991" spans="8:9">
      <c r="H10991" s="1245"/>
      <c r="I10991" s="1245"/>
    </row>
    <row r="10992" spans="8:9">
      <c r="H10992" s="1245"/>
      <c r="I10992" s="1245"/>
    </row>
    <row r="10993" spans="8:9">
      <c r="H10993" s="1245"/>
      <c r="I10993" s="1245"/>
    </row>
    <row r="10994" spans="8:9">
      <c r="H10994" s="1245"/>
      <c r="I10994" s="1245"/>
    </row>
    <row r="10995" spans="8:9">
      <c r="H10995" s="1245"/>
      <c r="I10995" s="1245"/>
    </row>
    <row r="10996" spans="8:9">
      <c r="H10996" s="1245"/>
      <c r="I10996" s="1245"/>
    </row>
    <row r="10997" spans="8:9">
      <c r="H10997" s="1245"/>
      <c r="I10997" s="1245"/>
    </row>
    <row r="10998" spans="8:9">
      <c r="H10998" s="1245"/>
      <c r="I10998" s="1245"/>
    </row>
    <row r="10999" spans="8:9">
      <c r="H10999" s="1245"/>
      <c r="I10999" s="1245"/>
    </row>
    <row r="11000" spans="8:9">
      <c r="H11000" s="1245"/>
      <c r="I11000" s="1245"/>
    </row>
    <row r="11001" spans="8:9">
      <c r="H11001" s="1245"/>
      <c r="I11001" s="1245"/>
    </row>
    <row r="11002" spans="8:9">
      <c r="H11002" s="1245"/>
      <c r="I11002" s="1245"/>
    </row>
    <row r="11003" spans="8:9">
      <c r="H11003" s="1245"/>
      <c r="I11003" s="1245"/>
    </row>
    <row r="11004" spans="8:9">
      <c r="H11004" s="1245"/>
      <c r="I11004" s="1245"/>
    </row>
    <row r="11005" spans="8:9">
      <c r="H11005" s="1245"/>
      <c r="I11005" s="1245"/>
    </row>
    <row r="11006" spans="8:9">
      <c r="H11006" s="1245"/>
      <c r="I11006" s="1245"/>
    </row>
    <row r="11007" spans="8:9">
      <c r="H11007" s="1245"/>
      <c r="I11007" s="1245"/>
    </row>
    <row r="11008" spans="8:9">
      <c r="H11008" s="1245"/>
      <c r="I11008" s="1245"/>
    </row>
    <row r="11009" spans="8:9">
      <c r="H11009" s="1245"/>
      <c r="I11009" s="1245"/>
    </row>
    <row r="11010" spans="8:9">
      <c r="H11010" s="1245"/>
      <c r="I11010" s="1245"/>
    </row>
    <row r="11011" spans="8:9">
      <c r="H11011" s="1245"/>
      <c r="I11011" s="1245"/>
    </row>
    <row r="11012" spans="8:9">
      <c r="H11012" s="1245"/>
      <c r="I11012" s="1245"/>
    </row>
    <row r="11013" spans="8:9">
      <c r="H11013" s="1245"/>
      <c r="I11013" s="1245"/>
    </row>
    <row r="11014" spans="8:9">
      <c r="H11014" s="1245"/>
      <c r="I11014" s="1245"/>
    </row>
    <row r="11015" spans="8:9">
      <c r="H11015" s="1245"/>
      <c r="I11015" s="1245"/>
    </row>
    <row r="11016" spans="8:9">
      <c r="H11016" s="1245"/>
      <c r="I11016" s="1245"/>
    </row>
    <row r="11017" spans="8:9">
      <c r="H11017" s="1245"/>
      <c r="I11017" s="1245"/>
    </row>
    <row r="11018" spans="8:9">
      <c r="H11018" s="1245"/>
      <c r="I11018" s="1245"/>
    </row>
    <row r="11019" spans="8:9">
      <c r="H11019" s="1245"/>
      <c r="I11019" s="1245"/>
    </row>
    <row r="11020" spans="8:9">
      <c r="H11020" s="1245"/>
      <c r="I11020" s="1245"/>
    </row>
    <row r="11021" spans="8:9">
      <c r="H11021" s="1245"/>
      <c r="I11021" s="1245"/>
    </row>
    <row r="11022" spans="8:9">
      <c r="H11022" s="1245"/>
      <c r="I11022" s="1245"/>
    </row>
    <row r="11023" spans="8:9">
      <c r="H11023" s="1245"/>
      <c r="I11023" s="1245"/>
    </row>
    <row r="11024" spans="8:9">
      <c r="H11024" s="1245"/>
      <c r="I11024" s="1245"/>
    </row>
    <row r="11025" spans="8:9">
      <c r="H11025" s="1245"/>
      <c r="I11025" s="1245"/>
    </row>
    <row r="11026" spans="8:9">
      <c r="H11026" s="1245"/>
      <c r="I11026" s="1245"/>
    </row>
    <row r="11027" spans="8:9">
      <c r="H11027" s="1245"/>
      <c r="I11027" s="1245"/>
    </row>
    <row r="11028" spans="8:9">
      <c r="H11028" s="1245"/>
      <c r="I11028" s="1245"/>
    </row>
    <row r="11029" spans="8:9">
      <c r="H11029" s="1245"/>
      <c r="I11029" s="1245"/>
    </row>
    <row r="11030" spans="8:9">
      <c r="H11030" s="1245"/>
      <c r="I11030" s="1245"/>
    </row>
    <row r="11031" spans="8:9">
      <c r="H11031" s="1245"/>
      <c r="I11031" s="1245"/>
    </row>
    <row r="11032" spans="8:9">
      <c r="H11032" s="1245"/>
      <c r="I11032" s="1245"/>
    </row>
    <row r="11033" spans="8:9">
      <c r="H11033" s="1245"/>
      <c r="I11033" s="1245"/>
    </row>
    <row r="11034" spans="8:9">
      <c r="H11034" s="1245"/>
      <c r="I11034" s="1245"/>
    </row>
    <row r="11035" spans="8:9">
      <c r="H11035" s="1245"/>
      <c r="I11035" s="1245"/>
    </row>
    <row r="11036" spans="8:9">
      <c r="H11036" s="1245"/>
      <c r="I11036" s="1245"/>
    </row>
    <row r="11037" spans="8:9">
      <c r="H11037" s="1245"/>
      <c r="I11037" s="1245"/>
    </row>
    <row r="11038" spans="8:9">
      <c r="H11038" s="1245"/>
      <c r="I11038" s="1245"/>
    </row>
    <row r="11039" spans="8:9">
      <c r="H11039" s="1245"/>
      <c r="I11039" s="1245"/>
    </row>
    <row r="11040" spans="8:9">
      <c r="H11040" s="1245"/>
      <c r="I11040" s="1245"/>
    </row>
    <row r="11041" spans="8:9">
      <c r="H11041" s="1245"/>
      <c r="I11041" s="1245"/>
    </row>
    <row r="11042" spans="8:9">
      <c r="H11042" s="1245"/>
      <c r="I11042" s="1245"/>
    </row>
    <row r="11043" spans="8:9">
      <c r="H11043" s="1245"/>
      <c r="I11043" s="1245"/>
    </row>
    <row r="11044" spans="8:9">
      <c r="H11044" s="1245"/>
      <c r="I11044" s="1245"/>
    </row>
    <row r="11045" spans="8:9">
      <c r="H11045" s="1245"/>
      <c r="I11045" s="1245"/>
    </row>
    <row r="11046" spans="8:9">
      <c r="H11046" s="1245"/>
      <c r="I11046" s="1245"/>
    </row>
    <row r="11047" spans="8:9">
      <c r="H11047" s="1245"/>
      <c r="I11047" s="1245"/>
    </row>
    <row r="11048" spans="8:9">
      <c r="H11048" s="1245"/>
      <c r="I11048" s="1245"/>
    </row>
    <row r="11049" spans="8:9">
      <c r="H11049" s="1245"/>
      <c r="I11049" s="1245"/>
    </row>
    <row r="11050" spans="8:9">
      <c r="H11050" s="1245"/>
      <c r="I11050" s="1245"/>
    </row>
    <row r="11051" spans="8:9">
      <c r="H11051" s="1245"/>
      <c r="I11051" s="1245"/>
    </row>
    <row r="11052" spans="8:9">
      <c r="H11052" s="1245"/>
      <c r="I11052" s="1245"/>
    </row>
    <row r="11053" spans="8:9">
      <c r="H11053" s="1245"/>
      <c r="I11053" s="1245"/>
    </row>
    <row r="11054" spans="8:9">
      <c r="H11054" s="1245"/>
      <c r="I11054" s="1245"/>
    </row>
    <row r="11055" spans="8:9">
      <c r="H11055" s="1245"/>
      <c r="I11055" s="1245"/>
    </row>
    <row r="11056" spans="8:9">
      <c r="H11056" s="1245"/>
      <c r="I11056" s="1245"/>
    </row>
    <row r="11057" spans="8:9">
      <c r="H11057" s="1245"/>
      <c r="I11057" s="1245"/>
    </row>
    <row r="11058" spans="8:9">
      <c r="H11058" s="1245"/>
      <c r="I11058" s="1245"/>
    </row>
    <row r="11059" spans="8:9">
      <c r="H11059" s="1245"/>
      <c r="I11059" s="1245"/>
    </row>
    <row r="11060" spans="8:9">
      <c r="H11060" s="1245"/>
      <c r="I11060" s="1245"/>
    </row>
    <row r="11061" spans="8:9">
      <c r="H11061" s="1245"/>
      <c r="I11061" s="1245"/>
    </row>
    <row r="11062" spans="8:9">
      <c r="H11062" s="1245"/>
      <c r="I11062" s="1245"/>
    </row>
    <row r="11063" spans="8:9">
      <c r="H11063" s="1245"/>
      <c r="I11063" s="1245"/>
    </row>
    <row r="11064" spans="8:9">
      <c r="H11064" s="1245"/>
      <c r="I11064" s="1245"/>
    </row>
    <row r="11065" spans="8:9">
      <c r="H11065" s="1245"/>
      <c r="I11065" s="1245"/>
    </row>
    <row r="11066" spans="8:9">
      <c r="H11066" s="1245"/>
      <c r="I11066" s="1245"/>
    </row>
    <row r="11067" spans="8:9">
      <c r="H11067" s="1245"/>
      <c r="I11067" s="1245"/>
    </row>
    <row r="11068" spans="8:9">
      <c r="H11068" s="1245"/>
      <c r="I11068" s="1245"/>
    </row>
    <row r="11069" spans="8:9">
      <c r="H11069" s="1245"/>
      <c r="I11069" s="1245"/>
    </row>
    <row r="11070" spans="8:9">
      <c r="H11070" s="1245"/>
      <c r="I11070" s="1245"/>
    </row>
    <row r="11071" spans="8:9">
      <c r="H11071" s="1245"/>
      <c r="I11071" s="1245"/>
    </row>
    <row r="11072" spans="8:9">
      <c r="H11072" s="1245"/>
      <c r="I11072" s="1245"/>
    </row>
    <row r="11073" spans="8:9">
      <c r="H11073" s="1245"/>
      <c r="I11073" s="1245"/>
    </row>
    <row r="11074" spans="8:9">
      <c r="H11074" s="1245"/>
      <c r="I11074" s="1245"/>
    </row>
    <row r="11075" spans="8:9">
      <c r="H11075" s="1245"/>
      <c r="I11075" s="1245"/>
    </row>
    <row r="11076" spans="8:9">
      <c r="H11076" s="1245"/>
      <c r="I11076" s="1245"/>
    </row>
    <row r="11077" spans="8:9">
      <c r="H11077" s="1245"/>
      <c r="I11077" s="1245"/>
    </row>
    <row r="11078" spans="8:9">
      <c r="H11078" s="1245"/>
      <c r="I11078" s="1245"/>
    </row>
    <row r="11079" spans="8:9">
      <c r="H11079" s="1245"/>
      <c r="I11079" s="1245"/>
    </row>
    <row r="11080" spans="8:9">
      <c r="H11080" s="1245"/>
      <c r="I11080" s="1245"/>
    </row>
    <row r="11081" spans="8:9">
      <c r="H11081" s="1245"/>
      <c r="I11081" s="1245"/>
    </row>
    <row r="11082" spans="8:9">
      <c r="H11082" s="1245"/>
      <c r="I11082" s="1245"/>
    </row>
    <row r="11083" spans="8:9">
      <c r="H11083" s="1245"/>
      <c r="I11083" s="1245"/>
    </row>
    <row r="11084" spans="8:9">
      <c r="H11084" s="1245"/>
      <c r="I11084" s="1245"/>
    </row>
    <row r="11085" spans="8:9">
      <c r="H11085" s="1245"/>
      <c r="I11085" s="1245"/>
    </row>
    <row r="11086" spans="8:9">
      <c r="H11086" s="1245"/>
      <c r="I11086" s="1245"/>
    </row>
    <row r="11087" spans="8:9">
      <c r="H11087" s="1245"/>
      <c r="I11087" s="1245"/>
    </row>
    <row r="11088" spans="8:9">
      <c r="H11088" s="1245"/>
      <c r="I11088" s="1245"/>
    </row>
    <row r="11089" spans="8:9">
      <c r="H11089" s="1245"/>
      <c r="I11089" s="1245"/>
    </row>
    <row r="11090" spans="8:9">
      <c r="H11090" s="1245"/>
      <c r="I11090" s="1245"/>
    </row>
    <row r="11091" spans="8:9">
      <c r="H11091" s="1245"/>
      <c r="I11091" s="1245"/>
    </row>
    <row r="11092" spans="8:9">
      <c r="H11092" s="1245"/>
      <c r="I11092" s="1245"/>
    </row>
    <row r="11093" spans="8:9">
      <c r="H11093" s="1245"/>
      <c r="I11093" s="1245"/>
    </row>
    <row r="11094" spans="8:9">
      <c r="H11094" s="1245"/>
      <c r="I11094" s="1245"/>
    </row>
    <row r="11095" spans="8:9">
      <c r="H11095" s="1245"/>
      <c r="I11095" s="1245"/>
    </row>
    <row r="11096" spans="8:9">
      <c r="H11096" s="1245"/>
      <c r="I11096" s="1245"/>
    </row>
    <row r="11097" spans="8:9">
      <c r="H11097" s="1245"/>
      <c r="I11097" s="1245"/>
    </row>
    <row r="11098" spans="8:9">
      <c r="H11098" s="1245"/>
      <c r="I11098" s="1245"/>
    </row>
    <row r="11099" spans="8:9">
      <c r="H11099" s="1245"/>
      <c r="I11099" s="1245"/>
    </row>
    <row r="11100" spans="8:9">
      <c r="H11100" s="1245"/>
      <c r="I11100" s="1245"/>
    </row>
    <row r="11101" spans="8:9">
      <c r="H11101" s="1245"/>
      <c r="I11101" s="1245"/>
    </row>
    <row r="11102" spans="8:9">
      <c r="H11102" s="1245"/>
      <c r="I11102" s="1245"/>
    </row>
    <row r="11103" spans="8:9">
      <c r="H11103" s="1245"/>
      <c r="I11103" s="1245"/>
    </row>
    <row r="11104" spans="8:9">
      <c r="H11104" s="1245"/>
      <c r="I11104" s="1245"/>
    </row>
    <row r="11105" spans="8:9">
      <c r="H11105" s="1245"/>
      <c r="I11105" s="1245"/>
    </row>
    <row r="11106" spans="8:9">
      <c r="H11106" s="1245"/>
      <c r="I11106" s="1245"/>
    </row>
    <row r="11107" spans="8:9">
      <c r="H11107" s="1245"/>
      <c r="I11107" s="1245"/>
    </row>
    <row r="11108" spans="8:9">
      <c r="H11108" s="1245"/>
      <c r="I11108" s="1245"/>
    </row>
    <row r="11109" spans="8:9">
      <c r="H11109" s="1245"/>
      <c r="I11109" s="1245"/>
    </row>
    <row r="11110" spans="8:9">
      <c r="H11110" s="1245"/>
      <c r="I11110" s="1245"/>
    </row>
    <row r="11111" spans="8:9">
      <c r="H11111" s="1245"/>
      <c r="I11111" s="1245"/>
    </row>
    <row r="11112" spans="8:9">
      <c r="H11112" s="1245"/>
      <c r="I11112" s="1245"/>
    </row>
    <row r="11113" spans="8:9">
      <c r="H11113" s="1245"/>
      <c r="I11113" s="1245"/>
    </row>
    <row r="11114" spans="8:9">
      <c r="H11114" s="1245"/>
      <c r="I11114" s="1245"/>
    </row>
    <row r="11115" spans="8:9">
      <c r="H11115" s="1245"/>
      <c r="I11115" s="1245"/>
    </row>
    <row r="11116" spans="8:9">
      <c r="H11116" s="1245"/>
      <c r="I11116" s="1245"/>
    </row>
    <row r="11117" spans="8:9">
      <c r="H11117" s="1245"/>
      <c r="I11117" s="1245"/>
    </row>
    <row r="11118" spans="8:9">
      <c r="H11118" s="1245"/>
      <c r="I11118" s="1245"/>
    </row>
    <row r="11119" spans="8:9">
      <c r="H11119" s="1245"/>
      <c r="I11119" s="1245"/>
    </row>
    <row r="11120" spans="8:9">
      <c r="H11120" s="1245"/>
      <c r="I11120" s="1245"/>
    </row>
    <row r="11121" spans="8:9">
      <c r="H11121" s="1245"/>
      <c r="I11121" s="1245"/>
    </row>
    <row r="11122" spans="8:9">
      <c r="H11122" s="1245"/>
      <c r="I11122" s="1245"/>
    </row>
    <row r="11123" spans="8:9">
      <c r="H11123" s="1245"/>
      <c r="I11123" s="1245"/>
    </row>
    <row r="11124" spans="8:9">
      <c r="H11124" s="1245"/>
      <c r="I11124" s="1245"/>
    </row>
    <row r="11125" spans="8:9">
      <c r="H11125" s="1245"/>
      <c r="I11125" s="1245"/>
    </row>
    <row r="11126" spans="8:9">
      <c r="H11126" s="1245"/>
      <c r="I11126" s="1245"/>
    </row>
    <row r="11127" spans="8:9">
      <c r="H11127" s="1245"/>
      <c r="I11127" s="1245"/>
    </row>
    <row r="11128" spans="8:9">
      <c r="H11128" s="1245"/>
      <c r="I11128" s="1245"/>
    </row>
    <row r="11129" spans="8:9">
      <c r="H11129" s="1245"/>
      <c r="I11129" s="1245"/>
    </row>
    <row r="11130" spans="8:9">
      <c r="H11130" s="1245"/>
      <c r="I11130" s="1245"/>
    </row>
    <row r="11131" spans="8:9">
      <c r="H11131" s="1245"/>
      <c r="I11131" s="1245"/>
    </row>
    <row r="11132" spans="8:9">
      <c r="H11132" s="1245"/>
      <c r="I11132" s="1245"/>
    </row>
    <row r="11133" spans="8:9">
      <c r="H11133" s="1245"/>
      <c r="I11133" s="1245"/>
    </row>
    <row r="11134" spans="8:9">
      <c r="H11134" s="1245"/>
      <c r="I11134" s="1245"/>
    </row>
    <row r="11135" spans="8:9">
      <c r="H11135" s="1245"/>
      <c r="I11135" s="1245"/>
    </row>
    <row r="11136" spans="8:9">
      <c r="H11136" s="1245"/>
      <c r="I11136" s="1245"/>
    </row>
    <row r="11137" spans="8:9">
      <c r="H11137" s="1245"/>
      <c r="I11137" s="1245"/>
    </row>
    <row r="11138" spans="8:9">
      <c r="H11138" s="1245"/>
      <c r="I11138" s="1245"/>
    </row>
    <row r="11139" spans="8:9">
      <c r="H11139" s="1245"/>
      <c r="I11139" s="1245"/>
    </row>
    <row r="11140" spans="8:9">
      <c r="H11140" s="1245"/>
      <c r="I11140" s="1245"/>
    </row>
    <row r="11141" spans="8:9">
      <c r="H11141" s="1245"/>
      <c r="I11141" s="1245"/>
    </row>
    <row r="11142" spans="8:9">
      <c r="H11142" s="1245"/>
      <c r="I11142" s="1245"/>
    </row>
    <row r="11143" spans="8:9">
      <c r="H11143" s="1245"/>
      <c r="I11143" s="1245"/>
    </row>
    <row r="11144" spans="8:9">
      <c r="H11144" s="1245"/>
      <c r="I11144" s="1245"/>
    </row>
    <row r="11145" spans="8:9">
      <c r="H11145" s="1245"/>
      <c r="I11145" s="1245"/>
    </row>
    <row r="11146" spans="8:9">
      <c r="H11146" s="1245"/>
      <c r="I11146" s="1245"/>
    </row>
    <row r="11147" spans="8:9">
      <c r="H11147" s="1245"/>
      <c r="I11147" s="1245"/>
    </row>
    <row r="11148" spans="8:9">
      <c r="H11148" s="1245"/>
      <c r="I11148" s="1245"/>
    </row>
    <row r="11149" spans="8:9">
      <c r="H11149" s="1245"/>
      <c r="I11149" s="1245"/>
    </row>
    <row r="11150" spans="8:9">
      <c r="H11150" s="1245"/>
      <c r="I11150" s="1245"/>
    </row>
    <row r="11151" spans="8:9">
      <c r="H11151" s="1245"/>
      <c r="I11151" s="1245"/>
    </row>
    <row r="11152" spans="8:9">
      <c r="H11152" s="1245"/>
      <c r="I11152" s="1245"/>
    </row>
    <row r="11153" spans="8:9">
      <c r="H11153" s="1245"/>
      <c r="I11153" s="1245"/>
    </row>
    <row r="11154" spans="8:9">
      <c r="H11154" s="1245"/>
      <c r="I11154" s="1245"/>
    </row>
    <row r="11155" spans="8:9">
      <c r="H11155" s="1245"/>
      <c r="I11155" s="1245"/>
    </row>
    <row r="11156" spans="8:9">
      <c r="H11156" s="1245"/>
      <c r="I11156" s="1245"/>
    </row>
    <row r="11157" spans="8:9">
      <c r="H11157" s="1245"/>
      <c r="I11157" s="1245"/>
    </row>
    <row r="11158" spans="8:9">
      <c r="H11158" s="1245"/>
      <c r="I11158" s="1245"/>
    </row>
    <row r="11159" spans="8:9">
      <c r="H11159" s="1245"/>
      <c r="I11159" s="1245"/>
    </row>
    <row r="11160" spans="8:9">
      <c r="H11160" s="1245"/>
      <c r="I11160" s="1245"/>
    </row>
    <row r="11161" spans="8:9">
      <c r="H11161" s="1245"/>
      <c r="I11161" s="1245"/>
    </row>
    <row r="11162" spans="8:9">
      <c r="H11162" s="1245"/>
      <c r="I11162" s="1245"/>
    </row>
    <row r="11163" spans="8:9">
      <c r="H11163" s="1245"/>
      <c r="I11163" s="1245"/>
    </row>
    <row r="11164" spans="8:9">
      <c r="H11164" s="1245"/>
      <c r="I11164" s="1245"/>
    </row>
    <row r="11165" spans="8:9">
      <c r="H11165" s="1245"/>
      <c r="I11165" s="1245"/>
    </row>
    <row r="11166" spans="8:9">
      <c r="H11166" s="1245"/>
      <c r="I11166" s="1245"/>
    </row>
    <row r="11167" spans="8:9">
      <c r="H11167" s="1245"/>
      <c r="I11167" s="1245"/>
    </row>
    <row r="11168" spans="8:9">
      <c r="H11168" s="1245"/>
      <c r="I11168" s="1245"/>
    </row>
    <row r="11169" spans="8:9">
      <c r="H11169" s="1245"/>
      <c r="I11169" s="1245"/>
    </row>
    <row r="11170" spans="8:9">
      <c r="H11170" s="1245"/>
      <c r="I11170" s="1245"/>
    </row>
    <row r="11171" spans="8:9">
      <c r="H11171" s="1245"/>
      <c r="I11171" s="1245"/>
    </row>
    <row r="11172" spans="8:9">
      <c r="H11172" s="1245"/>
      <c r="I11172" s="1245"/>
    </row>
    <row r="11173" spans="8:9">
      <c r="H11173" s="1245"/>
      <c r="I11173" s="1245"/>
    </row>
    <row r="11174" spans="8:9">
      <c r="H11174" s="1245"/>
      <c r="I11174" s="1245"/>
    </row>
    <row r="11175" spans="8:9">
      <c r="H11175" s="1245"/>
      <c r="I11175" s="1245"/>
    </row>
    <row r="11176" spans="8:9">
      <c r="H11176" s="1245"/>
      <c r="I11176" s="1245"/>
    </row>
    <row r="11177" spans="8:9">
      <c r="H11177" s="1245"/>
      <c r="I11177" s="1245"/>
    </row>
    <row r="11178" spans="8:9">
      <c r="H11178" s="1245"/>
      <c r="I11178" s="1245"/>
    </row>
    <row r="11179" spans="8:9">
      <c r="H11179" s="1245"/>
      <c r="I11179" s="1245"/>
    </row>
    <row r="11180" spans="8:9">
      <c r="H11180" s="1245"/>
      <c r="I11180" s="1245"/>
    </row>
    <row r="11181" spans="8:9">
      <c r="H11181" s="1245"/>
      <c r="I11181" s="1245"/>
    </row>
    <row r="11182" spans="8:9">
      <c r="H11182" s="1245"/>
      <c r="I11182" s="1245"/>
    </row>
    <row r="11183" spans="8:9">
      <c r="H11183" s="1245"/>
      <c r="I11183" s="1245"/>
    </row>
    <row r="11184" spans="8:9">
      <c r="H11184" s="1245"/>
      <c r="I11184" s="1245"/>
    </row>
    <row r="11185" spans="8:9">
      <c r="H11185" s="1245"/>
      <c r="I11185" s="1245"/>
    </row>
    <row r="11186" spans="8:9">
      <c r="H11186" s="1245"/>
      <c r="I11186" s="1245"/>
    </row>
    <row r="11187" spans="8:9">
      <c r="H11187" s="1245"/>
      <c r="I11187" s="1245"/>
    </row>
    <row r="11188" spans="8:9">
      <c r="H11188" s="1245"/>
      <c r="I11188" s="1245"/>
    </row>
    <row r="11189" spans="8:9">
      <c r="H11189" s="1245"/>
      <c r="I11189" s="1245"/>
    </row>
    <row r="11190" spans="8:9">
      <c r="H11190" s="1245"/>
      <c r="I11190" s="1245"/>
    </row>
    <row r="11191" spans="8:9">
      <c r="H11191" s="1245"/>
      <c r="I11191" s="1245"/>
    </row>
    <row r="11192" spans="8:9">
      <c r="H11192" s="1245"/>
      <c r="I11192" s="1245"/>
    </row>
    <row r="11193" spans="8:9">
      <c r="H11193" s="1245"/>
      <c r="I11193" s="1245"/>
    </row>
    <row r="11194" spans="8:9">
      <c r="H11194" s="1245"/>
      <c r="I11194" s="1245"/>
    </row>
    <row r="11195" spans="8:9">
      <c r="H11195" s="1245"/>
      <c r="I11195" s="1245"/>
    </row>
    <row r="11196" spans="8:9">
      <c r="H11196" s="1245"/>
      <c r="I11196" s="1245"/>
    </row>
    <row r="11197" spans="8:9">
      <c r="H11197" s="1245"/>
      <c r="I11197" s="1245"/>
    </row>
    <row r="11198" spans="8:9">
      <c r="H11198" s="1245"/>
      <c r="I11198" s="1245"/>
    </row>
    <row r="11199" spans="8:9">
      <c r="H11199" s="1245"/>
      <c r="I11199" s="1245"/>
    </row>
    <row r="11200" spans="8:9">
      <c r="H11200" s="1245"/>
      <c r="I11200" s="1245"/>
    </row>
    <row r="11201" spans="8:9">
      <c r="H11201" s="1245"/>
      <c r="I11201" s="1245"/>
    </row>
    <row r="11202" spans="8:9">
      <c r="H11202" s="1245"/>
      <c r="I11202" s="1245"/>
    </row>
    <row r="11203" spans="8:9">
      <c r="H11203" s="1245"/>
      <c r="I11203" s="1245"/>
    </row>
    <row r="11204" spans="8:9">
      <c r="H11204" s="1245"/>
      <c r="I11204" s="1245"/>
    </row>
    <row r="11205" spans="8:9">
      <c r="H11205" s="1245"/>
      <c r="I11205" s="1245"/>
    </row>
    <row r="11206" spans="8:9">
      <c r="H11206" s="1245"/>
      <c r="I11206" s="1245"/>
    </row>
    <row r="11207" spans="8:9">
      <c r="H11207" s="1245"/>
      <c r="I11207" s="1245"/>
    </row>
    <row r="11208" spans="8:9">
      <c r="H11208" s="1245"/>
      <c r="I11208" s="1245"/>
    </row>
    <row r="11209" spans="8:9">
      <c r="H11209" s="1245"/>
      <c r="I11209" s="1245"/>
    </row>
    <row r="11210" spans="8:9">
      <c r="H11210" s="1245"/>
      <c r="I11210" s="1245"/>
    </row>
    <row r="11211" spans="8:9">
      <c r="H11211" s="1245"/>
      <c r="I11211" s="1245"/>
    </row>
    <row r="11212" spans="8:9">
      <c r="H11212" s="1245"/>
      <c r="I11212" s="1245"/>
    </row>
    <row r="11213" spans="8:9">
      <c r="H11213" s="1245"/>
      <c r="I11213" s="1245"/>
    </row>
    <row r="11214" spans="8:9">
      <c r="H11214" s="1245"/>
      <c r="I11214" s="1245"/>
    </row>
    <row r="11215" spans="8:9">
      <c r="H11215" s="1245"/>
      <c r="I11215" s="1245"/>
    </row>
    <row r="11216" spans="8:9">
      <c r="H11216" s="1245"/>
      <c r="I11216" s="1245"/>
    </row>
    <row r="11217" spans="8:9">
      <c r="H11217" s="1245"/>
      <c r="I11217" s="1245"/>
    </row>
    <row r="11218" spans="8:9">
      <c r="H11218" s="1245"/>
      <c r="I11218" s="1245"/>
    </row>
    <row r="11219" spans="8:9">
      <c r="H11219" s="1245"/>
      <c r="I11219" s="1245"/>
    </row>
    <row r="11220" spans="8:9">
      <c r="H11220" s="1245"/>
      <c r="I11220" s="1245"/>
    </row>
    <row r="11221" spans="8:9">
      <c r="H11221" s="1245"/>
      <c r="I11221" s="1245"/>
    </row>
    <row r="11222" spans="8:9">
      <c r="H11222" s="1245"/>
      <c r="I11222" s="1245"/>
    </row>
    <row r="11223" spans="8:9">
      <c r="H11223" s="1245"/>
      <c r="I11223" s="1245"/>
    </row>
    <row r="11224" spans="8:9">
      <c r="H11224" s="1245"/>
      <c r="I11224" s="1245"/>
    </row>
    <row r="11225" spans="8:9">
      <c r="H11225" s="1245"/>
      <c r="I11225" s="1245"/>
    </row>
    <row r="11226" spans="8:9">
      <c r="H11226" s="1245"/>
      <c r="I11226" s="1245"/>
    </row>
    <row r="11227" spans="8:9">
      <c r="H11227" s="1245"/>
      <c r="I11227" s="1245"/>
    </row>
    <row r="11228" spans="8:9">
      <c r="H11228" s="1245"/>
      <c r="I11228" s="1245"/>
    </row>
    <row r="11229" spans="8:9">
      <c r="H11229" s="1245"/>
      <c r="I11229" s="1245"/>
    </row>
    <row r="11230" spans="8:9">
      <c r="H11230" s="1245"/>
      <c r="I11230" s="1245"/>
    </row>
    <row r="11231" spans="8:9">
      <c r="H11231" s="1245"/>
      <c r="I11231" s="1245"/>
    </row>
    <row r="11232" spans="8:9">
      <c r="H11232" s="1245"/>
      <c r="I11232" s="1245"/>
    </row>
    <row r="11233" spans="8:9">
      <c r="H11233" s="1245"/>
      <c r="I11233" s="1245"/>
    </row>
    <row r="11234" spans="8:9">
      <c r="H11234" s="1245"/>
      <c r="I11234" s="1245"/>
    </row>
    <row r="11235" spans="8:9">
      <c r="H11235" s="1245"/>
      <c r="I11235" s="1245"/>
    </row>
    <row r="11236" spans="8:9">
      <c r="H11236" s="1245"/>
      <c r="I11236" s="1245"/>
    </row>
    <row r="11237" spans="8:9">
      <c r="H11237" s="1245"/>
      <c r="I11237" s="1245"/>
    </row>
    <row r="11238" spans="8:9">
      <c r="H11238" s="1245"/>
      <c r="I11238" s="1245"/>
    </row>
    <row r="11239" spans="8:9">
      <c r="H11239" s="1245"/>
      <c r="I11239" s="1245"/>
    </row>
    <row r="11240" spans="8:9">
      <c r="H11240" s="1245"/>
      <c r="I11240" s="1245"/>
    </row>
    <row r="11241" spans="8:9">
      <c r="H11241" s="1245"/>
      <c r="I11241" s="1245"/>
    </row>
    <row r="11242" spans="8:9">
      <c r="H11242" s="1245"/>
      <c r="I11242" s="1245"/>
    </row>
    <row r="11243" spans="8:9">
      <c r="H11243" s="1245"/>
      <c r="I11243" s="1245"/>
    </row>
    <row r="11244" spans="8:9">
      <c r="H11244" s="1245"/>
      <c r="I11244" s="1245"/>
    </row>
    <row r="11245" spans="8:9">
      <c r="H11245" s="1245"/>
      <c r="I11245" s="1245"/>
    </row>
    <row r="11246" spans="8:9">
      <c r="H11246" s="1245"/>
      <c r="I11246" s="1245"/>
    </row>
    <row r="11247" spans="8:9">
      <c r="H11247" s="1245"/>
      <c r="I11247" s="1245"/>
    </row>
    <row r="11248" spans="8:9">
      <c r="H11248" s="1245"/>
      <c r="I11248" s="1245"/>
    </row>
    <row r="11249" spans="8:9">
      <c r="H11249" s="1245"/>
      <c r="I11249" s="1245"/>
    </row>
    <row r="11250" spans="8:9">
      <c r="H11250" s="1245"/>
      <c r="I11250" s="1245"/>
    </row>
    <row r="11251" spans="8:9">
      <c r="H11251" s="1245"/>
      <c r="I11251" s="1245"/>
    </row>
    <row r="11252" spans="8:9">
      <c r="H11252" s="1245"/>
      <c r="I11252" s="1245"/>
    </row>
    <row r="11253" spans="8:9">
      <c r="H11253" s="1245"/>
      <c r="I11253" s="1245"/>
    </row>
    <row r="11254" spans="8:9">
      <c r="H11254" s="1245"/>
      <c r="I11254" s="1245"/>
    </row>
    <row r="11255" spans="8:9">
      <c r="H11255" s="1245"/>
      <c r="I11255" s="1245"/>
    </row>
    <row r="11256" spans="8:9">
      <c r="H11256" s="1245"/>
      <c r="I11256" s="1245"/>
    </row>
    <row r="11257" spans="8:9">
      <c r="H11257" s="1245"/>
      <c r="I11257" s="1245"/>
    </row>
    <row r="11258" spans="8:9">
      <c r="H11258" s="1245"/>
      <c r="I11258" s="1245"/>
    </row>
    <row r="11259" spans="8:9">
      <c r="H11259" s="1245"/>
      <c r="I11259" s="1245"/>
    </row>
    <row r="11260" spans="8:9">
      <c r="H11260" s="1245"/>
      <c r="I11260" s="1245"/>
    </row>
    <row r="11261" spans="8:9">
      <c r="H11261" s="1245"/>
      <c r="I11261" s="1245"/>
    </row>
    <row r="11262" spans="8:9">
      <c r="H11262" s="1245"/>
      <c r="I11262" s="1245"/>
    </row>
    <row r="11263" spans="8:9">
      <c r="H11263" s="1245"/>
      <c r="I11263" s="1245"/>
    </row>
    <row r="11264" spans="8:9">
      <c r="H11264" s="1245"/>
      <c r="I11264" s="1245"/>
    </row>
    <row r="11265" spans="8:9">
      <c r="H11265" s="1245"/>
      <c r="I11265" s="1245"/>
    </row>
    <row r="11266" spans="8:9">
      <c r="H11266" s="1245"/>
      <c r="I11266" s="1245"/>
    </row>
    <row r="11267" spans="8:9">
      <c r="H11267" s="1245"/>
      <c r="I11267" s="1245"/>
    </row>
    <row r="11268" spans="8:9">
      <c r="H11268" s="1245"/>
      <c r="I11268" s="1245"/>
    </row>
    <row r="11269" spans="8:9">
      <c r="H11269" s="1245"/>
      <c r="I11269" s="1245"/>
    </row>
    <row r="11270" spans="8:9">
      <c r="H11270" s="1245"/>
      <c r="I11270" s="1245"/>
    </row>
    <row r="11271" spans="8:9">
      <c r="H11271" s="1245"/>
      <c r="I11271" s="1245"/>
    </row>
    <row r="11272" spans="8:9">
      <c r="H11272" s="1245"/>
      <c r="I11272" s="1245"/>
    </row>
    <row r="11273" spans="8:9">
      <c r="H11273" s="1245"/>
      <c r="I11273" s="1245"/>
    </row>
    <row r="11274" spans="8:9">
      <c r="H11274" s="1245"/>
      <c r="I11274" s="1245"/>
    </row>
    <row r="11275" spans="8:9">
      <c r="H11275" s="1245"/>
      <c r="I11275" s="1245"/>
    </row>
    <row r="11276" spans="8:9">
      <c r="H11276" s="1245"/>
      <c r="I11276" s="1245"/>
    </row>
    <row r="11277" spans="8:9">
      <c r="H11277" s="1245"/>
      <c r="I11277" s="1245"/>
    </row>
    <row r="11278" spans="8:9">
      <c r="H11278" s="1245"/>
      <c r="I11278" s="1245"/>
    </row>
    <row r="11279" spans="8:9">
      <c r="H11279" s="1245"/>
      <c r="I11279" s="1245"/>
    </row>
    <row r="11280" spans="8:9">
      <c r="H11280" s="1245"/>
      <c r="I11280" s="1245"/>
    </row>
    <row r="11281" spans="8:9">
      <c r="H11281" s="1245"/>
      <c r="I11281" s="1245"/>
    </row>
    <row r="11282" spans="8:9">
      <c r="H11282" s="1245"/>
      <c r="I11282" s="1245"/>
    </row>
    <row r="11283" spans="8:9">
      <c r="H11283" s="1245"/>
      <c r="I11283" s="1245"/>
    </row>
    <row r="11284" spans="8:9">
      <c r="H11284" s="1245"/>
      <c r="I11284" s="1245"/>
    </row>
    <row r="11285" spans="8:9">
      <c r="H11285" s="1245"/>
      <c r="I11285" s="1245"/>
    </row>
    <row r="11286" spans="8:9">
      <c r="H11286" s="1245"/>
      <c r="I11286" s="1245"/>
    </row>
    <row r="11287" spans="8:9">
      <c r="H11287" s="1245"/>
      <c r="I11287" s="1245"/>
    </row>
    <row r="11288" spans="8:9">
      <c r="H11288" s="1245"/>
      <c r="I11288" s="1245"/>
    </row>
    <row r="11289" spans="8:9">
      <c r="H11289" s="1245"/>
      <c r="I11289" s="1245"/>
    </row>
    <row r="11290" spans="8:9">
      <c r="H11290" s="1245"/>
      <c r="I11290" s="1245"/>
    </row>
    <row r="11291" spans="8:9">
      <c r="H11291" s="1245"/>
      <c r="I11291" s="1245"/>
    </row>
    <row r="11292" spans="8:9">
      <c r="H11292" s="1245"/>
      <c r="I11292" s="1245"/>
    </row>
    <row r="11293" spans="8:9">
      <c r="H11293" s="1245"/>
      <c r="I11293" s="1245"/>
    </row>
    <row r="11294" spans="8:9">
      <c r="H11294" s="1245"/>
      <c r="I11294" s="1245"/>
    </row>
    <row r="11295" spans="8:9">
      <c r="H11295" s="1245"/>
      <c r="I11295" s="1245"/>
    </row>
    <row r="11296" spans="8:9">
      <c r="H11296" s="1245"/>
      <c r="I11296" s="1245"/>
    </row>
    <row r="11297" spans="8:9">
      <c r="H11297" s="1245"/>
      <c r="I11297" s="1245"/>
    </row>
    <row r="11298" spans="8:9">
      <c r="H11298" s="1245"/>
      <c r="I11298" s="1245"/>
    </row>
    <row r="11299" spans="8:9">
      <c r="H11299" s="1245"/>
      <c r="I11299" s="1245"/>
    </row>
    <row r="11300" spans="8:9">
      <c r="H11300" s="1245"/>
      <c r="I11300" s="1245"/>
    </row>
    <row r="11301" spans="8:9">
      <c r="H11301" s="1245"/>
      <c r="I11301" s="1245"/>
    </row>
    <row r="11302" spans="8:9">
      <c r="H11302" s="1245"/>
      <c r="I11302" s="1245"/>
    </row>
    <row r="11303" spans="8:9">
      <c r="H11303" s="1245"/>
      <c r="I11303" s="1245"/>
    </row>
    <row r="11304" spans="8:9">
      <c r="H11304" s="1245"/>
      <c r="I11304" s="1245"/>
    </row>
    <row r="11305" spans="8:9">
      <c r="H11305" s="1245"/>
      <c r="I11305" s="1245"/>
    </row>
    <row r="11306" spans="8:9">
      <c r="H11306" s="1245"/>
      <c r="I11306" s="1245"/>
    </row>
    <row r="11307" spans="8:9">
      <c r="H11307" s="1245"/>
      <c r="I11307" s="1245"/>
    </row>
    <row r="11308" spans="8:9">
      <c r="H11308" s="1245"/>
      <c r="I11308" s="1245"/>
    </row>
    <row r="11309" spans="8:9">
      <c r="H11309" s="1245"/>
      <c r="I11309" s="1245"/>
    </row>
    <row r="11310" spans="8:9">
      <c r="H11310" s="1245"/>
      <c r="I11310" s="1245"/>
    </row>
    <row r="11311" spans="8:9">
      <c r="H11311" s="1245"/>
      <c r="I11311" s="1245"/>
    </row>
    <row r="11312" spans="8:9">
      <c r="H11312" s="1245"/>
      <c r="I11312" s="1245"/>
    </row>
    <row r="11313" spans="8:9">
      <c r="H11313" s="1245"/>
      <c r="I11313" s="1245"/>
    </row>
    <row r="11314" spans="8:9">
      <c r="H11314" s="1245"/>
      <c r="I11314" s="1245"/>
    </row>
    <row r="11315" spans="8:9">
      <c r="H11315" s="1245"/>
      <c r="I11315" s="1245"/>
    </row>
    <row r="11316" spans="8:9">
      <c r="H11316" s="1245"/>
      <c r="I11316" s="1245"/>
    </row>
    <row r="11317" spans="8:9">
      <c r="H11317" s="1245"/>
      <c r="I11317" s="1245"/>
    </row>
    <row r="11318" spans="8:9">
      <c r="H11318" s="1245"/>
      <c r="I11318" s="1245"/>
    </row>
    <row r="11319" spans="8:9">
      <c r="H11319" s="1245"/>
      <c r="I11319" s="1245"/>
    </row>
    <row r="11320" spans="8:9">
      <c r="H11320" s="1245"/>
      <c r="I11320" s="1245"/>
    </row>
    <row r="11321" spans="8:9">
      <c r="H11321" s="1245"/>
      <c r="I11321" s="1245"/>
    </row>
    <row r="11322" spans="8:9">
      <c r="H11322" s="1245"/>
      <c r="I11322" s="1245"/>
    </row>
    <row r="11323" spans="8:9">
      <c r="H11323" s="1245"/>
      <c r="I11323" s="1245"/>
    </row>
    <row r="11324" spans="8:9">
      <c r="H11324" s="1245"/>
      <c r="I11324" s="1245"/>
    </row>
    <row r="11325" spans="8:9">
      <c r="H11325" s="1245"/>
      <c r="I11325" s="1245"/>
    </row>
    <row r="11326" spans="8:9">
      <c r="H11326" s="1245"/>
      <c r="I11326" s="1245"/>
    </row>
    <row r="11327" spans="8:9">
      <c r="H11327" s="1245"/>
      <c r="I11327" s="1245"/>
    </row>
    <row r="11328" spans="8:9">
      <c r="H11328" s="1245"/>
      <c r="I11328" s="1245"/>
    </row>
    <row r="11329" spans="8:9">
      <c r="H11329" s="1245"/>
      <c r="I11329" s="1245"/>
    </row>
    <row r="11330" spans="8:9">
      <c r="H11330" s="1245"/>
      <c r="I11330" s="1245"/>
    </row>
    <row r="11331" spans="8:9">
      <c r="H11331" s="1245"/>
      <c r="I11331" s="1245"/>
    </row>
    <row r="11332" spans="8:9">
      <c r="H11332" s="1245"/>
      <c r="I11332" s="1245"/>
    </row>
    <row r="11333" spans="8:9">
      <c r="H11333" s="1245"/>
      <c r="I11333" s="1245"/>
    </row>
    <row r="11334" spans="8:9">
      <c r="H11334" s="1245"/>
      <c r="I11334" s="1245"/>
    </row>
    <row r="11335" spans="8:9">
      <c r="H11335" s="1245"/>
      <c r="I11335" s="1245"/>
    </row>
    <row r="11336" spans="8:9">
      <c r="H11336" s="1245"/>
      <c r="I11336" s="1245"/>
    </row>
    <row r="11337" spans="8:9">
      <c r="H11337" s="1245"/>
      <c r="I11337" s="1245"/>
    </row>
    <row r="11338" spans="8:9">
      <c r="H11338" s="1245"/>
      <c r="I11338" s="1245"/>
    </row>
    <row r="11339" spans="8:9">
      <c r="H11339" s="1245"/>
      <c r="I11339" s="1245"/>
    </row>
    <row r="11340" spans="8:9">
      <c r="H11340" s="1245"/>
      <c r="I11340" s="1245"/>
    </row>
    <row r="11341" spans="8:9">
      <c r="H11341" s="1245"/>
      <c r="I11341" s="1245"/>
    </row>
    <row r="11342" spans="8:9">
      <c r="H11342" s="1245"/>
      <c r="I11342" s="1245"/>
    </row>
    <row r="11343" spans="8:9">
      <c r="H11343" s="1245"/>
      <c r="I11343" s="1245"/>
    </row>
    <row r="11344" spans="8:9">
      <c r="H11344" s="1245"/>
      <c r="I11344" s="1245"/>
    </row>
    <row r="11345" spans="8:9">
      <c r="H11345" s="1245"/>
      <c r="I11345" s="1245"/>
    </row>
    <row r="11346" spans="8:9">
      <c r="H11346" s="1245"/>
      <c r="I11346" s="1245"/>
    </row>
    <row r="11347" spans="8:9">
      <c r="H11347" s="1245"/>
      <c r="I11347" s="1245"/>
    </row>
    <row r="11348" spans="8:9">
      <c r="H11348" s="1245"/>
      <c r="I11348" s="1245"/>
    </row>
    <row r="11349" spans="8:9">
      <c r="H11349" s="1245"/>
      <c r="I11349" s="1245"/>
    </row>
    <row r="11350" spans="8:9">
      <c r="H11350" s="1245"/>
      <c r="I11350" s="1245"/>
    </row>
    <row r="11351" spans="8:9">
      <c r="H11351" s="1245"/>
      <c r="I11351" s="1245"/>
    </row>
    <row r="11352" spans="8:9">
      <c r="H11352" s="1245"/>
      <c r="I11352" s="1245"/>
    </row>
    <row r="11353" spans="8:9">
      <c r="H11353" s="1245"/>
      <c r="I11353" s="1245"/>
    </row>
    <row r="11354" spans="8:9">
      <c r="H11354" s="1245"/>
      <c r="I11354" s="1245"/>
    </row>
    <row r="11355" spans="8:9">
      <c r="H11355" s="1245"/>
      <c r="I11355" s="1245"/>
    </row>
    <row r="11356" spans="8:9">
      <c r="H11356" s="1245"/>
      <c r="I11356" s="1245"/>
    </row>
    <row r="11357" spans="8:9">
      <c r="H11357" s="1245"/>
      <c r="I11357" s="1245"/>
    </row>
    <row r="11358" spans="8:9">
      <c r="H11358" s="1245"/>
      <c r="I11358" s="1245"/>
    </row>
    <row r="11359" spans="8:9">
      <c r="H11359" s="1245"/>
      <c r="I11359" s="1245"/>
    </row>
    <row r="11360" spans="8:9">
      <c r="H11360" s="1245"/>
      <c r="I11360" s="1245"/>
    </row>
    <row r="11361" spans="8:9">
      <c r="H11361" s="1245"/>
      <c r="I11361" s="1245"/>
    </row>
    <row r="11362" spans="8:9">
      <c r="H11362" s="1245"/>
      <c r="I11362" s="1245"/>
    </row>
    <row r="11363" spans="8:9">
      <c r="H11363" s="1245"/>
      <c r="I11363" s="1245"/>
    </row>
    <row r="11364" spans="8:9">
      <c r="H11364" s="1245"/>
      <c r="I11364" s="1245"/>
    </row>
    <row r="11365" spans="8:9">
      <c r="H11365" s="1245"/>
      <c r="I11365" s="1245"/>
    </row>
    <row r="11366" spans="8:9">
      <c r="H11366" s="1245"/>
      <c r="I11366" s="1245"/>
    </row>
    <row r="11367" spans="8:9">
      <c r="H11367" s="1245"/>
      <c r="I11367" s="1245"/>
    </row>
    <row r="11368" spans="8:9">
      <c r="H11368" s="1245"/>
      <c r="I11368" s="1245"/>
    </row>
    <row r="11369" spans="8:9">
      <c r="H11369" s="1245"/>
      <c r="I11369" s="1245"/>
    </row>
    <row r="11370" spans="8:9">
      <c r="H11370" s="1245"/>
      <c r="I11370" s="1245"/>
    </row>
    <row r="11371" spans="8:9">
      <c r="H11371" s="1245"/>
      <c r="I11371" s="1245"/>
    </row>
    <row r="11372" spans="8:9">
      <c r="H11372" s="1245"/>
      <c r="I11372" s="1245"/>
    </row>
    <row r="11373" spans="8:9">
      <c r="H11373" s="1245"/>
      <c r="I11373" s="1245"/>
    </row>
    <row r="11374" spans="8:9">
      <c r="H11374" s="1245"/>
      <c r="I11374" s="1245"/>
    </row>
    <row r="11375" spans="8:9">
      <c r="H11375" s="1245"/>
      <c r="I11375" s="1245"/>
    </row>
    <row r="11376" spans="8:9">
      <c r="H11376" s="1245"/>
      <c r="I11376" s="1245"/>
    </row>
    <row r="11377" spans="8:9">
      <c r="H11377" s="1245"/>
      <c r="I11377" s="1245"/>
    </row>
    <row r="11378" spans="8:9">
      <c r="H11378" s="1245"/>
      <c r="I11378" s="1245"/>
    </row>
    <row r="11379" spans="8:9">
      <c r="H11379" s="1245"/>
      <c r="I11379" s="1245"/>
    </row>
    <row r="11380" spans="8:9">
      <c r="H11380" s="1245"/>
      <c r="I11380" s="1245"/>
    </row>
    <row r="11381" spans="8:9">
      <c r="H11381" s="1245"/>
      <c r="I11381" s="1245"/>
    </row>
    <row r="11382" spans="8:9">
      <c r="H11382" s="1245"/>
      <c r="I11382" s="1245"/>
    </row>
    <row r="11383" spans="8:9">
      <c r="H11383" s="1245"/>
      <c r="I11383" s="1245"/>
    </row>
    <row r="11384" spans="8:9">
      <c r="H11384" s="1245"/>
      <c r="I11384" s="1245"/>
    </row>
    <row r="11385" spans="8:9">
      <c r="H11385" s="1245"/>
      <c r="I11385" s="1245"/>
    </row>
    <row r="11386" spans="8:9">
      <c r="H11386" s="1245"/>
      <c r="I11386" s="1245"/>
    </row>
    <row r="11387" spans="8:9">
      <c r="H11387" s="1245"/>
      <c r="I11387" s="1245"/>
    </row>
    <row r="11388" spans="8:9">
      <c r="H11388" s="1245"/>
      <c r="I11388" s="1245"/>
    </row>
    <row r="11389" spans="8:9">
      <c r="H11389" s="1245"/>
      <c r="I11389" s="1245"/>
    </row>
    <row r="11390" spans="8:9">
      <c r="H11390" s="1245"/>
      <c r="I11390" s="1245"/>
    </row>
    <row r="11391" spans="8:9">
      <c r="H11391" s="1245"/>
      <c r="I11391" s="1245"/>
    </row>
    <row r="11392" spans="8:9">
      <c r="H11392" s="1245"/>
      <c r="I11392" s="1245"/>
    </row>
    <row r="11393" spans="8:9">
      <c r="H11393" s="1245"/>
      <c r="I11393" s="1245"/>
    </row>
    <row r="11394" spans="8:9">
      <c r="H11394" s="1245"/>
      <c r="I11394" s="1245"/>
    </row>
    <row r="11395" spans="8:9">
      <c r="H11395" s="1245"/>
      <c r="I11395" s="1245"/>
    </row>
    <row r="11396" spans="8:9">
      <c r="H11396" s="1245"/>
      <c r="I11396" s="1245"/>
    </row>
    <row r="11397" spans="8:9">
      <c r="H11397" s="1245"/>
      <c r="I11397" s="1245"/>
    </row>
    <row r="11398" spans="8:9">
      <c r="H11398" s="1245"/>
      <c r="I11398" s="1245"/>
    </row>
    <row r="11399" spans="8:9">
      <c r="H11399" s="1245"/>
      <c r="I11399" s="1245"/>
    </row>
    <row r="11400" spans="8:9">
      <c r="H11400" s="1245"/>
      <c r="I11400" s="1245"/>
    </row>
    <row r="11401" spans="8:9">
      <c r="H11401" s="1245"/>
      <c r="I11401" s="1245"/>
    </row>
    <row r="11402" spans="8:9">
      <c r="H11402" s="1245"/>
      <c r="I11402" s="1245"/>
    </row>
    <row r="11403" spans="8:9">
      <c r="H11403" s="1245"/>
      <c r="I11403" s="1245"/>
    </row>
    <row r="11404" spans="8:9">
      <c r="H11404" s="1245"/>
      <c r="I11404" s="1245"/>
    </row>
    <row r="11405" spans="8:9">
      <c r="H11405" s="1245"/>
      <c r="I11405" s="1245"/>
    </row>
    <row r="11406" spans="8:9">
      <c r="H11406" s="1245"/>
      <c r="I11406" s="1245"/>
    </row>
    <row r="11407" spans="8:9">
      <c r="H11407" s="1245"/>
      <c r="I11407" s="1245"/>
    </row>
    <row r="11408" spans="8:9">
      <c r="H11408" s="1245"/>
      <c r="I11408" s="1245"/>
    </row>
    <row r="11409" spans="8:9">
      <c r="H11409" s="1245"/>
      <c r="I11409" s="1245"/>
    </row>
    <row r="11410" spans="8:9">
      <c r="H11410" s="1245"/>
      <c r="I11410" s="1245"/>
    </row>
    <row r="11411" spans="8:9">
      <c r="H11411" s="1245"/>
      <c r="I11411" s="1245"/>
    </row>
    <row r="11412" spans="8:9">
      <c r="H11412" s="1245"/>
      <c r="I11412" s="1245"/>
    </row>
    <row r="11413" spans="8:9">
      <c r="H11413" s="1245"/>
      <c r="I11413" s="1245"/>
    </row>
    <row r="11414" spans="8:9">
      <c r="H11414" s="1245"/>
      <c r="I11414" s="1245"/>
    </row>
    <row r="11415" spans="8:9">
      <c r="H11415" s="1245"/>
      <c r="I11415" s="1245"/>
    </row>
    <row r="11416" spans="8:9">
      <c r="H11416" s="1245"/>
      <c r="I11416" s="1245"/>
    </row>
    <row r="11417" spans="8:9">
      <c r="H11417" s="1245"/>
      <c r="I11417" s="1245"/>
    </row>
    <row r="11418" spans="8:9">
      <c r="H11418" s="1245"/>
      <c r="I11418" s="1245"/>
    </row>
    <row r="11419" spans="8:9">
      <c r="H11419" s="1245"/>
      <c r="I11419" s="1245"/>
    </row>
    <row r="11420" spans="8:9">
      <c r="H11420" s="1245"/>
      <c r="I11420" s="1245"/>
    </row>
    <row r="11421" spans="8:9">
      <c r="H11421" s="1245"/>
      <c r="I11421" s="1245"/>
    </row>
    <row r="11422" spans="8:9">
      <c r="H11422" s="1245"/>
      <c r="I11422" s="1245"/>
    </row>
    <row r="11423" spans="8:9">
      <c r="H11423" s="1245"/>
      <c r="I11423" s="1245"/>
    </row>
    <row r="11424" spans="8:9">
      <c r="H11424" s="1245"/>
      <c r="I11424" s="1245"/>
    </row>
    <row r="11425" spans="8:9">
      <c r="H11425" s="1245"/>
      <c r="I11425" s="1245"/>
    </row>
    <row r="11426" spans="8:9">
      <c r="H11426" s="1245"/>
      <c r="I11426" s="1245"/>
    </row>
    <row r="11427" spans="8:9">
      <c r="H11427" s="1245"/>
      <c r="I11427" s="1245"/>
    </row>
    <row r="11428" spans="8:9">
      <c r="H11428" s="1245"/>
      <c r="I11428" s="1245"/>
    </row>
    <row r="11429" spans="8:9">
      <c r="H11429" s="1245"/>
      <c r="I11429" s="1245"/>
    </row>
    <row r="11430" spans="8:9">
      <c r="H11430" s="1245"/>
      <c r="I11430" s="1245"/>
    </row>
    <row r="11431" spans="8:9">
      <c r="H11431" s="1245"/>
      <c r="I11431" s="1245"/>
    </row>
    <row r="11432" spans="8:9">
      <c r="H11432" s="1245"/>
      <c r="I11432" s="1245"/>
    </row>
    <row r="11433" spans="8:9">
      <c r="H11433" s="1245"/>
      <c r="I11433" s="1245"/>
    </row>
    <row r="11434" spans="8:9">
      <c r="H11434" s="1245"/>
      <c r="I11434" s="1245"/>
    </row>
    <row r="11435" spans="8:9">
      <c r="H11435" s="1245"/>
      <c r="I11435" s="1245"/>
    </row>
    <row r="11436" spans="8:9">
      <c r="H11436" s="1245"/>
      <c r="I11436" s="1245"/>
    </row>
    <row r="11437" spans="8:9">
      <c r="H11437" s="1245"/>
      <c r="I11437" s="1245"/>
    </row>
    <row r="11438" spans="8:9">
      <c r="H11438" s="1245"/>
      <c r="I11438" s="1245"/>
    </row>
    <row r="11439" spans="8:9">
      <c r="H11439" s="1245"/>
      <c r="I11439" s="1245"/>
    </row>
    <row r="11440" spans="8:9">
      <c r="H11440" s="1245"/>
      <c r="I11440" s="1245"/>
    </row>
    <row r="11441" spans="8:9">
      <c r="H11441" s="1245"/>
      <c r="I11441" s="1245"/>
    </row>
    <row r="11442" spans="8:9">
      <c r="H11442" s="1245"/>
      <c r="I11442" s="1245"/>
    </row>
    <row r="11443" spans="8:9">
      <c r="H11443" s="1245"/>
      <c r="I11443" s="1245"/>
    </row>
    <row r="11444" spans="8:9">
      <c r="H11444" s="1245"/>
      <c r="I11444" s="1245"/>
    </row>
    <row r="11445" spans="8:9">
      <c r="H11445" s="1245"/>
      <c r="I11445" s="1245"/>
    </row>
    <row r="11446" spans="8:9">
      <c r="H11446" s="1245"/>
      <c r="I11446" s="1245"/>
    </row>
    <row r="11447" spans="8:9">
      <c r="H11447" s="1245"/>
      <c r="I11447" s="1245"/>
    </row>
    <row r="11448" spans="8:9">
      <c r="H11448" s="1245"/>
      <c r="I11448" s="1245"/>
    </row>
    <row r="11449" spans="8:9">
      <c r="H11449" s="1245"/>
      <c r="I11449" s="1245"/>
    </row>
    <row r="11450" spans="8:9">
      <c r="H11450" s="1245"/>
      <c r="I11450" s="1245"/>
    </row>
    <row r="11451" spans="8:9">
      <c r="H11451" s="1245"/>
      <c r="I11451" s="1245"/>
    </row>
    <row r="11452" spans="8:9">
      <c r="H11452" s="1245"/>
      <c r="I11452" s="1245"/>
    </row>
    <row r="11453" spans="8:9">
      <c r="H11453" s="1245"/>
      <c r="I11453" s="1245"/>
    </row>
    <row r="11454" spans="8:9">
      <c r="H11454" s="1245"/>
      <c r="I11454" s="1245"/>
    </row>
    <row r="11455" spans="8:9">
      <c r="H11455" s="1245"/>
      <c r="I11455" s="1245"/>
    </row>
    <row r="11456" spans="8:9">
      <c r="H11456" s="1245"/>
      <c r="I11456" s="1245"/>
    </row>
    <row r="11457" spans="8:9">
      <c r="H11457" s="1245"/>
      <c r="I11457" s="1245"/>
    </row>
    <row r="11458" spans="8:9">
      <c r="H11458" s="1245"/>
      <c r="I11458" s="1245"/>
    </row>
    <row r="11459" spans="8:9">
      <c r="H11459" s="1245"/>
      <c r="I11459" s="1245"/>
    </row>
    <row r="11460" spans="8:9">
      <c r="H11460" s="1245"/>
      <c r="I11460" s="1245"/>
    </row>
    <row r="11461" spans="8:9">
      <c r="H11461" s="1245"/>
      <c r="I11461" s="1245"/>
    </row>
    <row r="11462" spans="8:9">
      <c r="H11462" s="1245"/>
      <c r="I11462" s="1245"/>
    </row>
    <row r="11463" spans="8:9">
      <c r="H11463" s="1245"/>
      <c r="I11463" s="1245"/>
    </row>
    <row r="11464" spans="8:9">
      <c r="H11464" s="1245"/>
      <c r="I11464" s="1245"/>
    </row>
    <row r="11465" spans="8:9">
      <c r="H11465" s="1245"/>
      <c r="I11465" s="1245"/>
    </row>
    <row r="11466" spans="8:9">
      <c r="H11466" s="1245"/>
      <c r="I11466" s="1245"/>
    </row>
    <row r="11467" spans="8:9">
      <c r="H11467" s="1245"/>
      <c r="I11467" s="1245"/>
    </row>
    <row r="11468" spans="8:9">
      <c r="H11468" s="1245"/>
      <c r="I11468" s="1245"/>
    </row>
    <row r="11469" spans="8:9">
      <c r="H11469" s="1245"/>
      <c r="I11469" s="1245"/>
    </row>
    <row r="11470" spans="8:9">
      <c r="H11470" s="1245"/>
      <c r="I11470" s="1245"/>
    </row>
    <row r="11471" spans="8:9">
      <c r="H11471" s="1245"/>
      <c r="I11471" s="1245"/>
    </row>
    <row r="11472" spans="8:9">
      <c r="H11472" s="1245"/>
      <c r="I11472" s="1245"/>
    </row>
    <row r="11473" spans="8:9">
      <c r="H11473" s="1245"/>
      <c r="I11473" s="1245"/>
    </row>
    <row r="11474" spans="8:9">
      <c r="H11474" s="1245"/>
      <c r="I11474" s="1245"/>
    </row>
    <row r="11475" spans="8:9">
      <c r="H11475" s="1245"/>
      <c r="I11475" s="1245"/>
    </row>
    <row r="11476" spans="8:9">
      <c r="H11476" s="1245"/>
      <c r="I11476" s="1245"/>
    </row>
    <row r="11477" spans="8:9">
      <c r="H11477" s="1245"/>
      <c r="I11477" s="1245"/>
    </row>
    <row r="11478" spans="8:9">
      <c r="H11478" s="1245"/>
      <c r="I11478" s="1245"/>
    </row>
    <row r="11479" spans="8:9">
      <c r="H11479" s="1245"/>
      <c r="I11479" s="1245"/>
    </row>
    <row r="11480" spans="8:9">
      <c r="H11480" s="1245"/>
      <c r="I11480" s="1245"/>
    </row>
    <row r="11481" spans="8:9">
      <c r="H11481" s="1245"/>
      <c r="I11481" s="1245"/>
    </row>
    <row r="11482" spans="8:9">
      <c r="H11482" s="1245"/>
      <c r="I11482" s="1245"/>
    </row>
    <row r="11483" spans="8:9">
      <c r="H11483" s="1245"/>
      <c r="I11483" s="1245"/>
    </row>
    <row r="11484" spans="8:9">
      <c r="H11484" s="1245"/>
      <c r="I11484" s="1245"/>
    </row>
    <row r="11485" spans="8:9">
      <c r="H11485" s="1245"/>
      <c r="I11485" s="1245"/>
    </row>
    <row r="11486" spans="8:9">
      <c r="H11486" s="1245"/>
      <c r="I11486" s="1245"/>
    </row>
    <row r="11487" spans="8:9">
      <c r="H11487" s="1245"/>
      <c r="I11487" s="1245"/>
    </row>
    <row r="11488" spans="8:9">
      <c r="H11488" s="1245"/>
      <c r="I11488" s="1245"/>
    </row>
    <row r="11489" spans="8:9">
      <c r="H11489" s="1245"/>
      <c r="I11489" s="1245"/>
    </row>
    <row r="11490" spans="8:9">
      <c r="H11490" s="1245"/>
      <c r="I11490" s="1245"/>
    </row>
    <row r="11491" spans="8:9">
      <c r="H11491" s="1245"/>
      <c r="I11491" s="1245"/>
    </row>
    <row r="11492" spans="8:9">
      <c r="H11492" s="1245"/>
      <c r="I11492" s="1245"/>
    </row>
    <row r="11493" spans="8:9">
      <c r="H11493" s="1245"/>
      <c r="I11493" s="1245"/>
    </row>
    <row r="11494" spans="8:9">
      <c r="H11494" s="1245"/>
      <c r="I11494" s="1245"/>
    </row>
    <row r="11495" spans="8:9">
      <c r="H11495" s="1245"/>
      <c r="I11495" s="1245"/>
    </row>
    <row r="11496" spans="8:9">
      <c r="H11496" s="1245"/>
      <c r="I11496" s="1245"/>
    </row>
    <row r="11497" spans="8:9">
      <c r="H11497" s="1245"/>
      <c r="I11497" s="1245"/>
    </row>
    <row r="11498" spans="8:9">
      <c r="H11498" s="1245"/>
      <c r="I11498" s="1245"/>
    </row>
    <row r="11499" spans="8:9">
      <c r="H11499" s="1245"/>
      <c r="I11499" s="1245"/>
    </row>
    <row r="11500" spans="8:9">
      <c r="H11500" s="1245"/>
      <c r="I11500" s="1245"/>
    </row>
    <row r="11501" spans="8:9">
      <c r="H11501" s="1245"/>
      <c r="I11501" s="1245"/>
    </row>
    <row r="11502" spans="8:9">
      <c r="H11502" s="1245"/>
      <c r="I11502" s="1245"/>
    </row>
    <row r="11503" spans="8:9">
      <c r="H11503" s="1245"/>
      <c r="I11503" s="1245"/>
    </row>
    <row r="11504" spans="8:9">
      <c r="H11504" s="1245"/>
      <c r="I11504" s="1245"/>
    </row>
    <row r="11505" spans="8:9">
      <c r="H11505" s="1245"/>
      <c r="I11505" s="1245"/>
    </row>
    <row r="11506" spans="8:9">
      <c r="H11506" s="1245"/>
      <c r="I11506" s="1245"/>
    </row>
    <row r="11507" spans="8:9">
      <c r="H11507" s="1245"/>
      <c r="I11507" s="1245"/>
    </row>
    <row r="11508" spans="8:9">
      <c r="H11508" s="1245"/>
      <c r="I11508" s="1245"/>
    </row>
    <row r="11509" spans="8:9">
      <c r="H11509" s="1245"/>
      <c r="I11509" s="1245"/>
    </row>
    <row r="11510" spans="8:9">
      <c r="H11510" s="1245"/>
      <c r="I11510" s="1245"/>
    </row>
    <row r="11511" spans="8:9">
      <c r="H11511" s="1245"/>
      <c r="I11511" s="1245"/>
    </row>
    <row r="11512" spans="8:9">
      <c r="H11512" s="1245"/>
      <c r="I11512" s="1245"/>
    </row>
    <row r="11513" spans="8:9">
      <c r="H11513" s="1245"/>
      <c r="I11513" s="1245"/>
    </row>
    <row r="11514" spans="8:9">
      <c r="H11514" s="1245"/>
      <c r="I11514" s="1245"/>
    </row>
    <row r="11515" spans="8:9">
      <c r="H11515" s="1245"/>
      <c r="I11515" s="1245"/>
    </row>
    <row r="11516" spans="8:9">
      <c r="H11516" s="1245"/>
      <c r="I11516" s="1245"/>
    </row>
    <row r="11517" spans="8:9">
      <c r="H11517" s="1245"/>
      <c r="I11517" s="1245"/>
    </row>
    <row r="11518" spans="8:9">
      <c r="H11518" s="1245"/>
      <c r="I11518" s="1245"/>
    </row>
    <row r="11519" spans="8:9">
      <c r="H11519" s="1245"/>
      <c r="I11519" s="1245"/>
    </row>
    <row r="11520" spans="8:9">
      <c r="H11520" s="1245"/>
      <c r="I11520" s="1245"/>
    </row>
    <row r="11521" spans="8:9">
      <c r="H11521" s="1245"/>
      <c r="I11521" s="1245"/>
    </row>
    <row r="11522" spans="8:9">
      <c r="H11522" s="1245"/>
      <c r="I11522" s="1245"/>
    </row>
    <row r="11523" spans="8:9">
      <c r="H11523" s="1245"/>
      <c r="I11523" s="1245"/>
    </row>
    <row r="11524" spans="8:9">
      <c r="H11524" s="1245"/>
      <c r="I11524" s="1245"/>
    </row>
    <row r="11525" spans="8:9">
      <c r="H11525" s="1245"/>
      <c r="I11525" s="1245"/>
    </row>
    <row r="11526" spans="8:9">
      <c r="H11526" s="1245"/>
      <c r="I11526" s="1245"/>
    </row>
    <row r="11527" spans="8:9">
      <c r="H11527" s="1245"/>
      <c r="I11527" s="1245"/>
    </row>
    <row r="11528" spans="8:9">
      <c r="H11528" s="1245"/>
      <c r="I11528" s="1245"/>
    </row>
    <row r="11529" spans="8:9">
      <c r="H11529" s="1245"/>
      <c r="I11529" s="1245"/>
    </row>
    <row r="11530" spans="8:9">
      <c r="H11530" s="1245"/>
      <c r="I11530" s="1245"/>
    </row>
    <row r="11531" spans="8:9">
      <c r="H11531" s="1245"/>
      <c r="I11531" s="1245"/>
    </row>
    <row r="11532" spans="8:9">
      <c r="H11532" s="1245"/>
      <c r="I11532" s="1245"/>
    </row>
    <row r="11533" spans="8:9">
      <c r="H11533" s="1245"/>
      <c r="I11533" s="1245"/>
    </row>
    <row r="11534" spans="8:9">
      <c r="H11534" s="1245"/>
      <c r="I11534" s="1245"/>
    </row>
    <row r="11535" spans="8:9">
      <c r="H11535" s="1245"/>
      <c r="I11535" s="1245"/>
    </row>
    <row r="11536" spans="8:9">
      <c r="H11536" s="1245"/>
      <c r="I11536" s="1245"/>
    </row>
    <row r="11537" spans="8:9">
      <c r="H11537" s="1245"/>
      <c r="I11537" s="1245"/>
    </row>
    <row r="11538" spans="8:9">
      <c r="H11538" s="1245"/>
      <c r="I11538" s="1245"/>
    </row>
    <row r="11539" spans="8:9">
      <c r="H11539" s="1245"/>
      <c r="I11539" s="1245"/>
    </row>
    <row r="11540" spans="8:9">
      <c r="H11540" s="1245"/>
      <c r="I11540" s="1245"/>
    </row>
    <row r="11541" spans="8:9">
      <c r="H11541" s="1245"/>
      <c r="I11541" s="1245"/>
    </row>
    <row r="11542" spans="8:9">
      <c r="H11542" s="1245"/>
      <c r="I11542" s="1245"/>
    </row>
    <row r="11543" spans="8:9">
      <c r="H11543" s="1245"/>
      <c r="I11543" s="1245"/>
    </row>
    <row r="11544" spans="8:9">
      <c r="H11544" s="1245"/>
      <c r="I11544" s="1245"/>
    </row>
    <row r="11545" spans="8:9">
      <c r="H11545" s="1245"/>
      <c r="I11545" s="1245"/>
    </row>
    <row r="11546" spans="8:9">
      <c r="H11546" s="1245"/>
      <c r="I11546" s="1245"/>
    </row>
    <row r="11547" spans="8:9">
      <c r="H11547" s="1245"/>
      <c r="I11547" s="1245"/>
    </row>
    <row r="11548" spans="8:9">
      <c r="H11548" s="1245"/>
      <c r="I11548" s="1245"/>
    </row>
    <row r="11549" spans="8:9">
      <c r="H11549" s="1245"/>
      <c r="I11549" s="1245"/>
    </row>
    <row r="11550" spans="8:9">
      <c r="H11550" s="1245"/>
      <c r="I11550" s="1245"/>
    </row>
    <row r="11551" spans="8:9">
      <c r="H11551" s="1245"/>
      <c r="I11551" s="1245"/>
    </row>
    <row r="11552" spans="8:9">
      <c r="H11552" s="1245"/>
      <c r="I11552" s="1245"/>
    </row>
    <row r="11553" spans="8:9">
      <c r="H11553" s="1245"/>
      <c r="I11553" s="1245"/>
    </row>
    <row r="11554" spans="8:9">
      <c r="H11554" s="1245"/>
      <c r="I11554" s="1245"/>
    </row>
    <row r="11555" spans="8:9">
      <c r="H11555" s="1245"/>
      <c r="I11555" s="1245"/>
    </row>
    <row r="11556" spans="8:9">
      <c r="H11556" s="1245"/>
      <c r="I11556" s="1245"/>
    </row>
    <row r="11557" spans="8:9">
      <c r="H11557" s="1245"/>
      <c r="I11557" s="1245"/>
    </row>
    <row r="11558" spans="8:9">
      <c r="H11558" s="1245"/>
      <c r="I11558" s="1245"/>
    </row>
    <row r="11559" spans="8:9">
      <c r="H11559" s="1245"/>
      <c r="I11559" s="1245"/>
    </row>
    <row r="11560" spans="8:9">
      <c r="H11560" s="1245"/>
      <c r="I11560" s="1245"/>
    </row>
    <row r="11561" spans="8:9">
      <c r="H11561" s="1245"/>
      <c r="I11561" s="1245"/>
    </row>
    <row r="11562" spans="8:9">
      <c r="H11562" s="1245"/>
      <c r="I11562" s="1245"/>
    </row>
    <row r="11563" spans="8:9">
      <c r="H11563" s="1245"/>
      <c r="I11563" s="1245"/>
    </row>
    <row r="11564" spans="8:9">
      <c r="H11564" s="1245"/>
      <c r="I11564" s="1245"/>
    </row>
    <row r="11565" spans="8:9">
      <c r="H11565" s="1245"/>
      <c r="I11565" s="1245"/>
    </row>
    <row r="11566" spans="8:9">
      <c r="H11566" s="1245"/>
      <c r="I11566" s="1245"/>
    </row>
    <row r="11567" spans="8:9">
      <c r="H11567" s="1245"/>
      <c r="I11567" s="1245"/>
    </row>
    <row r="11568" spans="8:9">
      <c r="H11568" s="1245"/>
      <c r="I11568" s="1245"/>
    </row>
    <row r="11569" spans="8:9">
      <c r="H11569" s="1245"/>
      <c r="I11569" s="1245"/>
    </row>
    <row r="11570" spans="8:9">
      <c r="H11570" s="1245"/>
      <c r="I11570" s="1245"/>
    </row>
    <row r="11571" spans="8:9">
      <c r="H11571" s="1245"/>
      <c r="I11571" s="1245"/>
    </row>
    <row r="11572" spans="8:9">
      <c r="H11572" s="1245"/>
      <c r="I11572" s="1245"/>
    </row>
    <row r="11573" spans="8:9">
      <c r="H11573" s="1245"/>
      <c r="I11573" s="1245"/>
    </row>
    <row r="11574" spans="8:9">
      <c r="H11574" s="1245"/>
      <c r="I11574" s="1245"/>
    </row>
    <row r="11575" spans="8:9">
      <c r="H11575" s="1245"/>
      <c r="I11575" s="1245"/>
    </row>
    <row r="11576" spans="8:9">
      <c r="H11576" s="1245"/>
      <c r="I11576" s="1245"/>
    </row>
    <row r="11577" spans="8:9">
      <c r="H11577" s="1245"/>
      <c r="I11577" s="1245"/>
    </row>
    <row r="11578" spans="8:9">
      <c r="H11578" s="1245"/>
      <c r="I11578" s="1245"/>
    </row>
    <row r="11579" spans="8:9">
      <c r="H11579" s="1245"/>
      <c r="I11579" s="1245"/>
    </row>
    <row r="11580" spans="8:9">
      <c r="H11580" s="1245"/>
      <c r="I11580" s="1245"/>
    </row>
    <row r="11581" spans="8:9">
      <c r="H11581" s="1245"/>
      <c r="I11581" s="1245"/>
    </row>
    <row r="11582" spans="8:9">
      <c r="H11582" s="1245"/>
      <c r="I11582" s="1245"/>
    </row>
    <row r="11583" spans="8:9">
      <c r="H11583" s="1245"/>
      <c r="I11583" s="1245"/>
    </row>
    <row r="11584" spans="8:9">
      <c r="H11584" s="1245"/>
      <c r="I11584" s="1245"/>
    </row>
    <row r="11585" spans="8:9">
      <c r="H11585" s="1245"/>
      <c r="I11585" s="1245"/>
    </row>
    <row r="11586" spans="8:9">
      <c r="H11586" s="1245"/>
      <c r="I11586" s="1245"/>
    </row>
    <row r="11587" spans="8:9">
      <c r="H11587" s="1245"/>
      <c r="I11587" s="1245"/>
    </row>
    <row r="11588" spans="8:9">
      <c r="H11588" s="1245"/>
      <c r="I11588" s="1245"/>
    </row>
    <row r="11589" spans="8:9">
      <c r="H11589" s="1245"/>
      <c r="I11589" s="1245"/>
    </row>
    <row r="11590" spans="8:9">
      <c r="H11590" s="1245"/>
      <c r="I11590" s="1245"/>
    </row>
    <row r="11591" spans="8:9">
      <c r="H11591" s="1245"/>
      <c r="I11591" s="1245"/>
    </row>
    <row r="11592" spans="8:9">
      <c r="H11592" s="1245"/>
      <c r="I11592" s="1245"/>
    </row>
    <row r="11593" spans="8:9">
      <c r="H11593" s="1245"/>
      <c r="I11593" s="1245"/>
    </row>
    <row r="11594" spans="8:9">
      <c r="H11594" s="1245"/>
      <c r="I11594" s="1245"/>
    </row>
    <row r="11595" spans="8:9">
      <c r="H11595" s="1245"/>
      <c r="I11595" s="1245"/>
    </row>
    <row r="11596" spans="8:9">
      <c r="H11596" s="1245"/>
      <c r="I11596" s="1245"/>
    </row>
    <row r="11597" spans="8:9">
      <c r="H11597" s="1245"/>
      <c r="I11597" s="1245"/>
    </row>
    <row r="11598" spans="8:9">
      <c r="H11598" s="1245"/>
      <c r="I11598" s="1245"/>
    </row>
    <row r="11599" spans="8:9">
      <c r="H11599" s="1245"/>
      <c r="I11599" s="1245"/>
    </row>
    <row r="11600" spans="8:9">
      <c r="H11600" s="1245"/>
      <c r="I11600" s="1245"/>
    </row>
    <row r="11601" spans="8:9">
      <c r="H11601" s="1245"/>
      <c r="I11601" s="1245"/>
    </row>
    <row r="11602" spans="8:9">
      <c r="H11602" s="1245"/>
      <c r="I11602" s="1245"/>
    </row>
    <row r="11603" spans="8:9">
      <c r="H11603" s="1245"/>
      <c r="I11603" s="1245"/>
    </row>
    <row r="11604" spans="8:9">
      <c r="H11604" s="1245"/>
      <c r="I11604" s="1245"/>
    </row>
    <row r="11605" spans="8:9">
      <c r="H11605" s="1245"/>
      <c r="I11605" s="1245"/>
    </row>
    <row r="11606" spans="8:9">
      <c r="H11606" s="1245"/>
      <c r="I11606" s="1245"/>
    </row>
    <row r="11607" spans="8:9">
      <c r="H11607" s="1245"/>
      <c r="I11607" s="1245"/>
    </row>
    <row r="11608" spans="8:9">
      <c r="H11608" s="1245"/>
      <c r="I11608" s="1245"/>
    </row>
    <row r="11609" spans="8:9">
      <c r="H11609" s="1245"/>
      <c r="I11609" s="1245"/>
    </row>
    <row r="11610" spans="8:9">
      <c r="H11610" s="1245"/>
      <c r="I11610" s="1245"/>
    </row>
    <row r="11611" spans="8:9">
      <c r="H11611" s="1245"/>
      <c r="I11611" s="1245"/>
    </row>
    <row r="11612" spans="8:9">
      <c r="H11612" s="1245"/>
      <c r="I11612" s="1245"/>
    </row>
    <row r="11613" spans="8:9">
      <c r="H11613" s="1245"/>
      <c r="I11613" s="1245"/>
    </row>
    <row r="11614" spans="8:9">
      <c r="H11614" s="1245"/>
      <c r="I11614" s="1245"/>
    </row>
    <row r="11615" spans="8:9">
      <c r="H11615" s="1245"/>
      <c r="I11615" s="1245"/>
    </row>
    <row r="11616" spans="8:9">
      <c r="H11616" s="1245"/>
      <c r="I11616" s="1245"/>
    </row>
    <row r="11617" spans="8:9">
      <c r="H11617" s="1245"/>
      <c r="I11617" s="1245"/>
    </row>
    <row r="11618" spans="8:9">
      <c r="H11618" s="1245"/>
      <c r="I11618" s="1245"/>
    </row>
    <row r="11619" spans="8:9">
      <c r="H11619" s="1245"/>
      <c r="I11619" s="1245"/>
    </row>
    <row r="11620" spans="8:9">
      <c r="H11620" s="1245"/>
      <c r="I11620" s="1245"/>
    </row>
    <row r="11621" spans="8:9">
      <c r="H11621" s="1245"/>
      <c r="I11621" s="1245"/>
    </row>
    <row r="11622" spans="8:9">
      <c r="H11622" s="1245"/>
      <c r="I11622" s="1245"/>
    </row>
    <row r="11623" spans="8:9">
      <c r="H11623" s="1245"/>
      <c r="I11623" s="1245"/>
    </row>
    <row r="11624" spans="8:9">
      <c r="H11624" s="1245"/>
      <c r="I11624" s="1245"/>
    </row>
    <row r="11625" spans="8:9">
      <c r="H11625" s="1245"/>
      <c r="I11625" s="1245"/>
    </row>
    <row r="11626" spans="8:9">
      <c r="H11626" s="1245"/>
      <c r="I11626" s="1245"/>
    </row>
    <row r="11627" spans="8:9">
      <c r="H11627" s="1245"/>
      <c r="I11627" s="1245"/>
    </row>
    <row r="11628" spans="8:9">
      <c r="H11628" s="1245"/>
      <c r="I11628" s="1245"/>
    </row>
    <row r="11629" spans="8:9">
      <c r="H11629" s="1245"/>
      <c r="I11629" s="1245"/>
    </row>
    <row r="11630" spans="8:9">
      <c r="H11630" s="1245"/>
      <c r="I11630" s="1245"/>
    </row>
    <row r="11631" spans="8:9">
      <c r="H11631" s="1245"/>
      <c r="I11631" s="1245"/>
    </row>
    <row r="11632" spans="8:9">
      <c r="H11632" s="1245"/>
      <c r="I11632" s="1245"/>
    </row>
    <row r="11633" spans="8:9">
      <c r="H11633" s="1245"/>
      <c r="I11633" s="1245"/>
    </row>
    <row r="11634" spans="8:9">
      <c r="H11634" s="1245"/>
      <c r="I11634" s="1245"/>
    </row>
    <row r="11635" spans="8:9">
      <c r="H11635" s="1245"/>
      <c r="I11635" s="1245"/>
    </row>
    <row r="11636" spans="8:9">
      <c r="H11636" s="1245"/>
      <c r="I11636" s="1245"/>
    </row>
    <row r="11637" spans="8:9">
      <c r="H11637" s="1245"/>
      <c r="I11637" s="1245"/>
    </row>
    <row r="11638" spans="8:9">
      <c r="H11638" s="1245"/>
      <c r="I11638" s="1245"/>
    </row>
    <row r="11639" spans="8:9">
      <c r="H11639" s="1245"/>
      <c r="I11639" s="1245"/>
    </row>
    <row r="11640" spans="8:9">
      <c r="H11640" s="1245"/>
      <c r="I11640" s="1245"/>
    </row>
    <row r="11641" spans="8:9">
      <c r="H11641" s="1245"/>
      <c r="I11641" s="1245"/>
    </row>
    <row r="11642" spans="8:9">
      <c r="H11642" s="1245"/>
      <c r="I11642" s="1245"/>
    </row>
    <row r="11643" spans="8:9">
      <c r="H11643" s="1245"/>
      <c r="I11643" s="1245"/>
    </row>
    <row r="11644" spans="8:9">
      <c r="H11644" s="1245"/>
      <c r="I11644" s="1245"/>
    </row>
    <row r="11645" spans="8:9">
      <c r="H11645" s="1245"/>
      <c r="I11645" s="1245"/>
    </row>
    <row r="11646" spans="8:9">
      <c r="H11646" s="1245"/>
      <c r="I11646" s="1245"/>
    </row>
    <row r="11647" spans="8:9">
      <c r="H11647" s="1245"/>
      <c r="I11647" s="1245"/>
    </row>
    <row r="11648" spans="8:9">
      <c r="H11648" s="1245"/>
      <c r="I11648" s="1245"/>
    </row>
    <row r="11649" spans="8:9">
      <c r="H11649" s="1245"/>
      <c r="I11649" s="1245"/>
    </row>
    <row r="11650" spans="8:9">
      <c r="H11650" s="1245"/>
      <c r="I11650" s="1245"/>
    </row>
    <row r="11651" spans="8:9">
      <c r="H11651" s="1245"/>
      <c r="I11651" s="1245"/>
    </row>
    <row r="11652" spans="8:9">
      <c r="H11652" s="1245"/>
      <c r="I11652" s="1245"/>
    </row>
    <row r="11653" spans="8:9">
      <c r="H11653" s="1245"/>
      <c r="I11653" s="1245"/>
    </row>
    <row r="11654" spans="8:9">
      <c r="H11654" s="1245"/>
      <c r="I11654" s="1245"/>
    </row>
    <row r="11655" spans="8:9">
      <c r="H11655" s="1245"/>
      <c r="I11655" s="1245"/>
    </row>
    <row r="11656" spans="8:9">
      <c r="H11656" s="1245"/>
      <c r="I11656" s="1245"/>
    </row>
    <row r="11657" spans="8:9">
      <c r="H11657" s="1245"/>
      <c r="I11657" s="1245"/>
    </row>
    <row r="11658" spans="8:9">
      <c r="H11658" s="1245"/>
      <c r="I11658" s="1245"/>
    </row>
    <row r="11659" spans="8:9">
      <c r="H11659" s="1245"/>
      <c r="I11659" s="1245"/>
    </row>
    <row r="11660" spans="8:9">
      <c r="H11660" s="1245"/>
      <c r="I11660" s="1245"/>
    </row>
    <row r="11661" spans="8:9">
      <c r="H11661" s="1245"/>
      <c r="I11661" s="1245"/>
    </row>
    <row r="11662" spans="8:9">
      <c r="H11662" s="1245"/>
      <c r="I11662" s="1245"/>
    </row>
    <row r="11663" spans="8:9">
      <c r="H11663" s="1245"/>
      <c r="I11663" s="1245"/>
    </row>
    <row r="11664" spans="8:9">
      <c r="H11664" s="1245"/>
      <c r="I11664" s="1245"/>
    </row>
    <row r="11665" spans="8:9">
      <c r="H11665" s="1245"/>
      <c r="I11665" s="1245"/>
    </row>
    <row r="11666" spans="8:9">
      <c r="H11666" s="1245"/>
      <c r="I11666" s="1245"/>
    </row>
    <row r="11667" spans="8:9">
      <c r="H11667" s="1245"/>
      <c r="I11667" s="1245"/>
    </row>
    <row r="11668" spans="8:9">
      <c r="H11668" s="1245"/>
      <c r="I11668" s="1245"/>
    </row>
    <row r="11669" spans="8:9">
      <c r="H11669" s="1245"/>
      <c r="I11669" s="1245"/>
    </row>
    <row r="11670" spans="8:9">
      <c r="H11670" s="1245"/>
      <c r="I11670" s="1245"/>
    </row>
    <row r="11671" spans="8:9">
      <c r="H11671" s="1245"/>
      <c r="I11671" s="1245"/>
    </row>
    <row r="11672" spans="8:9">
      <c r="H11672" s="1245"/>
      <c r="I11672" s="1245"/>
    </row>
    <row r="11673" spans="8:9">
      <c r="H11673" s="1245"/>
      <c r="I11673" s="1245"/>
    </row>
    <row r="11674" spans="8:9">
      <c r="H11674" s="1245"/>
      <c r="I11674" s="1245"/>
    </row>
    <row r="11675" spans="8:9">
      <c r="H11675" s="1245"/>
      <c r="I11675" s="1245"/>
    </row>
    <row r="11676" spans="8:9">
      <c r="H11676" s="1245"/>
      <c r="I11676" s="1245"/>
    </row>
    <row r="11677" spans="8:9">
      <c r="H11677" s="1245"/>
      <c r="I11677" s="1245"/>
    </row>
    <row r="11678" spans="8:9">
      <c r="H11678" s="1245"/>
      <c r="I11678" s="1245"/>
    </row>
    <row r="11679" spans="8:9">
      <c r="H11679" s="1245"/>
      <c r="I11679" s="1245"/>
    </row>
    <row r="11680" spans="8:9">
      <c r="H11680" s="1245"/>
      <c r="I11680" s="1245"/>
    </row>
    <row r="11681" spans="8:9">
      <c r="H11681" s="1245"/>
      <c r="I11681" s="1245"/>
    </row>
    <row r="11682" spans="8:9">
      <c r="H11682" s="1245"/>
      <c r="I11682" s="1245"/>
    </row>
    <row r="11683" spans="8:9">
      <c r="H11683" s="1245"/>
      <c r="I11683" s="1245"/>
    </row>
    <row r="11684" spans="8:9">
      <c r="H11684" s="1245"/>
      <c r="I11684" s="1245"/>
    </row>
    <row r="11685" spans="8:9">
      <c r="H11685" s="1245"/>
      <c r="I11685" s="1245"/>
    </row>
    <row r="11686" spans="8:9">
      <c r="H11686" s="1245"/>
      <c r="I11686" s="1245"/>
    </row>
    <row r="11687" spans="8:9">
      <c r="H11687" s="1245"/>
      <c r="I11687" s="1245"/>
    </row>
    <row r="11688" spans="8:9">
      <c r="H11688" s="1245"/>
      <c r="I11688" s="1245"/>
    </row>
    <row r="11689" spans="8:9">
      <c r="H11689" s="1245"/>
      <c r="I11689" s="1245"/>
    </row>
    <row r="11690" spans="8:9">
      <c r="H11690" s="1245"/>
      <c r="I11690" s="1245"/>
    </row>
    <row r="11691" spans="8:9">
      <c r="H11691" s="1245"/>
      <c r="I11691" s="1245"/>
    </row>
    <row r="11692" spans="8:9">
      <c r="H11692" s="1245"/>
      <c r="I11692" s="1245"/>
    </row>
    <row r="11693" spans="8:9">
      <c r="H11693" s="1245"/>
      <c r="I11693" s="1245"/>
    </row>
    <row r="11694" spans="8:9">
      <c r="H11694" s="1245"/>
      <c r="I11694" s="1245"/>
    </row>
    <row r="11695" spans="8:9">
      <c r="H11695" s="1245"/>
      <c r="I11695" s="1245"/>
    </row>
    <row r="11696" spans="8:9">
      <c r="H11696" s="1245"/>
      <c r="I11696" s="1245"/>
    </row>
    <row r="11697" spans="8:9">
      <c r="H11697" s="1245"/>
      <c r="I11697" s="1245"/>
    </row>
    <row r="11698" spans="8:9">
      <c r="H11698" s="1245"/>
      <c r="I11698" s="1245"/>
    </row>
    <row r="11699" spans="8:9">
      <c r="H11699" s="1245"/>
      <c r="I11699" s="1245"/>
    </row>
    <row r="11700" spans="8:9">
      <c r="H11700" s="1245"/>
      <c r="I11700" s="1245"/>
    </row>
    <row r="11701" spans="8:9">
      <c r="H11701" s="1245"/>
      <c r="I11701" s="1245"/>
    </row>
    <row r="11702" spans="8:9">
      <c r="H11702" s="1245"/>
      <c r="I11702" s="1245"/>
    </row>
    <row r="11703" spans="8:9">
      <c r="H11703" s="1245"/>
      <c r="I11703" s="1245"/>
    </row>
    <row r="11704" spans="8:9">
      <c r="H11704" s="1245"/>
      <c r="I11704" s="1245"/>
    </row>
    <row r="11705" spans="8:9">
      <c r="H11705" s="1245"/>
      <c r="I11705" s="1245"/>
    </row>
    <row r="11706" spans="8:9">
      <c r="H11706" s="1245"/>
      <c r="I11706" s="1245"/>
    </row>
    <row r="11707" spans="8:9">
      <c r="H11707" s="1245"/>
      <c r="I11707" s="1245"/>
    </row>
    <row r="11708" spans="8:9">
      <c r="H11708" s="1245"/>
      <c r="I11708" s="1245"/>
    </row>
    <row r="11709" spans="8:9">
      <c r="H11709" s="1245"/>
      <c r="I11709" s="1245"/>
    </row>
    <row r="11710" spans="8:9">
      <c r="H11710" s="1245"/>
      <c r="I11710" s="1245"/>
    </row>
    <row r="11711" spans="8:9">
      <c r="H11711" s="1245"/>
      <c r="I11711" s="1245"/>
    </row>
    <row r="11712" spans="8:9">
      <c r="H11712" s="1245"/>
      <c r="I11712" s="1245"/>
    </row>
    <row r="11713" spans="8:9">
      <c r="H11713" s="1245"/>
      <c r="I11713" s="1245"/>
    </row>
    <row r="11714" spans="8:9">
      <c r="H11714" s="1245"/>
      <c r="I11714" s="1245"/>
    </row>
    <row r="11715" spans="8:9">
      <c r="H11715" s="1245"/>
      <c r="I11715" s="1245"/>
    </row>
    <row r="11716" spans="8:9">
      <c r="H11716" s="1245"/>
      <c r="I11716" s="1245"/>
    </row>
    <row r="11717" spans="8:9">
      <c r="H11717" s="1245"/>
      <c r="I11717" s="1245"/>
    </row>
    <row r="11718" spans="8:9">
      <c r="H11718" s="1245"/>
      <c r="I11718" s="1245"/>
    </row>
    <row r="11719" spans="8:9">
      <c r="H11719" s="1245"/>
      <c r="I11719" s="1245"/>
    </row>
    <row r="11720" spans="8:9">
      <c r="H11720" s="1245"/>
      <c r="I11720" s="1245"/>
    </row>
    <row r="11721" spans="8:9">
      <c r="H11721" s="1245"/>
      <c r="I11721" s="1245"/>
    </row>
    <row r="11722" spans="8:9">
      <c r="H11722" s="1245"/>
      <c r="I11722" s="1245"/>
    </row>
    <row r="11723" spans="8:9">
      <c r="H11723" s="1245"/>
      <c r="I11723" s="1245"/>
    </row>
    <row r="11724" spans="8:9">
      <c r="H11724" s="1245"/>
      <c r="I11724" s="1245"/>
    </row>
    <row r="11725" spans="8:9">
      <c r="H11725" s="1245"/>
      <c r="I11725" s="1245"/>
    </row>
    <row r="11726" spans="8:9">
      <c r="H11726" s="1245"/>
      <c r="I11726" s="1245"/>
    </row>
    <row r="11727" spans="8:9">
      <c r="H11727" s="1245"/>
      <c r="I11727" s="1245"/>
    </row>
    <row r="11728" spans="8:9">
      <c r="H11728" s="1245"/>
      <c r="I11728" s="1245"/>
    </row>
    <row r="11729" spans="8:9">
      <c r="H11729" s="1245"/>
      <c r="I11729" s="1245"/>
    </row>
    <row r="11730" spans="8:9">
      <c r="H11730" s="1245"/>
      <c r="I11730" s="1245"/>
    </row>
    <row r="11731" spans="8:9">
      <c r="H11731" s="1245"/>
      <c r="I11731" s="1245"/>
    </row>
    <row r="11732" spans="8:9">
      <c r="H11732" s="1245"/>
      <c r="I11732" s="1245"/>
    </row>
    <row r="11733" spans="8:9">
      <c r="H11733" s="1245"/>
      <c r="I11733" s="1245"/>
    </row>
    <row r="11734" spans="8:9">
      <c r="H11734" s="1245"/>
      <c r="I11734" s="1245"/>
    </row>
    <row r="11735" spans="8:9">
      <c r="H11735" s="1245"/>
      <c r="I11735" s="1245"/>
    </row>
    <row r="11736" spans="8:9">
      <c r="H11736" s="1245"/>
      <c r="I11736" s="1245"/>
    </row>
    <row r="11737" spans="8:9">
      <c r="H11737" s="1245"/>
      <c r="I11737" s="1245"/>
    </row>
    <row r="11738" spans="8:9">
      <c r="H11738" s="1245"/>
      <c r="I11738" s="1245"/>
    </row>
    <row r="11739" spans="8:9">
      <c r="H11739" s="1245"/>
      <c r="I11739" s="1245"/>
    </row>
    <row r="11740" spans="8:9">
      <c r="H11740" s="1245"/>
      <c r="I11740" s="1245"/>
    </row>
    <row r="11741" spans="8:9">
      <c r="H11741" s="1245"/>
      <c r="I11741" s="1245"/>
    </row>
    <row r="11742" spans="8:9">
      <c r="H11742" s="1245"/>
      <c r="I11742" s="1245"/>
    </row>
    <row r="11743" spans="8:9">
      <c r="H11743" s="1245"/>
      <c r="I11743" s="1245"/>
    </row>
    <row r="11744" spans="8:9">
      <c r="H11744" s="1245"/>
      <c r="I11744" s="1245"/>
    </row>
    <row r="11745" spans="8:9">
      <c r="H11745" s="1245"/>
      <c r="I11745" s="1245"/>
    </row>
    <row r="11746" spans="8:9">
      <c r="H11746" s="1245"/>
      <c r="I11746" s="1245"/>
    </row>
    <row r="11747" spans="8:9">
      <c r="H11747" s="1245"/>
      <c r="I11747" s="1245"/>
    </row>
    <row r="11748" spans="8:9">
      <c r="H11748" s="1245"/>
      <c r="I11748" s="1245"/>
    </row>
    <row r="11749" spans="8:9">
      <c r="H11749" s="1245"/>
      <c r="I11749" s="1245"/>
    </row>
    <row r="11750" spans="8:9">
      <c r="H11750" s="1245"/>
      <c r="I11750" s="1245"/>
    </row>
    <row r="11751" spans="8:9">
      <c r="H11751" s="1245"/>
      <c r="I11751" s="1245"/>
    </row>
    <row r="11752" spans="8:9">
      <c r="H11752" s="1245"/>
      <c r="I11752" s="1245"/>
    </row>
    <row r="11753" spans="8:9">
      <c r="H11753" s="1245"/>
      <c r="I11753" s="1245"/>
    </row>
    <row r="11754" spans="8:9">
      <c r="H11754" s="1245"/>
      <c r="I11754" s="1245"/>
    </row>
    <row r="11755" spans="8:9">
      <c r="H11755" s="1245"/>
      <c r="I11755" s="1245"/>
    </row>
    <row r="11756" spans="8:9">
      <c r="H11756" s="1245"/>
      <c r="I11756" s="1245"/>
    </row>
    <row r="11757" spans="8:9">
      <c r="H11757" s="1245"/>
      <c r="I11757" s="1245"/>
    </row>
    <row r="11758" spans="8:9">
      <c r="H11758" s="1245"/>
      <c r="I11758" s="1245"/>
    </row>
    <row r="11759" spans="8:9">
      <c r="H11759" s="1245"/>
      <c r="I11759" s="1245"/>
    </row>
    <row r="11760" spans="8:9">
      <c r="H11760" s="1245"/>
      <c r="I11760" s="1245"/>
    </row>
    <row r="11761" spans="8:9">
      <c r="H11761" s="1245"/>
      <c r="I11761" s="1245"/>
    </row>
    <row r="11762" spans="8:9">
      <c r="H11762" s="1245"/>
      <c r="I11762" s="1245"/>
    </row>
    <row r="11763" spans="8:9">
      <c r="H11763" s="1245"/>
      <c r="I11763" s="1245"/>
    </row>
    <row r="11764" spans="8:9">
      <c r="H11764" s="1245"/>
      <c r="I11764" s="1245"/>
    </row>
    <row r="11765" spans="8:9">
      <c r="H11765" s="1245"/>
      <c r="I11765" s="1245"/>
    </row>
    <row r="11766" spans="8:9">
      <c r="H11766" s="1245"/>
      <c r="I11766" s="1245"/>
    </row>
    <row r="11767" spans="8:9">
      <c r="H11767" s="1245"/>
      <c r="I11767" s="1245"/>
    </row>
    <row r="11768" spans="8:9">
      <c r="H11768" s="1245"/>
      <c r="I11768" s="1245"/>
    </row>
    <row r="11769" spans="8:9">
      <c r="H11769" s="1245"/>
      <c r="I11769" s="1245"/>
    </row>
    <row r="11770" spans="8:9">
      <c r="H11770" s="1245"/>
      <c r="I11770" s="1245"/>
    </row>
    <row r="11771" spans="8:9">
      <c r="H11771" s="1245"/>
      <c r="I11771" s="1245"/>
    </row>
    <row r="11772" spans="8:9">
      <c r="H11772" s="1245"/>
      <c r="I11772" s="1245"/>
    </row>
    <row r="11773" spans="8:9">
      <c r="H11773" s="1245"/>
      <c r="I11773" s="1245"/>
    </row>
    <row r="11774" spans="8:9">
      <c r="H11774" s="1245"/>
      <c r="I11774" s="1245"/>
    </row>
    <row r="11775" spans="8:9">
      <c r="H11775" s="1245"/>
      <c r="I11775" s="1245"/>
    </row>
    <row r="11776" spans="8:9">
      <c r="H11776" s="1245"/>
      <c r="I11776" s="1245"/>
    </row>
    <row r="11777" spans="8:9">
      <c r="H11777" s="1245"/>
      <c r="I11777" s="1245"/>
    </row>
    <row r="11778" spans="8:9">
      <c r="H11778" s="1245"/>
      <c r="I11778" s="1245"/>
    </row>
    <row r="11779" spans="8:9">
      <c r="H11779" s="1245"/>
      <c r="I11779" s="1245"/>
    </row>
    <row r="11780" spans="8:9">
      <c r="H11780" s="1245"/>
      <c r="I11780" s="1245"/>
    </row>
    <row r="11781" spans="8:9">
      <c r="H11781" s="1245"/>
      <c r="I11781" s="1245"/>
    </row>
    <row r="11782" spans="8:9">
      <c r="H11782" s="1245"/>
      <c r="I11782" s="1245"/>
    </row>
    <row r="11783" spans="8:9">
      <c r="H11783" s="1245"/>
      <c r="I11783" s="1245"/>
    </row>
    <row r="11784" spans="8:9">
      <c r="H11784" s="1245"/>
      <c r="I11784" s="1245"/>
    </row>
    <row r="11785" spans="8:9">
      <c r="H11785" s="1245"/>
      <c r="I11785" s="1245"/>
    </row>
    <row r="11786" spans="8:9">
      <c r="H11786" s="1245"/>
      <c r="I11786" s="1245"/>
    </row>
    <row r="11787" spans="8:9">
      <c r="H11787" s="1245"/>
      <c r="I11787" s="1245"/>
    </row>
    <row r="11788" spans="8:9">
      <c r="H11788" s="1245"/>
      <c r="I11788" s="1245"/>
    </row>
    <row r="11789" spans="8:9">
      <c r="H11789" s="1245"/>
      <c r="I11789" s="1245"/>
    </row>
    <row r="11790" spans="8:9">
      <c r="H11790" s="1245"/>
      <c r="I11790" s="1245"/>
    </row>
    <row r="11791" spans="8:9">
      <c r="H11791" s="1245"/>
      <c r="I11791" s="1245"/>
    </row>
    <row r="11792" spans="8:9">
      <c r="H11792" s="1245"/>
      <c r="I11792" s="1245"/>
    </row>
    <row r="11793" spans="8:9">
      <c r="H11793" s="1245"/>
      <c r="I11793" s="1245"/>
    </row>
    <row r="11794" spans="8:9">
      <c r="H11794" s="1245"/>
      <c r="I11794" s="1245"/>
    </row>
    <row r="11795" spans="8:9">
      <c r="H11795" s="1245"/>
      <c r="I11795" s="1245"/>
    </row>
    <row r="11796" spans="8:9">
      <c r="H11796" s="1245"/>
      <c r="I11796" s="1245"/>
    </row>
    <row r="11797" spans="8:9">
      <c r="H11797" s="1245"/>
      <c r="I11797" s="1245"/>
    </row>
    <row r="11798" spans="8:9">
      <c r="H11798" s="1245"/>
      <c r="I11798" s="1245"/>
    </row>
    <row r="11799" spans="8:9">
      <c r="H11799" s="1245"/>
      <c r="I11799" s="1245"/>
    </row>
    <row r="11800" spans="8:9">
      <c r="H11800" s="1245"/>
      <c r="I11800" s="1245"/>
    </row>
    <row r="11801" spans="8:9">
      <c r="H11801" s="1245"/>
      <c r="I11801" s="1245"/>
    </row>
    <row r="11802" spans="8:9">
      <c r="H11802" s="1245"/>
      <c r="I11802" s="1245"/>
    </row>
    <row r="11803" spans="8:9">
      <c r="H11803" s="1245"/>
      <c r="I11803" s="1245"/>
    </row>
    <row r="11804" spans="8:9">
      <c r="H11804" s="1245"/>
      <c r="I11804" s="1245"/>
    </row>
    <row r="11805" spans="8:9">
      <c r="H11805" s="1245"/>
      <c r="I11805" s="1245"/>
    </row>
    <row r="11806" spans="8:9">
      <c r="H11806" s="1245"/>
      <c r="I11806" s="1245"/>
    </row>
    <row r="11807" spans="8:9">
      <c r="H11807" s="1245"/>
      <c r="I11807" s="1245"/>
    </row>
    <row r="11808" spans="8:9">
      <c r="H11808" s="1245"/>
      <c r="I11808" s="1245"/>
    </row>
    <row r="11809" spans="8:9">
      <c r="H11809" s="1245"/>
      <c r="I11809" s="1245"/>
    </row>
    <row r="11810" spans="8:9">
      <c r="H11810" s="1245"/>
      <c r="I11810" s="1245"/>
    </row>
    <row r="11811" spans="8:9">
      <c r="H11811" s="1245"/>
      <c r="I11811" s="1245"/>
    </row>
    <row r="11812" spans="8:9">
      <c r="H11812" s="1245"/>
      <c r="I11812" s="1245"/>
    </row>
    <row r="11813" spans="8:9">
      <c r="H11813" s="1245"/>
      <c r="I11813" s="1245"/>
    </row>
    <row r="11814" spans="8:9">
      <c r="H11814" s="1245"/>
      <c r="I11814" s="1245"/>
    </row>
    <row r="11815" spans="8:9">
      <c r="H11815" s="1245"/>
      <c r="I11815" s="1245"/>
    </row>
    <row r="11816" spans="8:9">
      <c r="H11816" s="1245"/>
      <c r="I11816" s="1245"/>
    </row>
    <row r="11817" spans="8:9">
      <c r="H11817" s="1245"/>
      <c r="I11817" s="1245"/>
    </row>
    <row r="11818" spans="8:9">
      <c r="H11818" s="1245"/>
      <c r="I11818" s="1245"/>
    </row>
    <row r="11819" spans="8:9">
      <c r="H11819" s="1245"/>
      <c r="I11819" s="1245"/>
    </row>
    <row r="11820" spans="8:9">
      <c r="H11820" s="1245"/>
      <c r="I11820" s="1245"/>
    </row>
    <row r="11821" spans="8:9">
      <c r="H11821" s="1245"/>
      <c r="I11821" s="1245"/>
    </row>
    <row r="11822" spans="8:9">
      <c r="H11822" s="1245"/>
      <c r="I11822" s="1245"/>
    </row>
    <row r="11823" spans="8:9">
      <c r="H11823" s="1245"/>
      <c r="I11823" s="1245"/>
    </row>
    <row r="11824" spans="8:9">
      <c r="H11824" s="1245"/>
      <c r="I11824" s="1245"/>
    </row>
    <row r="11825" spans="8:9">
      <c r="H11825" s="1245"/>
      <c r="I11825" s="1245"/>
    </row>
    <row r="11826" spans="8:9">
      <c r="H11826" s="1245"/>
      <c r="I11826" s="1245"/>
    </row>
    <row r="11827" spans="8:9">
      <c r="H11827" s="1245"/>
      <c r="I11827" s="1245"/>
    </row>
    <row r="11828" spans="8:9">
      <c r="H11828" s="1245"/>
      <c r="I11828" s="1245"/>
    </row>
    <row r="11829" spans="8:9">
      <c r="H11829" s="1245"/>
      <c r="I11829" s="1245"/>
    </row>
    <row r="11830" spans="8:9">
      <c r="H11830" s="1245"/>
      <c r="I11830" s="1245"/>
    </row>
    <row r="11831" spans="8:9">
      <c r="H11831" s="1245"/>
      <c r="I11831" s="1245"/>
    </row>
    <row r="11832" spans="8:9">
      <c r="H11832" s="1245"/>
      <c r="I11832" s="1245"/>
    </row>
    <row r="11833" spans="8:9">
      <c r="H11833" s="1245"/>
      <c r="I11833" s="1245"/>
    </row>
    <row r="11834" spans="8:9">
      <c r="H11834" s="1245"/>
      <c r="I11834" s="1245"/>
    </row>
    <row r="11835" spans="8:9">
      <c r="H11835" s="1245"/>
      <c r="I11835" s="1245"/>
    </row>
    <row r="11836" spans="8:9">
      <c r="H11836" s="1245"/>
      <c r="I11836" s="1245"/>
    </row>
    <row r="11837" spans="8:9">
      <c r="H11837" s="1245"/>
      <c r="I11837" s="1245"/>
    </row>
    <row r="11838" spans="8:9">
      <c r="H11838" s="1245"/>
      <c r="I11838" s="1245"/>
    </row>
    <row r="11839" spans="8:9">
      <c r="H11839" s="1245"/>
      <c r="I11839" s="1245"/>
    </row>
    <row r="11840" spans="8:9">
      <c r="H11840" s="1245"/>
      <c r="I11840" s="1245"/>
    </row>
    <row r="11841" spans="8:9">
      <c r="H11841" s="1245"/>
      <c r="I11841" s="1245"/>
    </row>
    <row r="11842" spans="8:9">
      <c r="H11842" s="1245"/>
      <c r="I11842" s="1245"/>
    </row>
    <row r="11843" spans="8:9">
      <c r="H11843" s="1245"/>
      <c r="I11843" s="1245"/>
    </row>
    <row r="11844" spans="8:9">
      <c r="H11844" s="1245"/>
      <c r="I11844" s="1245"/>
    </row>
    <row r="11845" spans="8:9">
      <c r="H11845" s="1245"/>
      <c r="I11845" s="1245"/>
    </row>
    <row r="11846" spans="8:9">
      <c r="H11846" s="1245"/>
      <c r="I11846" s="1245"/>
    </row>
    <row r="11847" spans="8:9">
      <c r="H11847" s="1245"/>
      <c r="I11847" s="1245"/>
    </row>
    <row r="11848" spans="8:9">
      <c r="H11848" s="1245"/>
      <c r="I11848" s="1245"/>
    </row>
    <row r="11849" spans="8:9">
      <c r="H11849" s="1245"/>
      <c r="I11849" s="1245"/>
    </row>
    <row r="11850" spans="8:9">
      <c r="H11850" s="1245"/>
      <c r="I11850" s="1245"/>
    </row>
    <row r="11851" spans="8:9">
      <c r="H11851" s="1245"/>
      <c r="I11851" s="1245"/>
    </row>
    <row r="11852" spans="8:9">
      <c r="H11852" s="1245"/>
      <c r="I11852" s="1245"/>
    </row>
    <row r="11853" spans="8:9">
      <c r="H11853" s="1245"/>
      <c r="I11853" s="1245"/>
    </row>
    <row r="11854" spans="8:9">
      <c r="H11854" s="1245"/>
      <c r="I11854" s="1245"/>
    </row>
    <row r="11855" spans="8:9">
      <c r="H11855" s="1245"/>
      <c r="I11855" s="1245"/>
    </row>
    <row r="11856" spans="8:9">
      <c r="H11856" s="1245"/>
      <c r="I11856" s="1245"/>
    </row>
    <row r="11857" spans="8:9">
      <c r="H11857" s="1245"/>
      <c r="I11857" s="1245"/>
    </row>
    <row r="11858" spans="8:9">
      <c r="H11858" s="1245"/>
      <c r="I11858" s="1245"/>
    </row>
    <row r="11859" spans="8:9">
      <c r="H11859" s="1245"/>
      <c r="I11859" s="1245"/>
    </row>
    <row r="11860" spans="8:9">
      <c r="H11860" s="1245"/>
      <c r="I11860" s="1245"/>
    </row>
    <row r="11861" spans="8:9">
      <c r="H11861" s="1245"/>
      <c r="I11861" s="1245"/>
    </row>
    <row r="11862" spans="8:9">
      <c r="H11862" s="1245"/>
      <c r="I11862" s="1245"/>
    </row>
    <row r="11863" spans="8:9">
      <c r="H11863" s="1245"/>
      <c r="I11863" s="1245"/>
    </row>
    <row r="11864" spans="8:9">
      <c r="H11864" s="1245"/>
      <c r="I11864" s="1245"/>
    </row>
    <row r="11865" spans="8:9">
      <c r="H11865" s="1245"/>
      <c r="I11865" s="1245"/>
    </row>
    <row r="11866" spans="8:9">
      <c r="H11866" s="1245"/>
      <c r="I11866" s="1245"/>
    </row>
    <row r="11867" spans="8:9">
      <c r="H11867" s="1245"/>
      <c r="I11867" s="1245"/>
    </row>
    <row r="11868" spans="8:9">
      <c r="H11868" s="1245"/>
      <c r="I11868" s="1245"/>
    </row>
    <row r="11869" spans="8:9">
      <c r="H11869" s="1245"/>
      <c r="I11869" s="1245"/>
    </row>
    <row r="11870" spans="8:9">
      <c r="H11870" s="1245"/>
      <c r="I11870" s="1245"/>
    </row>
    <row r="11871" spans="8:9">
      <c r="H11871" s="1245"/>
      <c r="I11871" s="1245"/>
    </row>
    <row r="11872" spans="8:9">
      <c r="H11872" s="1245"/>
      <c r="I11872" s="1245"/>
    </row>
    <row r="11873" spans="8:9">
      <c r="H11873" s="1245"/>
      <c r="I11873" s="1245"/>
    </row>
    <row r="11874" spans="8:9">
      <c r="H11874" s="1245"/>
      <c r="I11874" s="1245"/>
    </row>
    <row r="11875" spans="8:9">
      <c r="H11875" s="1245"/>
      <c r="I11875" s="1245"/>
    </row>
    <row r="11876" spans="8:9">
      <c r="H11876" s="1245"/>
      <c r="I11876" s="1245"/>
    </row>
    <row r="11877" spans="8:9">
      <c r="H11877" s="1245"/>
      <c r="I11877" s="1245"/>
    </row>
    <row r="11878" spans="8:9">
      <c r="H11878" s="1245"/>
      <c r="I11878" s="1245"/>
    </row>
    <row r="11879" spans="8:9">
      <c r="H11879" s="1245"/>
      <c r="I11879" s="1245"/>
    </row>
    <row r="11880" spans="8:9">
      <c r="H11880" s="1245"/>
      <c r="I11880" s="1245"/>
    </row>
    <row r="11881" spans="8:9">
      <c r="H11881" s="1245"/>
      <c r="I11881" s="1245"/>
    </row>
    <row r="11882" spans="8:9">
      <c r="H11882" s="1245"/>
      <c r="I11882" s="1245"/>
    </row>
    <row r="11883" spans="8:9">
      <c r="H11883" s="1245"/>
      <c r="I11883" s="1245"/>
    </row>
    <row r="11884" spans="8:9">
      <c r="H11884" s="1245"/>
      <c r="I11884" s="1245"/>
    </row>
    <row r="11885" spans="8:9">
      <c r="H11885" s="1245"/>
      <c r="I11885" s="1245"/>
    </row>
    <row r="11886" spans="8:9">
      <c r="H11886" s="1245"/>
      <c r="I11886" s="1245"/>
    </row>
    <row r="11887" spans="8:9">
      <c r="H11887" s="1245"/>
      <c r="I11887" s="1245"/>
    </row>
    <row r="11888" spans="8:9">
      <c r="H11888" s="1245"/>
      <c r="I11888" s="1245"/>
    </row>
    <row r="11889" spans="8:9">
      <c r="H11889" s="1245"/>
      <c r="I11889" s="1245"/>
    </row>
    <row r="11890" spans="8:9">
      <c r="H11890" s="1245"/>
      <c r="I11890" s="1245"/>
    </row>
    <row r="11891" spans="8:9">
      <c r="H11891" s="1245"/>
      <c r="I11891" s="1245"/>
    </row>
    <row r="11892" spans="8:9">
      <c r="H11892" s="1245"/>
      <c r="I11892" s="1245"/>
    </row>
    <row r="11893" spans="8:9">
      <c r="H11893" s="1245"/>
      <c r="I11893" s="1245"/>
    </row>
    <row r="11894" spans="8:9">
      <c r="H11894" s="1245"/>
      <c r="I11894" s="1245"/>
    </row>
    <row r="11895" spans="8:9">
      <c r="H11895" s="1245"/>
      <c r="I11895" s="1245"/>
    </row>
    <row r="11896" spans="8:9">
      <c r="H11896" s="1245"/>
      <c r="I11896" s="1245"/>
    </row>
    <row r="11897" spans="8:9">
      <c r="H11897" s="1245"/>
      <c r="I11897" s="1245"/>
    </row>
    <row r="11898" spans="8:9">
      <c r="H11898" s="1245"/>
      <c r="I11898" s="1245"/>
    </row>
    <row r="11899" spans="8:9">
      <c r="H11899" s="1245"/>
      <c r="I11899" s="1245"/>
    </row>
    <row r="11900" spans="8:9">
      <c r="H11900" s="1245"/>
      <c r="I11900" s="1245"/>
    </row>
    <row r="11901" spans="8:9">
      <c r="H11901" s="1245"/>
      <c r="I11901" s="1245"/>
    </row>
    <row r="11902" spans="8:9">
      <c r="H11902" s="1245"/>
      <c r="I11902" s="1245"/>
    </row>
    <row r="11903" spans="8:9">
      <c r="H11903" s="1245"/>
      <c r="I11903" s="1245"/>
    </row>
    <row r="11904" spans="8:9">
      <c r="H11904" s="1245"/>
      <c r="I11904" s="1245"/>
    </row>
    <row r="11905" spans="8:9">
      <c r="H11905" s="1245"/>
      <c r="I11905" s="1245"/>
    </row>
    <row r="11906" spans="8:9">
      <c r="H11906" s="1245"/>
      <c r="I11906" s="1245"/>
    </row>
    <row r="11907" spans="8:9">
      <c r="H11907" s="1245"/>
      <c r="I11907" s="1245"/>
    </row>
    <row r="11908" spans="8:9">
      <c r="H11908" s="1245"/>
      <c r="I11908" s="1245"/>
    </row>
    <row r="11909" spans="8:9">
      <c r="H11909" s="1245"/>
      <c r="I11909" s="1245"/>
    </row>
    <row r="11910" spans="8:9">
      <c r="H11910" s="1245"/>
      <c r="I11910" s="1245"/>
    </row>
    <row r="11911" spans="8:9">
      <c r="H11911" s="1245"/>
      <c r="I11911" s="1245"/>
    </row>
    <row r="11912" spans="8:9">
      <c r="H11912" s="1245"/>
      <c r="I11912" s="1245"/>
    </row>
    <row r="11913" spans="8:9">
      <c r="H11913" s="1245"/>
      <c r="I11913" s="1245"/>
    </row>
    <row r="11914" spans="8:9">
      <c r="H11914" s="1245"/>
      <c r="I11914" s="1245"/>
    </row>
    <row r="11915" spans="8:9">
      <c r="H11915" s="1245"/>
      <c r="I11915" s="1245"/>
    </row>
    <row r="11916" spans="8:9">
      <c r="H11916" s="1245"/>
      <c r="I11916" s="1245"/>
    </row>
    <row r="11917" spans="8:9">
      <c r="H11917" s="1245"/>
      <c r="I11917" s="1245"/>
    </row>
    <row r="11918" spans="8:9">
      <c r="H11918" s="1245"/>
      <c r="I11918" s="1245"/>
    </row>
    <row r="11919" spans="8:9">
      <c r="H11919" s="1245"/>
      <c r="I11919" s="1245"/>
    </row>
    <row r="11920" spans="8:9">
      <c r="H11920" s="1245"/>
      <c r="I11920" s="1245"/>
    </row>
    <row r="11921" spans="8:9">
      <c r="H11921" s="1245"/>
      <c r="I11921" s="1245"/>
    </row>
    <row r="11922" spans="8:9">
      <c r="H11922" s="1245"/>
      <c r="I11922" s="1245"/>
    </row>
    <row r="11923" spans="8:9">
      <c r="H11923" s="1245"/>
      <c r="I11923" s="1245"/>
    </row>
    <row r="11924" spans="8:9">
      <c r="H11924" s="1245"/>
      <c r="I11924" s="1245"/>
    </row>
    <row r="11925" spans="8:9">
      <c r="H11925" s="1245"/>
      <c r="I11925" s="1245"/>
    </row>
    <row r="11926" spans="8:9">
      <c r="H11926" s="1245"/>
      <c r="I11926" s="1245"/>
    </row>
    <row r="11927" spans="8:9">
      <c r="H11927" s="1245"/>
      <c r="I11927" s="1245"/>
    </row>
    <row r="11928" spans="8:9">
      <c r="H11928" s="1245"/>
      <c r="I11928" s="1245"/>
    </row>
    <row r="11929" spans="8:9">
      <c r="H11929" s="1245"/>
      <c r="I11929" s="1245"/>
    </row>
    <row r="11930" spans="8:9">
      <c r="H11930" s="1245"/>
      <c r="I11930" s="1245"/>
    </row>
    <row r="11931" spans="8:9">
      <c r="H11931" s="1245"/>
      <c r="I11931" s="1245"/>
    </row>
    <row r="11932" spans="8:9">
      <c r="H11932" s="1245"/>
      <c r="I11932" s="1245"/>
    </row>
    <row r="11933" spans="8:9">
      <c r="H11933" s="1245"/>
      <c r="I11933" s="1245"/>
    </row>
    <row r="11934" spans="8:9">
      <c r="H11934" s="1245"/>
      <c r="I11934" s="1245"/>
    </row>
    <row r="11935" spans="8:9">
      <c r="H11935" s="1245"/>
      <c r="I11935" s="1245"/>
    </row>
    <row r="11936" spans="8:9">
      <c r="H11936" s="1245"/>
      <c r="I11936" s="1245"/>
    </row>
    <row r="11937" spans="8:9">
      <c r="H11937" s="1245"/>
      <c r="I11937" s="1245"/>
    </row>
    <row r="11938" spans="8:9">
      <c r="H11938" s="1245"/>
      <c r="I11938" s="1245"/>
    </row>
    <row r="11939" spans="8:9">
      <c r="H11939" s="1245"/>
      <c r="I11939" s="1245"/>
    </row>
    <row r="11940" spans="8:9">
      <c r="H11940" s="1245"/>
      <c r="I11940" s="1245"/>
    </row>
    <row r="11941" spans="8:9">
      <c r="H11941" s="1245"/>
      <c r="I11941" s="1245"/>
    </row>
    <row r="11942" spans="8:9">
      <c r="H11942" s="1245"/>
      <c r="I11942" s="1245"/>
    </row>
    <row r="11943" spans="8:9">
      <c r="H11943" s="1245"/>
      <c r="I11943" s="1245"/>
    </row>
    <row r="11944" spans="8:9">
      <c r="H11944" s="1245"/>
      <c r="I11944" s="1245"/>
    </row>
    <row r="11945" spans="8:9">
      <c r="H11945" s="1245"/>
      <c r="I11945" s="1245"/>
    </row>
    <row r="11946" spans="8:9">
      <c r="H11946" s="1245"/>
      <c r="I11946" s="1245"/>
    </row>
    <row r="11947" spans="8:9">
      <c r="H11947" s="1245"/>
      <c r="I11947" s="1245"/>
    </row>
    <row r="11948" spans="8:9">
      <c r="H11948" s="1245"/>
      <c r="I11948" s="1245"/>
    </row>
    <row r="11949" spans="8:9">
      <c r="H11949" s="1245"/>
      <c r="I11949" s="1245"/>
    </row>
    <row r="11950" spans="8:9">
      <c r="H11950" s="1245"/>
      <c r="I11950" s="1245"/>
    </row>
    <row r="11951" spans="8:9">
      <c r="H11951" s="1245"/>
      <c r="I11951" s="1245"/>
    </row>
    <row r="11952" spans="8:9">
      <c r="H11952" s="1245"/>
      <c r="I11952" s="1245"/>
    </row>
    <row r="11953" spans="8:9">
      <c r="H11953" s="1245"/>
      <c r="I11953" s="1245"/>
    </row>
    <row r="11954" spans="8:9">
      <c r="H11954" s="1245"/>
      <c r="I11954" s="1245"/>
    </row>
    <row r="11955" spans="8:9">
      <c r="H11955" s="1245"/>
      <c r="I11955" s="1245"/>
    </row>
    <row r="11956" spans="8:9">
      <c r="H11956" s="1245"/>
      <c r="I11956" s="1245"/>
    </row>
    <row r="11957" spans="8:9">
      <c r="H11957" s="1245"/>
      <c r="I11957" s="1245"/>
    </row>
    <row r="11958" spans="8:9">
      <c r="H11958" s="1245"/>
      <c r="I11958" s="1245"/>
    </row>
    <row r="11959" spans="8:9">
      <c r="H11959" s="1245"/>
      <c r="I11959" s="1245"/>
    </row>
    <row r="11960" spans="8:9">
      <c r="H11960" s="1245"/>
      <c r="I11960" s="1245"/>
    </row>
    <row r="11961" spans="8:9">
      <c r="H11961" s="1245"/>
      <c r="I11961" s="1245"/>
    </row>
    <row r="11962" spans="8:9">
      <c r="H11962" s="1245"/>
      <c r="I11962" s="1245"/>
    </row>
    <row r="11963" spans="8:9">
      <c r="H11963" s="1245"/>
      <c r="I11963" s="1245"/>
    </row>
    <row r="11964" spans="8:9">
      <c r="H11964" s="1245"/>
      <c r="I11964" s="1245"/>
    </row>
    <row r="11965" spans="8:9">
      <c r="H11965" s="1245"/>
      <c r="I11965" s="1245"/>
    </row>
    <row r="11966" spans="8:9">
      <c r="H11966" s="1245"/>
      <c r="I11966" s="1245"/>
    </row>
    <row r="11967" spans="8:9">
      <c r="H11967" s="1245"/>
      <c r="I11967" s="1245"/>
    </row>
    <row r="11968" spans="8:9">
      <c r="H11968" s="1245"/>
      <c r="I11968" s="1245"/>
    </row>
    <row r="11969" spans="8:9">
      <c r="H11969" s="1245"/>
      <c r="I11969" s="1245"/>
    </row>
    <row r="11970" spans="8:9">
      <c r="H11970" s="1245"/>
      <c r="I11970" s="1245"/>
    </row>
    <row r="11971" spans="8:9">
      <c r="H11971" s="1245"/>
      <c r="I11971" s="1245"/>
    </row>
    <row r="11972" spans="8:9">
      <c r="H11972" s="1245"/>
      <c r="I11972" s="1245"/>
    </row>
    <row r="11973" spans="8:9">
      <c r="H11973" s="1245"/>
      <c r="I11973" s="1245"/>
    </row>
    <row r="11974" spans="8:9">
      <c r="H11974" s="1245"/>
      <c r="I11974" s="1245"/>
    </row>
    <row r="11975" spans="8:9">
      <c r="H11975" s="1245"/>
      <c r="I11975" s="1245"/>
    </row>
    <row r="11976" spans="8:9">
      <c r="H11976" s="1245"/>
      <c r="I11976" s="1245"/>
    </row>
    <row r="11977" spans="8:9">
      <c r="H11977" s="1245"/>
      <c r="I11977" s="1245"/>
    </row>
    <row r="11978" spans="8:9">
      <c r="H11978" s="1245"/>
      <c r="I11978" s="1245"/>
    </row>
    <row r="11979" spans="8:9">
      <c r="H11979" s="1245"/>
      <c r="I11979" s="1245"/>
    </row>
    <row r="11980" spans="8:9">
      <c r="H11980" s="1245"/>
      <c r="I11980" s="1245"/>
    </row>
    <row r="11981" spans="8:9">
      <c r="H11981" s="1245"/>
      <c r="I11981" s="1245"/>
    </row>
    <row r="11982" spans="8:9">
      <c r="H11982" s="1245"/>
      <c r="I11982" s="1245"/>
    </row>
    <row r="11983" spans="8:9">
      <c r="H11983" s="1245"/>
      <c r="I11983" s="1245"/>
    </row>
    <row r="11984" spans="8:9">
      <c r="H11984" s="1245"/>
      <c r="I11984" s="1245"/>
    </row>
    <row r="11985" spans="8:9">
      <c r="H11985" s="1245"/>
      <c r="I11985" s="1245"/>
    </row>
    <row r="11986" spans="8:9">
      <c r="H11986" s="1245"/>
      <c r="I11986" s="1245"/>
    </row>
    <row r="11987" spans="8:9">
      <c r="H11987" s="1245"/>
      <c r="I11987" s="1245"/>
    </row>
    <row r="11988" spans="8:9">
      <c r="H11988" s="1245"/>
      <c r="I11988" s="1245"/>
    </row>
    <row r="11989" spans="8:9">
      <c r="H11989" s="1245"/>
      <c r="I11989" s="1245"/>
    </row>
    <row r="11990" spans="8:9">
      <c r="H11990" s="1245"/>
      <c r="I11990" s="1245"/>
    </row>
    <row r="11991" spans="8:9">
      <c r="H11991" s="1245"/>
      <c r="I11991" s="1245"/>
    </row>
    <row r="11992" spans="8:9">
      <c r="H11992" s="1245"/>
      <c r="I11992" s="1245"/>
    </row>
    <row r="11993" spans="8:9">
      <c r="H11993" s="1245"/>
      <c r="I11993" s="1245"/>
    </row>
    <row r="11994" spans="8:9">
      <c r="H11994" s="1245"/>
      <c r="I11994" s="1245"/>
    </row>
    <row r="11995" spans="8:9">
      <c r="H11995" s="1245"/>
      <c r="I11995" s="1245"/>
    </row>
    <row r="11996" spans="8:9">
      <c r="H11996" s="1245"/>
      <c r="I11996" s="1245"/>
    </row>
    <row r="11997" spans="8:9">
      <c r="H11997" s="1245"/>
      <c r="I11997" s="1245"/>
    </row>
    <row r="11998" spans="8:9">
      <c r="H11998" s="1245"/>
      <c r="I11998" s="1245"/>
    </row>
    <row r="11999" spans="8:9">
      <c r="H11999" s="1245"/>
      <c r="I11999" s="1245"/>
    </row>
    <row r="12000" spans="8:9">
      <c r="H12000" s="1245"/>
      <c r="I12000" s="1245"/>
    </row>
    <row r="12001" spans="8:9">
      <c r="H12001" s="1245"/>
      <c r="I12001" s="1245"/>
    </row>
    <row r="12002" spans="8:9">
      <c r="H12002" s="1245"/>
      <c r="I12002" s="1245"/>
    </row>
    <row r="12003" spans="8:9">
      <c r="H12003" s="1245"/>
      <c r="I12003" s="1245"/>
    </row>
    <row r="12004" spans="8:9">
      <c r="H12004" s="1245"/>
      <c r="I12004" s="1245"/>
    </row>
    <row r="12005" spans="8:9">
      <c r="H12005" s="1245"/>
      <c r="I12005" s="1245"/>
    </row>
    <row r="12006" spans="8:9">
      <c r="H12006" s="1245"/>
      <c r="I12006" s="1245"/>
    </row>
    <row r="12007" spans="8:9">
      <c r="H12007" s="1245"/>
      <c r="I12007" s="1245"/>
    </row>
    <row r="12008" spans="8:9">
      <c r="H12008" s="1245"/>
      <c r="I12008" s="1245"/>
    </row>
    <row r="12009" spans="8:9">
      <c r="H12009" s="1245"/>
      <c r="I12009" s="1245"/>
    </row>
    <row r="12010" spans="8:9">
      <c r="H12010" s="1245"/>
      <c r="I12010" s="1245"/>
    </row>
    <row r="12011" spans="8:9">
      <c r="H12011" s="1245"/>
      <c r="I12011" s="1245"/>
    </row>
    <row r="12012" spans="8:9">
      <c r="H12012" s="1245"/>
      <c r="I12012" s="1245"/>
    </row>
    <row r="12013" spans="8:9">
      <c r="H12013" s="1245"/>
      <c r="I12013" s="1245"/>
    </row>
    <row r="12014" spans="8:9">
      <c r="H12014" s="1245"/>
      <c r="I12014" s="1245"/>
    </row>
    <row r="12015" spans="8:9">
      <c r="H12015" s="1245"/>
      <c r="I12015" s="1245"/>
    </row>
    <row r="12016" spans="8:9">
      <c r="H12016" s="1245"/>
      <c r="I12016" s="1245"/>
    </row>
    <row r="12017" spans="8:9">
      <c r="H12017" s="1245"/>
      <c r="I12017" s="1245"/>
    </row>
    <row r="12018" spans="8:9">
      <c r="H12018" s="1245"/>
      <c r="I12018" s="1245"/>
    </row>
    <row r="12019" spans="8:9">
      <c r="H12019" s="1245"/>
      <c r="I12019" s="1245"/>
    </row>
    <row r="12020" spans="8:9">
      <c r="H12020" s="1245"/>
      <c r="I12020" s="1245"/>
    </row>
    <row r="12021" spans="8:9">
      <c r="H12021" s="1245"/>
      <c r="I12021" s="1245"/>
    </row>
    <row r="12022" spans="8:9">
      <c r="H12022" s="1245"/>
      <c r="I12022" s="1245"/>
    </row>
    <row r="12023" spans="8:9">
      <c r="H12023" s="1245"/>
      <c r="I12023" s="1245"/>
    </row>
    <row r="12024" spans="8:9">
      <c r="H12024" s="1245"/>
      <c r="I12024" s="1245"/>
    </row>
    <row r="12025" spans="8:9">
      <c r="H12025" s="1245"/>
      <c r="I12025" s="1245"/>
    </row>
    <row r="12026" spans="8:9">
      <c r="H12026" s="1245"/>
      <c r="I12026" s="1245"/>
    </row>
    <row r="12027" spans="8:9">
      <c r="H12027" s="1245"/>
      <c r="I12027" s="1245"/>
    </row>
    <row r="12028" spans="8:9">
      <c r="H12028" s="1245"/>
      <c r="I12028" s="1245"/>
    </row>
    <row r="12029" spans="8:9">
      <c r="H12029" s="1245"/>
      <c r="I12029" s="1245"/>
    </row>
    <row r="12030" spans="8:9">
      <c r="H12030" s="1245"/>
      <c r="I12030" s="1245"/>
    </row>
    <row r="12031" spans="8:9">
      <c r="H12031" s="1245"/>
      <c r="I12031" s="1245"/>
    </row>
    <row r="12032" spans="8:9">
      <c r="H12032" s="1245"/>
      <c r="I12032" s="1245"/>
    </row>
    <row r="12033" spans="8:9">
      <c r="H12033" s="1245"/>
      <c r="I12033" s="1245"/>
    </row>
    <row r="12034" spans="8:9">
      <c r="H12034" s="1245"/>
      <c r="I12034" s="1245"/>
    </row>
    <row r="12035" spans="8:9">
      <c r="H12035" s="1245"/>
      <c r="I12035" s="1245"/>
    </row>
    <row r="12036" spans="8:9">
      <c r="H12036" s="1245"/>
      <c r="I12036" s="1245"/>
    </row>
    <row r="12037" spans="8:9">
      <c r="H12037" s="1245"/>
      <c r="I12037" s="1245"/>
    </row>
    <row r="12038" spans="8:9">
      <c r="H12038" s="1245"/>
      <c r="I12038" s="1245"/>
    </row>
    <row r="12039" spans="8:9">
      <c r="H12039" s="1245"/>
      <c r="I12039" s="1245"/>
    </row>
    <row r="12040" spans="8:9">
      <c r="H12040" s="1245"/>
      <c r="I12040" s="1245"/>
    </row>
    <row r="12041" spans="8:9">
      <c r="H12041" s="1245"/>
      <c r="I12041" s="1245"/>
    </row>
    <row r="12042" spans="8:9">
      <c r="H12042" s="1245"/>
      <c r="I12042" s="1245"/>
    </row>
    <row r="12043" spans="8:9">
      <c r="H12043" s="1245"/>
      <c r="I12043" s="1245"/>
    </row>
    <row r="12044" spans="8:9">
      <c r="H12044" s="1245"/>
      <c r="I12044" s="1245"/>
    </row>
    <row r="12045" spans="8:9">
      <c r="H12045" s="1245"/>
      <c r="I12045" s="1245"/>
    </row>
    <row r="12046" spans="8:9">
      <c r="H12046" s="1245"/>
      <c r="I12046" s="1245"/>
    </row>
    <row r="12047" spans="8:9">
      <c r="H12047" s="1245"/>
      <c r="I12047" s="1245"/>
    </row>
    <row r="12048" spans="8:9">
      <c r="H12048" s="1245"/>
      <c r="I12048" s="1245"/>
    </row>
    <row r="12049" spans="8:9">
      <c r="H12049" s="1245"/>
      <c r="I12049" s="1245"/>
    </row>
    <row r="12050" spans="8:9">
      <c r="H12050" s="1245"/>
      <c r="I12050" s="1245"/>
    </row>
    <row r="12051" spans="8:9">
      <c r="H12051" s="1245"/>
      <c r="I12051" s="1245"/>
    </row>
    <row r="12052" spans="8:9">
      <c r="H12052" s="1245"/>
      <c r="I12052" s="1245"/>
    </row>
    <row r="12053" spans="8:9">
      <c r="H12053" s="1245"/>
      <c r="I12053" s="1245"/>
    </row>
    <row r="12054" spans="8:9">
      <c r="H12054" s="1245"/>
      <c r="I12054" s="1245"/>
    </row>
    <row r="12055" spans="8:9">
      <c r="H12055" s="1245"/>
      <c r="I12055" s="1245"/>
    </row>
    <row r="12056" spans="8:9">
      <c r="H12056" s="1245"/>
      <c r="I12056" s="1245"/>
    </row>
    <row r="12057" spans="8:9">
      <c r="H12057" s="1245"/>
      <c r="I12057" s="1245"/>
    </row>
    <row r="12058" spans="8:9">
      <c r="H12058" s="1245"/>
      <c r="I12058" s="1245"/>
    </row>
    <row r="12059" spans="8:9">
      <c r="H12059" s="1245"/>
      <c r="I12059" s="1245"/>
    </row>
    <row r="12060" spans="8:9">
      <c r="H12060" s="1245"/>
      <c r="I12060" s="1245"/>
    </row>
    <row r="12061" spans="8:9">
      <c r="H12061" s="1245"/>
      <c r="I12061" s="1245"/>
    </row>
    <row r="12062" spans="8:9">
      <c r="H12062" s="1245"/>
      <c r="I12062" s="1245"/>
    </row>
    <row r="12063" spans="8:9">
      <c r="H12063" s="1245"/>
      <c r="I12063" s="1245"/>
    </row>
    <row r="12064" spans="8:9">
      <c r="H12064" s="1245"/>
      <c r="I12064" s="1245"/>
    </row>
    <row r="12065" spans="8:9">
      <c r="H12065" s="1245"/>
      <c r="I12065" s="1245"/>
    </row>
    <row r="12066" spans="8:9">
      <c r="H12066" s="1245"/>
      <c r="I12066" s="1245"/>
    </row>
    <row r="12067" spans="8:9">
      <c r="H12067" s="1245"/>
      <c r="I12067" s="1245"/>
    </row>
    <row r="12068" spans="8:9">
      <c r="H12068" s="1245"/>
      <c r="I12068" s="1245"/>
    </row>
    <row r="12069" spans="8:9">
      <c r="H12069" s="1245"/>
      <c r="I12069" s="1245"/>
    </row>
    <row r="12070" spans="8:9">
      <c r="H12070" s="1245"/>
      <c r="I12070" s="1245"/>
    </row>
    <row r="12071" spans="8:9">
      <c r="H12071" s="1245"/>
      <c r="I12071" s="1245"/>
    </row>
    <row r="12072" spans="8:9">
      <c r="H12072" s="1245"/>
      <c r="I12072" s="1245"/>
    </row>
    <row r="12073" spans="8:9">
      <c r="H12073" s="1245"/>
      <c r="I12073" s="1245"/>
    </row>
    <row r="12074" spans="8:9">
      <c r="H12074" s="1245"/>
      <c r="I12074" s="1245"/>
    </row>
    <row r="12075" spans="8:9">
      <c r="H12075" s="1245"/>
      <c r="I12075" s="1245"/>
    </row>
    <row r="12076" spans="8:9">
      <c r="H12076" s="1245"/>
      <c r="I12076" s="1245"/>
    </row>
    <row r="12077" spans="8:9">
      <c r="H12077" s="1245"/>
      <c r="I12077" s="1245"/>
    </row>
    <row r="12078" spans="8:9">
      <c r="H12078" s="1245"/>
      <c r="I12078" s="1245"/>
    </row>
    <row r="12079" spans="8:9">
      <c r="H12079" s="1245"/>
      <c r="I12079" s="1245"/>
    </row>
    <row r="12080" spans="8:9">
      <c r="H12080" s="1245"/>
      <c r="I12080" s="1245"/>
    </row>
    <row r="12081" spans="8:9">
      <c r="H12081" s="1245"/>
      <c r="I12081" s="1245"/>
    </row>
    <row r="12082" spans="8:9">
      <c r="H12082" s="1245"/>
      <c r="I12082" s="1245"/>
    </row>
    <row r="12083" spans="8:9">
      <c r="H12083" s="1245"/>
      <c r="I12083" s="1245"/>
    </row>
    <row r="12084" spans="8:9">
      <c r="H12084" s="1245"/>
      <c r="I12084" s="1245"/>
    </row>
    <row r="12085" spans="8:9">
      <c r="H12085" s="1245"/>
      <c r="I12085" s="1245"/>
    </row>
    <row r="12086" spans="8:9">
      <c r="H12086" s="1245"/>
      <c r="I12086" s="1245"/>
    </row>
    <row r="12087" spans="8:9">
      <c r="H12087" s="1245"/>
      <c r="I12087" s="1245"/>
    </row>
    <row r="12088" spans="8:9">
      <c r="H12088" s="1245"/>
      <c r="I12088" s="1245"/>
    </row>
    <row r="12089" spans="8:9">
      <c r="H12089" s="1245"/>
      <c r="I12089" s="1245"/>
    </row>
    <row r="12090" spans="8:9">
      <c r="H12090" s="1245"/>
      <c r="I12090" s="1245"/>
    </row>
    <row r="12091" spans="8:9">
      <c r="H12091" s="1245"/>
      <c r="I12091" s="1245"/>
    </row>
    <row r="12092" spans="8:9">
      <c r="H12092" s="1245"/>
      <c r="I12092" s="1245"/>
    </row>
    <row r="12093" spans="8:9">
      <c r="H12093" s="1245"/>
      <c r="I12093" s="1245"/>
    </row>
    <row r="12094" spans="8:9">
      <c r="H12094" s="1245"/>
      <c r="I12094" s="1245"/>
    </row>
    <row r="12095" spans="8:9">
      <c r="H12095" s="1245"/>
      <c r="I12095" s="1245"/>
    </row>
    <row r="12096" spans="8:9">
      <c r="H12096" s="1245"/>
      <c r="I12096" s="1245"/>
    </row>
    <row r="12097" spans="8:9">
      <c r="H12097" s="1245"/>
      <c r="I12097" s="1245"/>
    </row>
    <row r="12098" spans="8:9">
      <c r="H12098" s="1245"/>
      <c r="I12098" s="1245"/>
    </row>
    <row r="12099" spans="8:9">
      <c r="H12099" s="1245"/>
      <c r="I12099" s="1245"/>
    </row>
    <row r="12100" spans="8:9">
      <c r="H12100" s="1245"/>
      <c r="I12100" s="1245"/>
    </row>
    <row r="12101" spans="8:9">
      <c r="H12101" s="1245"/>
      <c r="I12101" s="1245"/>
    </row>
    <row r="12102" spans="8:9">
      <c r="H12102" s="1245"/>
      <c r="I12102" s="1245"/>
    </row>
    <row r="12103" spans="8:9">
      <c r="H12103" s="1245"/>
      <c r="I12103" s="1245"/>
    </row>
    <row r="12104" spans="8:9">
      <c r="H12104" s="1245"/>
      <c r="I12104" s="1245"/>
    </row>
    <row r="12105" spans="8:9">
      <c r="H12105" s="1245"/>
      <c r="I12105" s="1245"/>
    </row>
    <row r="12106" spans="8:9">
      <c r="H12106" s="1245"/>
      <c r="I12106" s="1245"/>
    </row>
    <row r="12107" spans="8:9">
      <c r="H12107" s="1245"/>
      <c r="I12107" s="1245"/>
    </row>
    <row r="12108" spans="8:9">
      <c r="H12108" s="1245"/>
      <c r="I12108" s="1245"/>
    </row>
    <row r="12109" spans="8:9">
      <c r="H12109" s="1245"/>
      <c r="I12109" s="1245"/>
    </row>
    <row r="12110" spans="8:9">
      <c r="H12110" s="1245"/>
      <c r="I12110" s="1245"/>
    </row>
    <row r="12111" spans="8:9">
      <c r="H12111" s="1245"/>
      <c r="I12111" s="1245"/>
    </row>
    <row r="12112" spans="8:9">
      <c r="H12112" s="1245"/>
      <c r="I12112" s="1245"/>
    </row>
    <row r="12113" spans="8:9">
      <c r="H12113" s="1245"/>
      <c r="I12113" s="1245"/>
    </row>
    <row r="12114" spans="8:9">
      <c r="H12114" s="1245"/>
      <c r="I12114" s="1245"/>
    </row>
    <row r="12115" spans="8:9">
      <c r="H12115" s="1245"/>
      <c r="I12115" s="1245"/>
    </row>
    <row r="12116" spans="8:9">
      <c r="H12116" s="1245"/>
      <c r="I12116" s="1245"/>
    </row>
    <row r="12117" spans="8:9">
      <c r="H12117" s="1245"/>
      <c r="I12117" s="1245"/>
    </row>
    <row r="12118" spans="8:9">
      <c r="H12118" s="1245"/>
      <c r="I12118" s="1245"/>
    </row>
    <row r="12119" spans="8:9">
      <c r="H12119" s="1245"/>
      <c r="I12119" s="1245"/>
    </row>
    <row r="12120" spans="8:9">
      <c r="H12120" s="1245"/>
      <c r="I12120" s="1245"/>
    </row>
    <row r="12121" spans="8:9">
      <c r="H12121" s="1245"/>
      <c r="I12121" s="1245"/>
    </row>
    <row r="12122" spans="8:9">
      <c r="H12122" s="1245"/>
      <c r="I12122" s="1245"/>
    </row>
    <row r="12123" spans="8:9">
      <c r="H12123" s="1245"/>
      <c r="I12123" s="1245"/>
    </row>
    <row r="12124" spans="8:9">
      <c r="H12124" s="1245"/>
      <c r="I12124" s="1245"/>
    </row>
    <row r="12125" spans="8:9">
      <c r="H12125" s="1245"/>
      <c r="I12125" s="1245"/>
    </row>
    <row r="12126" spans="8:9">
      <c r="H12126" s="1245"/>
      <c r="I12126" s="1245"/>
    </row>
    <row r="12127" spans="8:9">
      <c r="H12127" s="1245"/>
      <c r="I12127" s="1245"/>
    </row>
    <row r="12128" spans="8:9">
      <c r="H12128" s="1245"/>
      <c r="I12128" s="1245"/>
    </row>
    <row r="12129" spans="8:9">
      <c r="H12129" s="1245"/>
      <c r="I12129" s="1245"/>
    </row>
    <row r="12130" spans="8:9">
      <c r="H12130" s="1245"/>
      <c r="I12130" s="1245"/>
    </row>
    <row r="12131" spans="8:9">
      <c r="H12131" s="1245"/>
      <c r="I12131" s="1245"/>
    </row>
    <row r="12132" spans="8:9">
      <c r="H12132" s="1245"/>
      <c r="I12132" s="1245"/>
    </row>
    <row r="12133" spans="8:9">
      <c r="H12133" s="1245"/>
      <c r="I12133" s="1245"/>
    </row>
    <row r="12134" spans="8:9">
      <c r="H12134" s="1245"/>
      <c r="I12134" s="1245"/>
    </row>
    <row r="12135" spans="8:9">
      <c r="H12135" s="1245"/>
      <c r="I12135" s="1245"/>
    </row>
    <row r="12136" spans="8:9">
      <c r="H12136" s="1245"/>
      <c r="I12136" s="1245"/>
    </row>
    <row r="12137" spans="8:9">
      <c r="H12137" s="1245"/>
      <c r="I12137" s="1245"/>
    </row>
    <row r="12138" spans="8:9">
      <c r="H12138" s="1245"/>
      <c r="I12138" s="1245"/>
    </row>
    <row r="12139" spans="8:9">
      <c r="H12139" s="1245"/>
      <c r="I12139" s="1245"/>
    </row>
    <row r="12140" spans="8:9">
      <c r="H12140" s="1245"/>
      <c r="I12140" s="1245"/>
    </row>
    <row r="12141" spans="8:9">
      <c r="H12141" s="1245"/>
      <c r="I12141" s="1245"/>
    </row>
    <row r="12142" spans="8:9">
      <c r="H12142" s="1245"/>
      <c r="I12142" s="1245"/>
    </row>
    <row r="12143" spans="8:9">
      <c r="H12143" s="1245"/>
      <c r="I12143" s="1245"/>
    </row>
    <row r="12144" spans="8:9">
      <c r="H12144" s="1245"/>
      <c r="I12144" s="1245"/>
    </row>
    <row r="12145" spans="8:9">
      <c r="H12145" s="1245"/>
      <c r="I12145" s="1245"/>
    </row>
    <row r="12146" spans="8:9">
      <c r="H12146" s="1245"/>
      <c r="I12146" s="1245"/>
    </row>
    <row r="12147" spans="8:9">
      <c r="H12147" s="1245"/>
      <c r="I12147" s="1245"/>
    </row>
    <row r="12148" spans="8:9">
      <c r="H12148" s="1245"/>
      <c r="I12148" s="1245"/>
    </row>
    <row r="12149" spans="8:9">
      <c r="H12149" s="1245"/>
      <c r="I12149" s="1245"/>
    </row>
    <row r="12150" spans="8:9">
      <c r="H12150" s="1245"/>
      <c r="I12150" s="1245"/>
    </row>
    <row r="12151" spans="8:9">
      <c r="H12151" s="1245"/>
      <c r="I12151" s="1245"/>
    </row>
    <row r="12152" spans="8:9">
      <c r="H12152" s="1245"/>
      <c r="I12152" s="1245"/>
    </row>
    <row r="12153" spans="8:9">
      <c r="H12153" s="1245"/>
      <c r="I12153" s="1245"/>
    </row>
    <row r="12154" spans="8:9">
      <c r="H12154" s="1245"/>
      <c r="I12154" s="1245"/>
    </row>
    <row r="12155" spans="8:9">
      <c r="H12155" s="1245"/>
      <c r="I12155" s="1245"/>
    </row>
    <row r="12156" spans="8:9">
      <c r="H12156" s="1245"/>
      <c r="I12156" s="1245"/>
    </row>
    <row r="12157" spans="8:9">
      <c r="H12157" s="1245"/>
      <c r="I12157" s="1245"/>
    </row>
    <row r="12158" spans="8:9">
      <c r="H12158" s="1245"/>
      <c r="I12158" s="1245"/>
    </row>
    <row r="12159" spans="8:9">
      <c r="H12159" s="1245"/>
      <c r="I12159" s="1245"/>
    </row>
    <row r="12160" spans="8:9">
      <c r="H12160" s="1245"/>
      <c r="I12160" s="1245"/>
    </row>
    <row r="12161" spans="8:9">
      <c r="H12161" s="1245"/>
      <c r="I12161" s="1245"/>
    </row>
    <row r="12162" spans="8:9">
      <c r="H12162" s="1245"/>
      <c r="I12162" s="1245"/>
    </row>
    <row r="12163" spans="8:9">
      <c r="H12163" s="1245"/>
      <c r="I12163" s="1245"/>
    </row>
    <row r="12164" spans="8:9">
      <c r="H12164" s="1245"/>
      <c r="I12164" s="1245"/>
    </row>
    <row r="12165" spans="8:9">
      <c r="H12165" s="1245"/>
      <c r="I12165" s="1245"/>
    </row>
    <row r="12166" spans="8:9">
      <c r="H12166" s="1245"/>
      <c r="I12166" s="1245"/>
    </row>
    <row r="12167" spans="8:9">
      <c r="H12167" s="1245"/>
      <c r="I12167" s="1245"/>
    </row>
    <row r="12168" spans="8:9">
      <c r="H12168" s="1245"/>
      <c r="I12168" s="1245"/>
    </row>
    <row r="12169" spans="8:9">
      <c r="H12169" s="1245"/>
      <c r="I12169" s="1245"/>
    </row>
    <row r="12170" spans="8:9">
      <c r="H12170" s="1245"/>
      <c r="I12170" s="1245"/>
    </row>
    <row r="12171" spans="8:9">
      <c r="H12171" s="1245"/>
      <c r="I12171" s="1245"/>
    </row>
    <row r="12172" spans="8:9">
      <c r="H12172" s="1245"/>
      <c r="I12172" s="1245"/>
    </row>
    <row r="12173" spans="8:9">
      <c r="H12173" s="1245"/>
      <c r="I12173" s="1245"/>
    </row>
    <row r="12174" spans="8:9">
      <c r="H12174" s="1245"/>
      <c r="I12174" s="1245"/>
    </row>
    <row r="12175" spans="8:9">
      <c r="H12175" s="1245"/>
      <c r="I12175" s="1245"/>
    </row>
    <row r="12176" spans="8:9">
      <c r="H12176" s="1245"/>
      <c r="I12176" s="1245"/>
    </row>
    <row r="12177" spans="8:9">
      <c r="H12177" s="1245"/>
      <c r="I12177" s="1245"/>
    </row>
    <row r="12178" spans="8:9">
      <c r="H12178" s="1245"/>
      <c r="I12178" s="1245"/>
    </row>
    <row r="12179" spans="8:9">
      <c r="H12179" s="1245"/>
      <c r="I12179" s="1245"/>
    </row>
    <row r="12180" spans="8:9">
      <c r="H12180" s="1245"/>
      <c r="I12180" s="1245"/>
    </row>
    <row r="12181" spans="8:9">
      <c r="H12181" s="1245"/>
      <c r="I12181" s="1245"/>
    </row>
    <row r="12182" spans="8:9">
      <c r="H12182" s="1245"/>
      <c r="I12182" s="1245"/>
    </row>
    <row r="12183" spans="8:9">
      <c r="H12183" s="1245"/>
      <c r="I12183" s="1245"/>
    </row>
    <row r="12184" spans="8:9">
      <c r="H12184" s="1245"/>
      <c r="I12184" s="1245"/>
    </row>
    <row r="12185" spans="8:9">
      <c r="H12185" s="1245"/>
      <c r="I12185" s="1245"/>
    </row>
    <row r="12186" spans="8:9">
      <c r="H12186" s="1245"/>
      <c r="I12186" s="1245"/>
    </row>
    <row r="12187" spans="8:9">
      <c r="H12187" s="1245"/>
      <c r="I12187" s="1245"/>
    </row>
    <row r="12188" spans="8:9">
      <c r="H12188" s="1245"/>
      <c r="I12188" s="1245"/>
    </row>
    <row r="12189" spans="8:9">
      <c r="H12189" s="1245"/>
      <c r="I12189" s="1245"/>
    </row>
    <row r="12190" spans="8:9">
      <c r="H12190" s="1245"/>
      <c r="I12190" s="1245"/>
    </row>
    <row r="12191" spans="8:9">
      <c r="H12191" s="1245"/>
      <c r="I12191" s="1245"/>
    </row>
    <row r="12192" spans="8:9">
      <c r="H12192" s="1245"/>
      <c r="I12192" s="1245"/>
    </row>
    <row r="12193" spans="8:9">
      <c r="H12193" s="1245"/>
      <c r="I12193" s="1245"/>
    </row>
    <row r="12194" spans="8:9">
      <c r="H12194" s="1245"/>
      <c r="I12194" s="1245"/>
    </row>
    <row r="12195" spans="8:9">
      <c r="H12195" s="1245"/>
      <c r="I12195" s="1245"/>
    </row>
    <row r="12196" spans="8:9">
      <c r="H12196" s="1245"/>
      <c r="I12196" s="1245"/>
    </row>
    <row r="12197" spans="8:9">
      <c r="H12197" s="1245"/>
      <c r="I12197" s="1245"/>
    </row>
    <row r="12198" spans="8:9">
      <c r="H12198" s="1245"/>
      <c r="I12198" s="1245"/>
    </row>
    <row r="12199" spans="8:9">
      <c r="H12199" s="1245"/>
      <c r="I12199" s="1245"/>
    </row>
    <row r="12200" spans="8:9">
      <c r="H12200" s="1245"/>
      <c r="I12200" s="1245"/>
    </row>
    <row r="12201" spans="8:9">
      <c r="H12201" s="1245"/>
      <c r="I12201" s="1245"/>
    </row>
    <row r="12202" spans="8:9">
      <c r="H12202" s="1245"/>
      <c r="I12202" s="1245"/>
    </row>
    <row r="12203" spans="8:9">
      <c r="H12203" s="1245"/>
      <c r="I12203" s="1245"/>
    </row>
    <row r="12204" spans="8:9">
      <c r="H12204" s="1245"/>
      <c r="I12204" s="1245"/>
    </row>
    <row r="12205" spans="8:9">
      <c r="H12205" s="1245"/>
      <c r="I12205" s="1245"/>
    </row>
    <row r="12206" spans="8:9">
      <c r="H12206" s="1245"/>
      <c r="I12206" s="1245"/>
    </row>
    <row r="12207" spans="8:9">
      <c r="H12207" s="1245"/>
      <c r="I12207" s="1245"/>
    </row>
    <row r="12208" spans="8:9">
      <c r="H12208" s="1245"/>
      <c r="I12208" s="1245"/>
    </row>
    <row r="12209" spans="8:9">
      <c r="H12209" s="1245"/>
      <c r="I12209" s="1245"/>
    </row>
    <row r="12210" spans="8:9">
      <c r="H12210" s="1245"/>
      <c r="I12210" s="1245"/>
    </row>
    <row r="12211" spans="8:9">
      <c r="H12211" s="1245"/>
      <c r="I12211" s="1245"/>
    </row>
    <row r="12212" spans="8:9">
      <c r="H12212" s="1245"/>
      <c r="I12212" s="1245"/>
    </row>
    <row r="12213" spans="8:9">
      <c r="H12213" s="1245"/>
      <c r="I12213" s="1245"/>
    </row>
    <row r="12214" spans="8:9">
      <c r="H12214" s="1245"/>
      <c r="I12214" s="1245"/>
    </row>
    <row r="12215" spans="8:9">
      <c r="H12215" s="1245"/>
      <c r="I12215" s="1245"/>
    </row>
    <row r="12216" spans="8:9">
      <c r="H12216" s="1245"/>
      <c r="I12216" s="1245"/>
    </row>
    <row r="12217" spans="8:9">
      <c r="H12217" s="1245"/>
      <c r="I12217" s="1245"/>
    </row>
    <row r="12218" spans="8:9">
      <c r="H12218" s="1245"/>
      <c r="I12218" s="1245"/>
    </row>
    <row r="12219" spans="8:9">
      <c r="H12219" s="1245"/>
      <c r="I12219" s="1245"/>
    </row>
    <row r="12220" spans="8:9">
      <c r="H12220" s="1245"/>
      <c r="I12220" s="1245"/>
    </row>
    <row r="12221" spans="8:9">
      <c r="H12221" s="1245"/>
      <c r="I12221" s="1245"/>
    </row>
    <row r="12222" spans="8:9">
      <c r="H12222" s="1245"/>
      <c r="I12222" s="1245"/>
    </row>
    <row r="12223" spans="8:9">
      <c r="H12223" s="1245"/>
      <c r="I12223" s="1245"/>
    </row>
    <row r="12224" spans="8:9">
      <c r="H12224" s="1245"/>
      <c r="I12224" s="1245"/>
    </row>
    <row r="12225" spans="8:9">
      <c r="H12225" s="1245"/>
      <c r="I12225" s="1245"/>
    </row>
    <row r="12226" spans="8:9">
      <c r="H12226" s="1245"/>
      <c r="I12226" s="1245"/>
    </row>
    <row r="12227" spans="8:9">
      <c r="H12227" s="1245"/>
      <c r="I12227" s="1245"/>
    </row>
    <row r="12228" spans="8:9">
      <c r="H12228" s="1245"/>
      <c r="I12228" s="1245"/>
    </row>
    <row r="12229" spans="8:9">
      <c r="H12229" s="1245"/>
      <c r="I12229" s="1245"/>
    </row>
    <row r="12230" spans="8:9">
      <c r="H12230" s="1245"/>
      <c r="I12230" s="1245"/>
    </row>
    <row r="12231" spans="8:9">
      <c r="H12231" s="1245"/>
      <c r="I12231" s="1245"/>
    </row>
    <row r="12232" spans="8:9">
      <c r="H12232" s="1245"/>
      <c r="I12232" s="1245"/>
    </row>
    <row r="12233" spans="8:9">
      <c r="H12233" s="1245"/>
      <c r="I12233" s="1245"/>
    </row>
    <row r="12234" spans="8:9">
      <c r="H12234" s="1245"/>
      <c r="I12234" s="1245"/>
    </row>
    <row r="12235" spans="8:9">
      <c r="H12235" s="1245"/>
      <c r="I12235" s="1245"/>
    </row>
    <row r="12236" spans="8:9">
      <c r="H12236" s="1245"/>
      <c r="I12236" s="1245"/>
    </row>
    <row r="12237" spans="8:9">
      <c r="H12237" s="1245"/>
      <c r="I12237" s="1245"/>
    </row>
    <row r="12238" spans="8:9">
      <c r="H12238" s="1245"/>
      <c r="I12238" s="1245"/>
    </row>
    <row r="12239" spans="8:9">
      <c r="H12239" s="1245"/>
      <c r="I12239" s="1245"/>
    </row>
    <row r="12240" spans="8:9">
      <c r="H12240" s="1245"/>
      <c r="I12240" s="1245"/>
    </row>
    <row r="12241" spans="8:9">
      <c r="H12241" s="1245"/>
      <c r="I12241" s="1245"/>
    </row>
    <row r="12242" spans="8:9">
      <c r="H12242" s="1245"/>
      <c r="I12242" s="1245"/>
    </row>
    <row r="12243" spans="8:9">
      <c r="H12243" s="1245"/>
      <c r="I12243" s="1245"/>
    </row>
    <row r="12244" spans="8:9">
      <c r="H12244" s="1245"/>
      <c r="I12244" s="1245"/>
    </row>
    <row r="12245" spans="8:9">
      <c r="H12245" s="1245"/>
      <c r="I12245" s="1245"/>
    </row>
    <row r="12246" spans="8:9">
      <c r="H12246" s="1245"/>
      <c r="I12246" s="1245"/>
    </row>
    <row r="12247" spans="8:9">
      <c r="H12247" s="1245"/>
      <c r="I12247" s="1245"/>
    </row>
    <row r="12248" spans="8:9">
      <c r="H12248" s="1245"/>
      <c r="I12248" s="1245"/>
    </row>
    <row r="12249" spans="8:9">
      <c r="H12249" s="1245"/>
      <c r="I12249" s="1245"/>
    </row>
    <row r="12250" spans="8:9">
      <c r="H12250" s="1245"/>
      <c r="I12250" s="1245"/>
    </row>
    <row r="12251" spans="8:9">
      <c r="H12251" s="1245"/>
      <c r="I12251" s="1245"/>
    </row>
    <row r="12252" spans="8:9">
      <c r="H12252" s="1245"/>
      <c r="I12252" s="1245"/>
    </row>
    <row r="12253" spans="8:9">
      <c r="H12253" s="1245"/>
      <c r="I12253" s="1245"/>
    </row>
    <row r="12254" spans="8:9">
      <c r="H12254" s="1245"/>
      <c r="I12254" s="1245"/>
    </row>
    <row r="12255" spans="8:9">
      <c r="H12255" s="1245"/>
      <c r="I12255" s="1245"/>
    </row>
    <row r="12256" spans="8:9">
      <c r="H12256" s="1245"/>
      <c r="I12256" s="1245"/>
    </row>
    <row r="12257" spans="8:9">
      <c r="H12257" s="1245"/>
      <c r="I12257" s="1245"/>
    </row>
    <row r="12258" spans="8:9">
      <c r="H12258" s="1245"/>
      <c r="I12258" s="1245"/>
    </row>
    <row r="12259" spans="8:9">
      <c r="H12259" s="1245"/>
      <c r="I12259" s="1245"/>
    </row>
    <row r="12260" spans="8:9">
      <c r="H12260" s="1245"/>
      <c r="I12260" s="1245"/>
    </row>
    <row r="12261" spans="8:9">
      <c r="H12261" s="1245"/>
      <c r="I12261" s="1245"/>
    </row>
    <row r="12262" spans="8:9">
      <c r="H12262" s="1245"/>
      <c r="I12262" s="1245"/>
    </row>
    <row r="12263" spans="8:9">
      <c r="H12263" s="1245"/>
      <c r="I12263" s="1245"/>
    </row>
    <row r="12264" spans="8:9">
      <c r="H12264" s="1245"/>
      <c r="I12264" s="1245"/>
    </row>
    <row r="12265" spans="8:9">
      <c r="H12265" s="1245"/>
      <c r="I12265" s="1245"/>
    </row>
    <row r="12266" spans="8:9">
      <c r="H12266" s="1245"/>
      <c r="I12266" s="1245"/>
    </row>
    <row r="12267" spans="8:9">
      <c r="H12267" s="1245"/>
      <c r="I12267" s="1245"/>
    </row>
    <row r="12268" spans="8:9">
      <c r="H12268" s="1245"/>
      <c r="I12268" s="1245"/>
    </row>
    <row r="12269" spans="8:9">
      <c r="H12269" s="1245"/>
      <c r="I12269" s="1245"/>
    </row>
    <row r="12270" spans="8:9">
      <c r="H12270" s="1245"/>
      <c r="I12270" s="1245"/>
    </row>
    <row r="12271" spans="8:9">
      <c r="H12271" s="1245"/>
      <c r="I12271" s="1245"/>
    </row>
    <row r="12272" spans="8:9">
      <c r="H12272" s="1245"/>
      <c r="I12272" s="1245"/>
    </row>
    <row r="12273" spans="8:9">
      <c r="H12273" s="1245"/>
      <c r="I12273" s="1245"/>
    </row>
    <row r="12274" spans="8:9">
      <c r="H12274" s="1245"/>
      <c r="I12274" s="1245"/>
    </row>
    <row r="12275" spans="8:9">
      <c r="H12275" s="1245"/>
      <c r="I12275" s="1245"/>
    </row>
    <row r="12276" spans="8:9">
      <c r="H12276" s="1245"/>
      <c r="I12276" s="1245"/>
    </row>
    <row r="12277" spans="8:9">
      <c r="H12277" s="1245"/>
      <c r="I12277" s="1245"/>
    </row>
    <row r="12278" spans="8:9">
      <c r="H12278" s="1245"/>
      <c r="I12278" s="1245"/>
    </row>
    <row r="12279" spans="8:9">
      <c r="H12279" s="1245"/>
      <c r="I12279" s="1245"/>
    </row>
    <row r="12280" spans="8:9">
      <c r="H12280" s="1245"/>
      <c r="I12280" s="1245"/>
    </row>
    <row r="12281" spans="8:9">
      <c r="H12281" s="1245"/>
      <c r="I12281" s="1245"/>
    </row>
    <row r="12282" spans="8:9">
      <c r="H12282" s="1245"/>
      <c r="I12282" s="1245"/>
    </row>
    <row r="12283" spans="8:9">
      <c r="H12283" s="1245"/>
      <c r="I12283" s="1245"/>
    </row>
    <row r="12284" spans="8:9">
      <c r="H12284" s="1245"/>
      <c r="I12284" s="1245"/>
    </row>
    <row r="12285" spans="8:9">
      <c r="H12285" s="1245"/>
      <c r="I12285" s="1245"/>
    </row>
    <row r="12286" spans="8:9">
      <c r="H12286" s="1245"/>
      <c r="I12286" s="1245"/>
    </row>
    <row r="12287" spans="8:9">
      <c r="H12287" s="1245"/>
      <c r="I12287" s="1245"/>
    </row>
    <row r="12288" spans="8:9">
      <c r="H12288" s="1245"/>
      <c r="I12288" s="1245"/>
    </row>
    <row r="12289" spans="8:9">
      <c r="H12289" s="1245"/>
      <c r="I12289" s="1245"/>
    </row>
    <row r="12290" spans="8:9">
      <c r="H12290" s="1245"/>
      <c r="I12290" s="1245"/>
    </row>
    <row r="12291" spans="8:9">
      <c r="H12291" s="1245"/>
      <c r="I12291" s="1245"/>
    </row>
    <row r="12292" spans="8:9">
      <c r="H12292" s="1245"/>
      <c r="I12292" s="1245"/>
    </row>
    <row r="12293" spans="8:9">
      <c r="H12293" s="1245"/>
      <c r="I12293" s="1245"/>
    </row>
    <row r="12294" spans="8:9">
      <c r="H12294" s="1245"/>
      <c r="I12294" s="1245"/>
    </row>
    <row r="12295" spans="8:9">
      <c r="H12295" s="1245"/>
      <c r="I12295" s="1245"/>
    </row>
    <row r="12296" spans="8:9">
      <c r="H12296" s="1245"/>
      <c r="I12296" s="1245"/>
    </row>
    <row r="12297" spans="8:9">
      <c r="H12297" s="1245"/>
      <c r="I12297" s="1245"/>
    </row>
    <row r="12298" spans="8:9">
      <c r="H12298" s="1245"/>
      <c r="I12298" s="1245"/>
    </row>
    <row r="12299" spans="8:9">
      <c r="H12299" s="1245"/>
      <c r="I12299" s="1245"/>
    </row>
    <row r="12300" spans="8:9">
      <c r="H12300" s="1245"/>
      <c r="I12300" s="1245"/>
    </row>
    <row r="12301" spans="8:9">
      <c r="H12301" s="1245"/>
      <c r="I12301" s="1245"/>
    </row>
    <row r="12302" spans="8:9">
      <c r="H12302" s="1245"/>
      <c r="I12302" s="1245"/>
    </row>
    <row r="12303" spans="8:9">
      <c r="H12303" s="1245"/>
      <c r="I12303" s="1245"/>
    </row>
    <row r="12304" spans="8:9">
      <c r="H12304" s="1245"/>
      <c r="I12304" s="1245"/>
    </row>
    <row r="12305" spans="8:9">
      <c r="H12305" s="1245"/>
      <c r="I12305" s="1245"/>
    </row>
    <row r="12306" spans="8:9">
      <c r="H12306" s="1245"/>
      <c r="I12306" s="1245"/>
    </row>
    <row r="12307" spans="8:9">
      <c r="H12307" s="1245"/>
      <c r="I12307" s="1245"/>
    </row>
    <row r="12308" spans="8:9">
      <c r="H12308" s="1245"/>
      <c r="I12308" s="1245"/>
    </row>
    <row r="12309" spans="8:9">
      <c r="H12309" s="1245"/>
      <c r="I12309" s="1245"/>
    </row>
    <row r="12310" spans="8:9">
      <c r="H12310" s="1245"/>
      <c r="I12310" s="1245"/>
    </row>
    <row r="12311" spans="8:9">
      <c r="H12311" s="1245"/>
      <c r="I12311" s="1245"/>
    </row>
    <row r="12312" spans="8:9">
      <c r="H12312" s="1245"/>
      <c r="I12312" s="1245"/>
    </row>
    <row r="12313" spans="8:9">
      <c r="H12313" s="1245"/>
      <c r="I12313" s="1245"/>
    </row>
    <row r="12314" spans="8:9">
      <c r="H12314" s="1245"/>
      <c r="I12314" s="1245"/>
    </row>
    <row r="12315" spans="8:9">
      <c r="H12315" s="1245"/>
      <c r="I12315" s="1245"/>
    </row>
    <row r="12316" spans="8:9">
      <c r="H12316" s="1245"/>
      <c r="I12316" s="1245"/>
    </row>
    <row r="12317" spans="8:9">
      <c r="H12317" s="1245"/>
      <c r="I12317" s="1245"/>
    </row>
    <row r="12318" spans="8:9">
      <c r="H12318" s="1245"/>
      <c r="I12318" s="1245"/>
    </row>
    <row r="12319" spans="8:9">
      <c r="H12319" s="1245"/>
      <c r="I12319" s="1245"/>
    </row>
    <row r="12320" spans="8:9">
      <c r="H12320" s="1245"/>
      <c r="I12320" s="1245"/>
    </row>
    <row r="12321" spans="8:9">
      <c r="H12321" s="1245"/>
      <c r="I12321" s="1245"/>
    </row>
    <row r="12322" spans="8:9">
      <c r="H12322" s="1245"/>
      <c r="I12322" s="1245"/>
    </row>
    <row r="12323" spans="8:9">
      <c r="H12323" s="1245"/>
      <c r="I12323" s="1245"/>
    </row>
    <row r="12324" spans="8:9">
      <c r="H12324" s="1245"/>
      <c r="I12324" s="1245"/>
    </row>
    <row r="12325" spans="8:9">
      <c r="H12325" s="1245"/>
      <c r="I12325" s="1245"/>
    </row>
    <row r="12326" spans="8:9">
      <c r="H12326" s="1245"/>
      <c r="I12326" s="1245"/>
    </row>
    <row r="12327" spans="8:9">
      <c r="H12327" s="1245"/>
      <c r="I12327" s="1245"/>
    </row>
    <row r="12328" spans="8:9">
      <c r="H12328" s="1245"/>
      <c r="I12328" s="1245"/>
    </row>
    <row r="12329" spans="8:9">
      <c r="H12329" s="1245"/>
      <c r="I12329" s="1245"/>
    </row>
    <row r="12330" spans="8:9">
      <c r="H12330" s="1245"/>
      <c r="I12330" s="1245"/>
    </row>
    <row r="12331" spans="8:9">
      <c r="H12331" s="1245"/>
      <c r="I12331" s="1245"/>
    </row>
    <row r="12332" spans="8:9">
      <c r="H12332" s="1245"/>
      <c r="I12332" s="1245"/>
    </row>
    <row r="12333" spans="8:9">
      <c r="H12333" s="1245"/>
      <c r="I12333" s="1245"/>
    </row>
    <row r="12334" spans="8:9">
      <c r="H12334" s="1245"/>
      <c r="I12334" s="1245"/>
    </row>
    <row r="12335" spans="8:9">
      <c r="H12335" s="1245"/>
      <c r="I12335" s="1245"/>
    </row>
    <row r="12336" spans="8:9">
      <c r="H12336" s="1245"/>
      <c r="I12336" s="1245"/>
    </row>
    <row r="12337" spans="8:9">
      <c r="H12337" s="1245"/>
      <c r="I12337" s="1245"/>
    </row>
    <row r="12338" spans="8:9">
      <c r="H12338" s="1245"/>
      <c r="I12338" s="1245"/>
    </row>
    <row r="12339" spans="8:9">
      <c r="H12339" s="1245"/>
      <c r="I12339" s="1245"/>
    </row>
    <row r="12340" spans="8:9">
      <c r="H12340" s="1245"/>
      <c r="I12340" s="1245"/>
    </row>
    <row r="12341" spans="8:9">
      <c r="H12341" s="1245"/>
      <c r="I12341" s="1245"/>
    </row>
    <row r="12342" spans="8:9">
      <c r="H12342" s="1245"/>
      <c r="I12342" s="1245"/>
    </row>
    <row r="12343" spans="8:9">
      <c r="H12343" s="1245"/>
      <c r="I12343" s="1245"/>
    </row>
    <row r="12344" spans="8:9">
      <c r="H12344" s="1245"/>
      <c r="I12344" s="1245"/>
    </row>
    <row r="12345" spans="8:9">
      <c r="H12345" s="1245"/>
      <c r="I12345" s="1245"/>
    </row>
    <row r="12346" spans="8:9">
      <c r="H12346" s="1245"/>
      <c r="I12346" s="1245"/>
    </row>
    <row r="12347" spans="8:9">
      <c r="H12347" s="1245"/>
      <c r="I12347" s="1245"/>
    </row>
    <row r="12348" spans="8:9">
      <c r="H12348" s="1245"/>
      <c r="I12348" s="1245"/>
    </row>
    <row r="12349" spans="8:9">
      <c r="H12349" s="1245"/>
      <c r="I12349" s="1245"/>
    </row>
    <row r="12350" spans="8:9">
      <c r="H12350" s="1245"/>
      <c r="I12350" s="1245"/>
    </row>
    <row r="12351" spans="8:9">
      <c r="H12351" s="1245"/>
      <c r="I12351" s="1245"/>
    </row>
    <row r="12352" spans="8:9">
      <c r="H12352" s="1245"/>
      <c r="I12352" s="1245"/>
    </row>
    <row r="12353" spans="8:9">
      <c r="H12353" s="1245"/>
      <c r="I12353" s="1245"/>
    </row>
    <row r="12354" spans="8:9">
      <c r="H12354" s="1245"/>
      <c r="I12354" s="1245"/>
    </row>
    <row r="12355" spans="8:9">
      <c r="H12355" s="1245"/>
      <c r="I12355" s="1245"/>
    </row>
    <row r="12356" spans="8:9">
      <c r="H12356" s="1245"/>
      <c r="I12356" s="1245"/>
    </row>
    <row r="12357" spans="8:9">
      <c r="H12357" s="1245"/>
      <c r="I12357" s="1245"/>
    </row>
    <row r="12358" spans="8:9">
      <c r="H12358" s="1245"/>
      <c r="I12358" s="1245"/>
    </row>
    <row r="12359" spans="8:9">
      <c r="H12359" s="1245"/>
      <c r="I12359" s="1245"/>
    </row>
    <row r="12360" spans="8:9">
      <c r="H12360" s="1245"/>
      <c r="I12360" s="1245"/>
    </row>
    <row r="12361" spans="8:9">
      <c r="H12361" s="1245"/>
      <c r="I12361" s="1245"/>
    </row>
    <row r="12362" spans="8:9">
      <c r="H12362" s="1245"/>
      <c r="I12362" s="1245"/>
    </row>
    <row r="12363" spans="8:9">
      <c r="H12363" s="1245"/>
      <c r="I12363" s="1245"/>
    </row>
    <row r="12364" spans="8:9">
      <c r="H12364" s="1245"/>
      <c r="I12364" s="1245"/>
    </row>
    <row r="12365" spans="8:9">
      <c r="H12365" s="1245"/>
      <c r="I12365" s="1245"/>
    </row>
    <row r="12366" spans="8:9">
      <c r="H12366" s="1245"/>
      <c r="I12366" s="1245"/>
    </row>
    <row r="12367" spans="8:9">
      <c r="H12367" s="1245"/>
      <c r="I12367" s="1245"/>
    </row>
    <row r="12368" spans="8:9">
      <c r="H12368" s="1245"/>
      <c r="I12368" s="1245"/>
    </row>
    <row r="12369" spans="8:9">
      <c r="H12369" s="1245"/>
      <c r="I12369" s="1245"/>
    </row>
    <row r="12370" spans="8:9">
      <c r="H12370" s="1245"/>
      <c r="I12370" s="1245"/>
    </row>
    <row r="12371" spans="8:9">
      <c r="H12371" s="1245"/>
      <c r="I12371" s="1245"/>
    </row>
    <row r="12372" spans="8:9">
      <c r="H12372" s="1245"/>
      <c r="I12372" s="1245"/>
    </row>
    <row r="12373" spans="8:9">
      <c r="H12373" s="1245"/>
      <c r="I12373" s="1245"/>
    </row>
    <row r="12374" spans="8:9">
      <c r="H12374" s="1245"/>
      <c r="I12374" s="1245"/>
    </row>
    <row r="12375" spans="8:9">
      <c r="H12375" s="1245"/>
      <c r="I12375" s="1245"/>
    </row>
    <row r="12376" spans="8:9">
      <c r="H12376" s="1245"/>
      <c r="I12376" s="1245"/>
    </row>
    <row r="12377" spans="8:9">
      <c r="H12377" s="1245"/>
      <c r="I12377" s="1245"/>
    </row>
    <row r="12378" spans="8:9">
      <c r="H12378" s="1245"/>
      <c r="I12378" s="1245"/>
    </row>
    <row r="12379" spans="8:9">
      <c r="H12379" s="1245"/>
      <c r="I12379" s="1245"/>
    </row>
    <row r="12380" spans="8:9">
      <c r="H12380" s="1245"/>
      <c r="I12380" s="1245"/>
    </row>
    <row r="12381" spans="8:9">
      <c r="H12381" s="1245"/>
      <c r="I12381" s="1245"/>
    </row>
    <row r="12382" spans="8:9">
      <c r="H12382" s="1245"/>
      <c r="I12382" s="1245"/>
    </row>
    <row r="12383" spans="8:9">
      <c r="H12383" s="1245"/>
      <c r="I12383" s="1245"/>
    </row>
    <row r="12384" spans="8:9">
      <c r="H12384" s="1245"/>
      <c r="I12384" s="1245"/>
    </row>
    <row r="12385" spans="8:9">
      <c r="H12385" s="1245"/>
      <c r="I12385" s="1245"/>
    </row>
    <row r="12386" spans="8:9">
      <c r="H12386" s="1245"/>
      <c r="I12386" s="1245"/>
    </row>
    <row r="12387" spans="8:9">
      <c r="H12387" s="1245"/>
      <c r="I12387" s="1245"/>
    </row>
    <row r="12388" spans="8:9">
      <c r="H12388" s="1245"/>
      <c r="I12388" s="1245"/>
    </row>
    <row r="12389" spans="8:9">
      <c r="H12389" s="1245"/>
      <c r="I12389" s="1245"/>
    </row>
    <row r="12390" spans="8:9">
      <c r="H12390" s="1245"/>
      <c r="I12390" s="1245"/>
    </row>
    <row r="12391" spans="8:9">
      <c r="H12391" s="1245"/>
      <c r="I12391" s="1245"/>
    </row>
    <row r="12392" spans="8:9">
      <c r="H12392" s="1245"/>
      <c r="I12392" s="1245"/>
    </row>
    <row r="12393" spans="8:9">
      <c r="H12393" s="1245"/>
      <c r="I12393" s="1245"/>
    </row>
    <row r="12394" spans="8:9">
      <c r="H12394" s="1245"/>
      <c r="I12394" s="1245"/>
    </row>
    <row r="12395" spans="8:9">
      <c r="H12395" s="1245"/>
      <c r="I12395" s="1245"/>
    </row>
    <row r="12396" spans="8:9">
      <c r="H12396" s="1245"/>
      <c r="I12396" s="1245"/>
    </row>
    <row r="12397" spans="8:9">
      <c r="H12397" s="1245"/>
      <c r="I12397" s="1245"/>
    </row>
    <row r="12398" spans="8:9">
      <c r="H12398" s="1245"/>
      <c r="I12398" s="1245"/>
    </row>
    <row r="12399" spans="8:9">
      <c r="H12399" s="1245"/>
      <c r="I12399" s="1245"/>
    </row>
    <row r="12400" spans="8:9">
      <c r="H12400" s="1245"/>
      <c r="I12400" s="1245"/>
    </row>
    <row r="12401" spans="8:9">
      <c r="H12401" s="1245"/>
      <c r="I12401" s="1245"/>
    </row>
    <row r="12402" spans="8:9">
      <c r="H12402" s="1245"/>
      <c r="I12402" s="1245"/>
    </row>
    <row r="12403" spans="8:9">
      <c r="H12403" s="1245"/>
      <c r="I12403" s="1245"/>
    </row>
    <row r="12404" spans="8:9">
      <c r="H12404" s="1245"/>
      <c r="I12404" s="1245"/>
    </row>
    <row r="12405" spans="8:9">
      <c r="H12405" s="1245"/>
      <c r="I12405" s="1245"/>
    </row>
    <row r="12406" spans="8:9">
      <c r="H12406" s="1245"/>
      <c r="I12406" s="1245"/>
    </row>
    <row r="12407" spans="8:9">
      <c r="H12407" s="1245"/>
      <c r="I12407" s="1245"/>
    </row>
    <row r="12408" spans="8:9">
      <c r="H12408" s="1245"/>
      <c r="I12408" s="1245"/>
    </row>
    <row r="12409" spans="8:9">
      <c r="H12409" s="1245"/>
      <c r="I12409" s="1245"/>
    </row>
    <row r="12410" spans="8:9">
      <c r="H12410" s="1245"/>
      <c r="I12410" s="1245"/>
    </row>
    <row r="12411" spans="8:9">
      <c r="H12411" s="1245"/>
      <c r="I12411" s="1245"/>
    </row>
    <row r="12412" spans="8:9">
      <c r="H12412" s="1245"/>
      <c r="I12412" s="1245"/>
    </row>
    <row r="12413" spans="8:9">
      <c r="H12413" s="1245"/>
      <c r="I12413" s="1245"/>
    </row>
    <row r="12414" spans="8:9">
      <c r="H12414" s="1245"/>
      <c r="I12414" s="1245"/>
    </row>
    <row r="12415" spans="8:9">
      <c r="H12415" s="1245"/>
      <c r="I12415" s="1245"/>
    </row>
    <row r="12416" spans="8:9">
      <c r="H12416" s="1245"/>
      <c r="I12416" s="1245"/>
    </row>
    <row r="12417" spans="8:9">
      <c r="H12417" s="1245"/>
      <c r="I12417" s="1245"/>
    </row>
    <row r="12418" spans="8:9">
      <c r="H12418" s="1245"/>
      <c r="I12418" s="1245"/>
    </row>
    <row r="12419" spans="8:9">
      <c r="H12419" s="1245"/>
      <c r="I12419" s="1245"/>
    </row>
    <row r="12420" spans="8:9">
      <c r="H12420" s="1245"/>
      <c r="I12420" s="1245"/>
    </row>
    <row r="12421" spans="8:9">
      <c r="H12421" s="1245"/>
      <c r="I12421" s="1245"/>
    </row>
    <row r="12422" spans="8:9">
      <c r="H12422" s="1245"/>
      <c r="I12422" s="1245"/>
    </row>
    <row r="12423" spans="8:9">
      <c r="H12423" s="1245"/>
      <c r="I12423" s="1245"/>
    </row>
    <row r="12424" spans="8:9">
      <c r="H12424" s="1245"/>
      <c r="I12424" s="1245"/>
    </row>
    <row r="12425" spans="8:9">
      <c r="H12425" s="1245"/>
      <c r="I12425" s="1245"/>
    </row>
    <row r="12426" spans="8:9">
      <c r="H12426" s="1245"/>
      <c r="I12426" s="1245"/>
    </row>
    <row r="12427" spans="8:9">
      <c r="H12427" s="1245"/>
      <c r="I12427" s="1245"/>
    </row>
    <row r="12428" spans="8:9">
      <c r="H12428" s="1245"/>
      <c r="I12428" s="1245"/>
    </row>
    <row r="12429" spans="8:9">
      <c r="H12429" s="1245"/>
      <c r="I12429" s="1245"/>
    </row>
    <row r="12430" spans="8:9">
      <c r="H12430" s="1245"/>
      <c r="I12430" s="1245"/>
    </row>
    <row r="12431" spans="8:9">
      <c r="H12431" s="1245"/>
      <c r="I12431" s="1245"/>
    </row>
    <row r="12432" spans="8:9">
      <c r="H12432" s="1245"/>
      <c r="I12432" s="1245"/>
    </row>
    <row r="12433" spans="8:9">
      <c r="H12433" s="1245"/>
      <c r="I12433" s="1245"/>
    </row>
    <row r="12434" spans="8:9">
      <c r="H12434" s="1245"/>
      <c r="I12434" s="1245"/>
    </row>
    <row r="12435" spans="8:9">
      <c r="H12435" s="1245"/>
      <c r="I12435" s="1245"/>
    </row>
    <row r="12436" spans="8:9">
      <c r="H12436" s="1245"/>
      <c r="I12436" s="1245"/>
    </row>
    <row r="12437" spans="8:9">
      <c r="H12437" s="1245"/>
      <c r="I12437" s="1245"/>
    </row>
    <row r="12438" spans="8:9">
      <c r="H12438" s="1245"/>
      <c r="I12438" s="1245"/>
    </row>
    <row r="12439" spans="8:9">
      <c r="H12439" s="1245"/>
      <c r="I12439" s="1245"/>
    </row>
    <row r="12440" spans="8:9">
      <c r="H12440" s="1245"/>
      <c r="I12440" s="1245"/>
    </row>
    <row r="12441" spans="8:9">
      <c r="H12441" s="1245"/>
      <c r="I12441" s="1245"/>
    </row>
    <row r="12442" spans="8:9">
      <c r="H12442" s="1245"/>
      <c r="I12442" s="1245"/>
    </row>
    <row r="12443" spans="8:9">
      <c r="H12443" s="1245"/>
      <c r="I12443" s="1245"/>
    </row>
    <row r="12444" spans="8:9">
      <c r="H12444" s="1245"/>
      <c r="I12444" s="1245"/>
    </row>
    <row r="12445" spans="8:9">
      <c r="H12445" s="1245"/>
      <c r="I12445" s="1245"/>
    </row>
    <row r="12446" spans="8:9">
      <c r="H12446" s="1245"/>
      <c r="I12446" s="1245"/>
    </row>
    <row r="12447" spans="8:9">
      <c r="H12447" s="1245"/>
      <c r="I12447" s="1245"/>
    </row>
    <row r="12448" spans="8:9">
      <c r="H12448" s="1245"/>
      <c r="I12448" s="1245"/>
    </row>
    <row r="12449" spans="8:9">
      <c r="H12449" s="1245"/>
      <c r="I12449" s="1245"/>
    </row>
    <row r="12450" spans="8:9">
      <c r="H12450" s="1245"/>
      <c r="I12450" s="1245"/>
    </row>
    <row r="12451" spans="8:9">
      <c r="H12451" s="1245"/>
      <c r="I12451" s="1245"/>
    </row>
    <row r="12452" spans="8:9">
      <c r="H12452" s="1245"/>
      <c r="I12452" s="1245"/>
    </row>
    <row r="12453" spans="8:9">
      <c r="H12453" s="1245"/>
      <c r="I12453" s="1245"/>
    </row>
    <row r="12454" spans="8:9">
      <c r="H12454" s="1245"/>
      <c r="I12454" s="1245"/>
    </row>
    <row r="12455" spans="8:9">
      <c r="H12455" s="1245"/>
      <c r="I12455" s="1245"/>
    </row>
    <row r="12456" spans="8:9">
      <c r="H12456" s="1245"/>
      <c r="I12456" s="1245"/>
    </row>
    <row r="12457" spans="8:9">
      <c r="H12457" s="1245"/>
      <c r="I12457" s="1245"/>
    </row>
    <row r="12458" spans="8:9">
      <c r="H12458" s="1245"/>
      <c r="I12458" s="1245"/>
    </row>
    <row r="12459" spans="8:9">
      <c r="H12459" s="1245"/>
      <c r="I12459" s="1245"/>
    </row>
    <row r="12460" spans="8:9">
      <c r="H12460" s="1245"/>
      <c r="I12460" s="1245"/>
    </row>
    <row r="12461" spans="8:9">
      <c r="H12461" s="1245"/>
      <c r="I12461" s="1245"/>
    </row>
    <row r="12462" spans="8:9">
      <c r="H12462" s="1245"/>
      <c r="I12462" s="1245"/>
    </row>
    <row r="12463" spans="8:9">
      <c r="H12463" s="1245"/>
      <c r="I12463" s="1245"/>
    </row>
    <row r="12464" spans="8:9">
      <c r="H12464" s="1245"/>
      <c r="I12464" s="1245"/>
    </row>
    <row r="12465" spans="8:9">
      <c r="H12465" s="1245"/>
      <c r="I12465" s="1245"/>
    </row>
    <row r="12466" spans="8:9">
      <c r="H12466" s="1245"/>
      <c r="I12466" s="1245"/>
    </row>
    <row r="12467" spans="8:9">
      <c r="H12467" s="1245"/>
      <c r="I12467" s="1245"/>
    </row>
    <row r="12468" spans="8:9">
      <c r="H12468" s="1245"/>
      <c r="I12468" s="1245"/>
    </row>
    <row r="12469" spans="8:9">
      <c r="H12469" s="1245"/>
      <c r="I12469" s="1245"/>
    </row>
    <row r="12470" spans="8:9">
      <c r="H12470" s="1245"/>
      <c r="I12470" s="1245"/>
    </row>
    <row r="12471" spans="8:9">
      <c r="H12471" s="1245"/>
      <c r="I12471" s="1245"/>
    </row>
    <row r="12472" spans="8:9">
      <c r="H12472" s="1245"/>
      <c r="I12472" s="1245"/>
    </row>
    <row r="12473" spans="8:9">
      <c r="H12473" s="1245"/>
      <c r="I12473" s="1245"/>
    </row>
    <row r="12474" spans="8:9">
      <c r="H12474" s="1245"/>
      <c r="I12474" s="1245"/>
    </row>
    <row r="12475" spans="8:9">
      <c r="H12475" s="1245"/>
      <c r="I12475" s="1245"/>
    </row>
    <row r="12476" spans="8:9">
      <c r="H12476" s="1245"/>
      <c r="I12476" s="1245"/>
    </row>
    <row r="12477" spans="8:9">
      <c r="H12477" s="1245"/>
      <c r="I12477" s="1245"/>
    </row>
    <row r="12478" spans="8:9">
      <c r="H12478" s="1245"/>
      <c r="I12478" s="1245"/>
    </row>
    <row r="12479" spans="8:9">
      <c r="H12479" s="1245"/>
      <c r="I12479" s="1245"/>
    </row>
    <row r="12480" spans="8:9">
      <c r="H12480" s="1245"/>
      <c r="I12480" s="1245"/>
    </row>
    <row r="12481" spans="8:9">
      <c r="H12481" s="1245"/>
      <c r="I12481" s="1245"/>
    </row>
    <row r="12482" spans="8:9">
      <c r="H12482" s="1245"/>
      <c r="I12482" s="1245"/>
    </row>
    <row r="12483" spans="8:9">
      <c r="H12483" s="1245"/>
      <c r="I12483" s="1245"/>
    </row>
    <row r="12484" spans="8:9">
      <c r="H12484" s="1245"/>
      <c r="I12484" s="1245"/>
    </row>
    <row r="12485" spans="8:9">
      <c r="H12485" s="1245"/>
      <c r="I12485" s="1245"/>
    </row>
    <row r="12486" spans="8:9">
      <c r="H12486" s="1245"/>
      <c r="I12486" s="1245"/>
    </row>
    <row r="12487" spans="8:9">
      <c r="H12487" s="1245"/>
      <c r="I12487" s="1245"/>
    </row>
    <row r="12488" spans="8:9">
      <c r="H12488" s="1245"/>
      <c r="I12488" s="1245"/>
    </row>
    <row r="12489" spans="8:9">
      <c r="H12489" s="1245"/>
      <c r="I12489" s="1245"/>
    </row>
    <row r="12490" spans="8:9">
      <c r="H12490" s="1245"/>
      <c r="I12490" s="1245"/>
    </row>
    <row r="12491" spans="8:9">
      <c r="H12491" s="1245"/>
      <c r="I12491" s="1245"/>
    </row>
    <row r="12492" spans="8:9">
      <c r="H12492" s="1245"/>
      <c r="I12492" s="1245"/>
    </row>
    <row r="12493" spans="8:9">
      <c r="H12493" s="1245"/>
      <c r="I12493" s="1245"/>
    </row>
    <row r="12494" spans="8:9">
      <c r="H12494" s="1245"/>
      <c r="I12494" s="1245"/>
    </row>
    <row r="12495" spans="8:9">
      <c r="H12495" s="1245"/>
      <c r="I12495" s="1245"/>
    </row>
    <row r="12496" spans="8:9">
      <c r="H12496" s="1245"/>
      <c r="I12496" s="1245"/>
    </row>
    <row r="12497" spans="8:9">
      <c r="H12497" s="1245"/>
      <c r="I12497" s="1245"/>
    </row>
    <row r="12498" spans="8:9">
      <c r="H12498" s="1245"/>
      <c r="I12498" s="1245"/>
    </row>
    <row r="12499" spans="8:9">
      <c r="H12499" s="1245"/>
      <c r="I12499" s="1245"/>
    </row>
    <row r="12500" spans="8:9">
      <c r="H12500" s="1245"/>
      <c r="I12500" s="1245"/>
    </row>
    <row r="12501" spans="8:9">
      <c r="H12501" s="1245"/>
      <c r="I12501" s="1245"/>
    </row>
    <row r="12502" spans="8:9">
      <c r="H12502" s="1245"/>
      <c r="I12502" s="1245"/>
    </row>
    <row r="12503" spans="8:9">
      <c r="H12503" s="1245"/>
      <c r="I12503" s="1245"/>
    </row>
    <row r="12504" spans="8:9">
      <c r="H12504" s="1245"/>
      <c r="I12504" s="1245"/>
    </row>
    <row r="12505" spans="8:9">
      <c r="H12505" s="1245"/>
      <c r="I12505" s="1245"/>
    </row>
    <row r="12506" spans="8:9">
      <c r="H12506" s="1245"/>
      <c r="I12506" s="1245"/>
    </row>
    <row r="12507" spans="8:9">
      <c r="H12507" s="1245"/>
      <c r="I12507" s="1245"/>
    </row>
    <row r="12508" spans="8:9">
      <c r="H12508" s="1245"/>
      <c r="I12508" s="1245"/>
    </row>
    <row r="12509" spans="8:9">
      <c r="H12509" s="1245"/>
      <c r="I12509" s="1245"/>
    </row>
    <row r="12510" spans="8:9">
      <c r="H12510" s="1245"/>
      <c r="I12510" s="1245"/>
    </row>
    <row r="12511" spans="8:9">
      <c r="H12511" s="1245"/>
      <c r="I12511" s="1245"/>
    </row>
    <row r="12512" spans="8:9">
      <c r="H12512" s="1245"/>
      <c r="I12512" s="1245"/>
    </row>
    <row r="12513" spans="8:9">
      <c r="H12513" s="1245"/>
      <c r="I12513" s="1245"/>
    </row>
    <row r="12514" spans="8:9">
      <c r="H12514" s="1245"/>
      <c r="I12514" s="1245"/>
    </row>
    <row r="12515" spans="8:9">
      <c r="H12515" s="1245"/>
      <c r="I12515" s="1245"/>
    </row>
    <row r="12516" spans="8:9">
      <c r="H12516" s="1245"/>
      <c r="I12516" s="1245"/>
    </row>
    <row r="12517" spans="8:9">
      <c r="H12517" s="1245"/>
      <c r="I12517" s="1245"/>
    </row>
    <row r="12518" spans="8:9">
      <c r="H12518" s="1245"/>
      <c r="I12518" s="1245"/>
    </row>
    <row r="12519" spans="8:9">
      <c r="H12519" s="1245"/>
      <c r="I12519" s="1245"/>
    </row>
    <row r="12520" spans="8:9">
      <c r="H12520" s="1245"/>
      <c r="I12520" s="1245"/>
    </row>
    <row r="12521" spans="8:9">
      <c r="H12521" s="1245"/>
      <c r="I12521" s="1245"/>
    </row>
    <row r="12522" spans="8:9">
      <c r="H12522" s="1245"/>
      <c r="I12522" s="1245"/>
    </row>
    <row r="12523" spans="8:9">
      <c r="H12523" s="1245"/>
      <c r="I12523" s="1245"/>
    </row>
    <row r="12524" spans="8:9">
      <c r="H12524" s="1245"/>
      <c r="I12524" s="1245"/>
    </row>
    <row r="12525" spans="8:9">
      <c r="H12525" s="1245"/>
      <c r="I12525" s="1245"/>
    </row>
    <row r="12526" spans="8:9">
      <c r="H12526" s="1245"/>
      <c r="I12526" s="1245"/>
    </row>
    <row r="12527" spans="8:9">
      <c r="H12527" s="1245"/>
      <c r="I12527" s="1245"/>
    </row>
    <row r="12528" spans="8:9">
      <c r="H12528" s="1245"/>
      <c r="I12528" s="1245"/>
    </row>
    <row r="12529" spans="8:9">
      <c r="H12529" s="1245"/>
      <c r="I12529" s="1245"/>
    </row>
    <row r="12530" spans="8:9">
      <c r="H12530" s="1245"/>
      <c r="I12530" s="1245"/>
    </row>
    <row r="12531" spans="8:9">
      <c r="H12531" s="1245"/>
      <c r="I12531" s="1245"/>
    </row>
    <row r="12532" spans="8:9">
      <c r="H12532" s="1245"/>
      <c r="I12532" s="1245"/>
    </row>
    <row r="12533" spans="8:9">
      <c r="H12533" s="1245"/>
      <c r="I12533" s="1245"/>
    </row>
    <row r="12534" spans="8:9">
      <c r="H12534" s="1245"/>
      <c r="I12534" s="1245"/>
    </row>
    <row r="12535" spans="8:9">
      <c r="H12535" s="1245"/>
      <c r="I12535" s="1245"/>
    </row>
    <row r="12536" spans="8:9">
      <c r="H12536" s="1245"/>
      <c r="I12536" s="1245"/>
    </row>
    <row r="12537" spans="8:9">
      <c r="H12537" s="1245"/>
      <c r="I12537" s="1245"/>
    </row>
    <row r="12538" spans="8:9">
      <c r="H12538" s="1245"/>
      <c r="I12538" s="1245"/>
    </row>
    <row r="12539" spans="8:9">
      <c r="H12539" s="1245"/>
      <c r="I12539" s="1245"/>
    </row>
    <row r="12540" spans="8:9">
      <c r="H12540" s="1245"/>
      <c r="I12540" s="1245"/>
    </row>
    <row r="12541" spans="8:9">
      <c r="H12541" s="1245"/>
      <c r="I12541" s="1245"/>
    </row>
    <row r="12542" spans="8:9">
      <c r="H12542" s="1245"/>
      <c r="I12542" s="1245"/>
    </row>
    <row r="12543" spans="8:9">
      <c r="H12543" s="1245"/>
      <c r="I12543" s="1245"/>
    </row>
    <row r="12544" spans="8:9">
      <c r="H12544" s="1245"/>
      <c r="I12544" s="1245"/>
    </row>
    <row r="12545" spans="8:9">
      <c r="H12545" s="1245"/>
      <c r="I12545" s="1245"/>
    </row>
    <row r="12546" spans="8:9">
      <c r="H12546" s="1245"/>
      <c r="I12546" s="1245"/>
    </row>
    <row r="12547" spans="8:9">
      <c r="H12547" s="1245"/>
      <c r="I12547" s="1245"/>
    </row>
    <row r="12548" spans="8:9">
      <c r="H12548" s="1245"/>
      <c r="I12548" s="1245"/>
    </row>
    <row r="12549" spans="8:9">
      <c r="H12549" s="1245"/>
      <c r="I12549" s="1245"/>
    </row>
    <row r="12550" spans="8:9">
      <c r="H12550" s="1245"/>
      <c r="I12550" s="1245"/>
    </row>
    <row r="12551" spans="8:9">
      <c r="H12551" s="1245"/>
      <c r="I12551" s="1245"/>
    </row>
    <row r="12552" spans="8:9">
      <c r="H12552" s="1245"/>
      <c r="I12552" s="1245"/>
    </row>
    <row r="12553" spans="8:9">
      <c r="H12553" s="1245"/>
      <c r="I12553" s="1245"/>
    </row>
    <row r="12554" spans="8:9">
      <c r="H12554" s="1245"/>
      <c r="I12554" s="1245"/>
    </row>
    <row r="12555" spans="8:9">
      <c r="H12555" s="1245"/>
      <c r="I12555" s="1245"/>
    </row>
    <row r="12556" spans="8:9">
      <c r="H12556" s="1245"/>
      <c r="I12556" s="1245"/>
    </row>
    <row r="12557" spans="8:9">
      <c r="H12557" s="1245"/>
      <c r="I12557" s="1245"/>
    </row>
    <row r="12558" spans="8:9">
      <c r="H12558" s="1245"/>
      <c r="I12558" s="1245"/>
    </row>
    <row r="12559" spans="8:9">
      <c r="H12559" s="1245"/>
      <c r="I12559" s="1245"/>
    </row>
    <row r="12560" spans="8:9">
      <c r="H12560" s="1245"/>
      <c r="I12560" s="1245"/>
    </row>
    <row r="12561" spans="8:9">
      <c r="H12561" s="1245"/>
      <c r="I12561" s="1245"/>
    </row>
    <row r="12562" spans="8:9">
      <c r="H12562" s="1245"/>
      <c r="I12562" s="1245"/>
    </row>
    <row r="12563" spans="8:9">
      <c r="H12563" s="1245"/>
      <c r="I12563" s="1245"/>
    </row>
    <row r="12564" spans="8:9">
      <c r="H12564" s="1245"/>
      <c r="I12564" s="1245"/>
    </row>
    <row r="12565" spans="8:9">
      <c r="H12565" s="1245"/>
      <c r="I12565" s="1245"/>
    </row>
    <row r="12566" spans="8:9">
      <c r="H12566" s="1245"/>
      <c r="I12566" s="1245"/>
    </row>
    <row r="12567" spans="8:9">
      <c r="H12567" s="1245"/>
      <c r="I12567" s="1245"/>
    </row>
    <row r="12568" spans="8:9">
      <c r="H12568" s="1245"/>
      <c r="I12568" s="1245"/>
    </row>
    <row r="12569" spans="8:9">
      <c r="H12569" s="1245"/>
      <c r="I12569" s="1245"/>
    </row>
    <row r="12570" spans="8:9">
      <c r="H12570" s="1245"/>
      <c r="I12570" s="1245"/>
    </row>
    <row r="12571" spans="8:9">
      <c r="H12571" s="1245"/>
      <c r="I12571" s="1245"/>
    </row>
    <row r="12572" spans="8:9">
      <c r="H12572" s="1245"/>
      <c r="I12572" s="1245"/>
    </row>
    <row r="12573" spans="8:9">
      <c r="H12573" s="1245"/>
      <c r="I12573" s="1245"/>
    </row>
    <row r="12574" spans="8:9">
      <c r="H12574" s="1245"/>
      <c r="I12574" s="1245"/>
    </row>
    <row r="12575" spans="8:9">
      <c r="H12575" s="1245"/>
      <c r="I12575" s="1245"/>
    </row>
    <row r="12576" spans="8:9">
      <c r="H12576" s="1245"/>
      <c r="I12576" s="1245"/>
    </row>
    <row r="12577" spans="8:9">
      <c r="H12577" s="1245"/>
      <c r="I12577" s="1245"/>
    </row>
    <row r="12578" spans="8:9">
      <c r="H12578" s="1245"/>
      <c r="I12578" s="1245"/>
    </row>
    <row r="12579" spans="8:9">
      <c r="H12579" s="1245"/>
      <c r="I12579" s="1245"/>
    </row>
    <row r="12580" spans="8:9">
      <c r="H12580" s="1245"/>
      <c r="I12580" s="1245"/>
    </row>
    <row r="12581" spans="8:9">
      <c r="H12581" s="1245"/>
      <c r="I12581" s="1245"/>
    </row>
    <row r="12582" spans="8:9">
      <c r="H12582" s="1245"/>
      <c r="I12582" s="1245"/>
    </row>
    <row r="12583" spans="8:9">
      <c r="H12583" s="1245"/>
      <c r="I12583" s="1245"/>
    </row>
    <row r="12584" spans="8:9">
      <c r="H12584" s="1245"/>
      <c r="I12584" s="1245"/>
    </row>
    <row r="12585" spans="8:9">
      <c r="H12585" s="1245"/>
      <c r="I12585" s="1245"/>
    </row>
    <row r="12586" spans="8:9">
      <c r="H12586" s="1245"/>
      <c r="I12586" s="1245"/>
    </row>
    <row r="12587" spans="8:9">
      <c r="H12587" s="1245"/>
      <c r="I12587" s="1245"/>
    </row>
    <row r="12588" spans="8:9">
      <c r="H12588" s="1245"/>
      <c r="I12588" s="1245"/>
    </row>
    <row r="12589" spans="8:9">
      <c r="H12589" s="1245"/>
      <c r="I12589" s="1245"/>
    </row>
    <row r="12590" spans="8:9">
      <c r="H12590" s="1245"/>
      <c r="I12590" s="1245"/>
    </row>
    <row r="12591" spans="8:9">
      <c r="H12591" s="1245"/>
      <c r="I12591" s="1245"/>
    </row>
    <row r="12592" spans="8:9">
      <c r="H12592" s="1245"/>
      <c r="I12592" s="1245"/>
    </row>
    <row r="12593" spans="8:9">
      <c r="H12593" s="1245"/>
      <c r="I12593" s="1245"/>
    </row>
    <row r="12594" spans="8:9">
      <c r="H12594" s="1245"/>
      <c r="I12594" s="1245"/>
    </row>
    <row r="12595" spans="8:9">
      <c r="H12595" s="1245"/>
      <c r="I12595" s="1245"/>
    </row>
    <row r="12596" spans="8:9">
      <c r="H12596" s="1245"/>
      <c r="I12596" s="1245"/>
    </row>
    <row r="12597" spans="8:9">
      <c r="H12597" s="1245"/>
      <c r="I12597" s="1245"/>
    </row>
    <row r="12598" spans="8:9">
      <c r="H12598" s="1245"/>
      <c r="I12598" s="1245"/>
    </row>
    <row r="12599" spans="8:9">
      <c r="H12599" s="1245"/>
      <c r="I12599" s="1245"/>
    </row>
    <row r="12600" spans="8:9">
      <c r="H12600" s="1245"/>
      <c r="I12600" s="1245"/>
    </row>
    <row r="12601" spans="8:9">
      <c r="H12601" s="1245"/>
      <c r="I12601" s="1245"/>
    </row>
    <row r="12602" spans="8:9">
      <c r="H12602" s="1245"/>
      <c r="I12602" s="1245"/>
    </row>
    <row r="12603" spans="8:9">
      <c r="H12603" s="1245"/>
      <c r="I12603" s="1245"/>
    </row>
    <row r="12604" spans="8:9">
      <c r="H12604" s="1245"/>
      <c r="I12604" s="1245"/>
    </row>
    <row r="12605" spans="8:9">
      <c r="H12605" s="1245"/>
      <c r="I12605" s="1245"/>
    </row>
    <row r="12606" spans="8:9">
      <c r="H12606" s="1245"/>
      <c r="I12606" s="1245"/>
    </row>
    <row r="12607" spans="8:9">
      <c r="H12607" s="1245"/>
      <c r="I12607" s="1245"/>
    </row>
    <row r="12608" spans="8:9">
      <c r="H12608" s="1245"/>
      <c r="I12608" s="1245"/>
    </row>
    <row r="12609" spans="8:9">
      <c r="H12609" s="1245"/>
      <c r="I12609" s="1245"/>
    </row>
    <row r="12610" spans="8:9">
      <c r="H12610" s="1245"/>
      <c r="I12610" s="1245"/>
    </row>
    <row r="12611" spans="8:9">
      <c r="H12611" s="1245"/>
      <c r="I12611" s="1245"/>
    </row>
    <row r="12612" spans="8:9">
      <c r="H12612" s="1245"/>
      <c r="I12612" s="1245"/>
    </row>
    <row r="12613" spans="8:9">
      <c r="H12613" s="1245"/>
      <c r="I12613" s="1245"/>
    </row>
    <row r="12614" spans="8:9">
      <c r="H12614" s="1245"/>
      <c r="I12614" s="1245"/>
    </row>
    <row r="12615" spans="8:9">
      <c r="H12615" s="1245"/>
      <c r="I12615" s="1245"/>
    </row>
    <row r="12616" spans="8:9">
      <c r="H12616" s="1245"/>
      <c r="I12616" s="1245"/>
    </row>
    <row r="12617" spans="8:9">
      <c r="H12617" s="1245"/>
      <c r="I12617" s="1245"/>
    </row>
    <row r="12618" spans="8:9">
      <c r="H12618" s="1245"/>
      <c r="I12618" s="1245"/>
    </row>
    <row r="12619" spans="8:9">
      <c r="H12619" s="1245"/>
      <c r="I12619" s="1245"/>
    </row>
    <row r="12620" spans="8:9">
      <c r="H12620" s="1245"/>
      <c r="I12620" s="1245"/>
    </row>
    <row r="12621" spans="8:9">
      <c r="H12621" s="1245"/>
      <c r="I12621" s="1245"/>
    </row>
    <row r="12622" spans="8:9">
      <c r="H12622" s="1245"/>
      <c r="I12622" s="1245"/>
    </row>
    <row r="12623" spans="8:9">
      <c r="H12623" s="1245"/>
      <c r="I12623" s="1245"/>
    </row>
    <row r="12624" spans="8:9">
      <c r="H12624" s="1245"/>
      <c r="I12624" s="1245"/>
    </row>
    <row r="12625" spans="8:9">
      <c r="H12625" s="1245"/>
      <c r="I12625" s="1245"/>
    </row>
    <row r="12626" spans="8:9">
      <c r="H12626" s="1245"/>
      <c r="I12626" s="1245"/>
    </row>
    <row r="12627" spans="8:9">
      <c r="H12627" s="1245"/>
      <c r="I12627" s="1245"/>
    </row>
    <row r="12628" spans="8:9">
      <c r="H12628" s="1245"/>
      <c r="I12628" s="1245"/>
    </row>
    <row r="12629" spans="8:9">
      <c r="H12629" s="1245"/>
      <c r="I12629" s="1245"/>
    </row>
    <row r="12630" spans="8:9">
      <c r="H12630" s="1245"/>
      <c r="I12630" s="1245"/>
    </row>
    <row r="12631" spans="8:9">
      <c r="H12631" s="1245"/>
      <c r="I12631" s="1245"/>
    </row>
    <row r="12632" spans="8:9">
      <c r="H12632" s="1245"/>
      <c r="I12632" s="1245"/>
    </row>
    <row r="12633" spans="8:9">
      <c r="H12633" s="1245"/>
      <c r="I12633" s="1245"/>
    </row>
    <row r="12634" spans="8:9">
      <c r="H12634" s="1245"/>
      <c r="I12634" s="1245"/>
    </row>
    <row r="12635" spans="8:9">
      <c r="H12635" s="1245"/>
      <c r="I12635" s="1245"/>
    </row>
    <row r="12636" spans="8:9">
      <c r="H12636" s="1245"/>
      <c r="I12636" s="1245"/>
    </row>
    <row r="12637" spans="8:9">
      <c r="H12637" s="1245"/>
      <c r="I12637" s="1245"/>
    </row>
    <row r="12638" spans="8:9">
      <c r="H12638" s="1245"/>
      <c r="I12638" s="1245"/>
    </row>
    <row r="12639" spans="8:9">
      <c r="H12639" s="1245"/>
      <c r="I12639" s="1245"/>
    </row>
    <row r="12640" spans="8:9">
      <c r="H12640" s="1245"/>
      <c r="I12640" s="1245"/>
    </row>
    <row r="12641" spans="8:9">
      <c r="H12641" s="1245"/>
      <c r="I12641" s="1245"/>
    </row>
    <row r="12642" spans="8:9">
      <c r="H12642" s="1245"/>
      <c r="I12642" s="1245"/>
    </row>
    <row r="12643" spans="8:9">
      <c r="H12643" s="1245"/>
      <c r="I12643" s="1245"/>
    </row>
    <row r="12644" spans="8:9">
      <c r="H12644" s="1245"/>
      <c r="I12644" s="1245"/>
    </row>
    <row r="12645" spans="8:9">
      <c r="H12645" s="1245"/>
      <c r="I12645" s="1245"/>
    </row>
    <row r="12646" spans="8:9">
      <c r="H12646" s="1245"/>
      <c r="I12646" s="1245"/>
    </row>
    <row r="12647" spans="8:9">
      <c r="H12647" s="1245"/>
      <c r="I12647" s="1245"/>
    </row>
    <row r="12648" spans="8:9">
      <c r="H12648" s="1245"/>
      <c r="I12648" s="1245"/>
    </row>
    <row r="12649" spans="8:9">
      <c r="H12649" s="1245"/>
      <c r="I12649" s="1245"/>
    </row>
    <row r="12650" spans="8:9">
      <c r="H12650" s="1245"/>
      <c r="I12650" s="1245"/>
    </row>
    <row r="12651" spans="8:9">
      <c r="H12651" s="1245"/>
      <c r="I12651" s="1245"/>
    </row>
    <row r="12652" spans="8:9">
      <c r="H12652" s="1245"/>
      <c r="I12652" s="1245"/>
    </row>
    <row r="12653" spans="8:9">
      <c r="H12653" s="1245"/>
      <c r="I12653" s="1245"/>
    </row>
    <row r="12654" spans="8:9">
      <c r="H12654" s="1245"/>
      <c r="I12654" s="1245"/>
    </row>
    <row r="12655" spans="8:9">
      <c r="H12655" s="1245"/>
      <c r="I12655" s="1245"/>
    </row>
    <row r="12656" spans="8:9">
      <c r="H12656" s="1245"/>
      <c r="I12656" s="1245"/>
    </row>
    <row r="12657" spans="8:9">
      <c r="H12657" s="1245"/>
      <c r="I12657" s="1245"/>
    </row>
    <row r="12658" spans="8:9">
      <c r="H12658" s="1245"/>
      <c r="I12658" s="1245"/>
    </row>
    <row r="12659" spans="8:9">
      <c r="H12659" s="1245"/>
      <c r="I12659" s="1245"/>
    </row>
    <row r="12660" spans="8:9">
      <c r="H12660" s="1245"/>
      <c r="I12660" s="1245"/>
    </row>
    <row r="12661" spans="8:9">
      <c r="H12661" s="1245"/>
      <c r="I12661" s="1245"/>
    </row>
    <row r="12662" spans="8:9">
      <c r="H12662" s="1245"/>
      <c r="I12662" s="1245"/>
    </row>
    <row r="12663" spans="8:9">
      <c r="H12663" s="1245"/>
      <c r="I12663" s="1245"/>
    </row>
    <row r="12664" spans="8:9">
      <c r="H12664" s="1245"/>
      <c r="I12664" s="1245"/>
    </row>
    <row r="12665" spans="8:9">
      <c r="H12665" s="1245"/>
      <c r="I12665" s="1245"/>
    </row>
    <row r="12666" spans="8:9">
      <c r="H12666" s="1245"/>
      <c r="I12666" s="1245"/>
    </row>
    <row r="12667" spans="8:9">
      <c r="H12667" s="1245"/>
      <c r="I12667" s="1245"/>
    </row>
    <row r="12668" spans="8:9">
      <c r="H12668" s="1245"/>
      <c r="I12668" s="1245"/>
    </row>
    <row r="12669" spans="8:9">
      <c r="H12669" s="1245"/>
      <c r="I12669" s="1245"/>
    </row>
    <row r="12670" spans="8:9">
      <c r="H12670" s="1245"/>
      <c r="I12670" s="1245"/>
    </row>
    <row r="12671" spans="8:9">
      <c r="H12671" s="1245"/>
      <c r="I12671" s="1245"/>
    </row>
    <row r="12672" spans="8:9">
      <c r="H12672" s="1245"/>
      <c r="I12672" s="1245"/>
    </row>
    <row r="12673" spans="8:9">
      <c r="H12673" s="1245"/>
      <c r="I12673" s="1245"/>
    </row>
    <row r="12674" spans="8:9">
      <c r="H12674" s="1245"/>
      <c r="I12674" s="1245"/>
    </row>
    <row r="12675" spans="8:9">
      <c r="H12675" s="1245"/>
      <c r="I12675" s="1245"/>
    </row>
    <row r="12676" spans="8:9">
      <c r="H12676" s="1245"/>
      <c r="I12676" s="1245"/>
    </row>
    <row r="12677" spans="8:9">
      <c r="H12677" s="1245"/>
      <c r="I12677" s="1245"/>
    </row>
    <row r="12678" spans="8:9">
      <c r="H12678" s="1245"/>
      <c r="I12678" s="1245"/>
    </row>
    <row r="12679" spans="8:9">
      <c r="H12679" s="1245"/>
      <c r="I12679" s="1245"/>
    </row>
    <row r="12680" spans="8:9">
      <c r="H12680" s="1245"/>
      <c r="I12680" s="1245"/>
    </row>
    <row r="12681" spans="8:9">
      <c r="H12681" s="1245"/>
      <c r="I12681" s="1245"/>
    </row>
    <row r="12682" spans="8:9">
      <c r="H12682" s="1245"/>
      <c r="I12682" s="1245"/>
    </row>
    <row r="12683" spans="8:9">
      <c r="H12683" s="1245"/>
      <c r="I12683" s="1245"/>
    </row>
    <row r="12684" spans="8:9">
      <c r="H12684" s="1245"/>
      <c r="I12684" s="1245"/>
    </row>
    <row r="12685" spans="8:9">
      <c r="H12685" s="1245"/>
      <c r="I12685" s="1245"/>
    </row>
    <row r="12686" spans="8:9">
      <c r="H12686" s="1245"/>
      <c r="I12686" s="1245"/>
    </row>
    <row r="12687" spans="8:9">
      <c r="H12687" s="1245"/>
      <c r="I12687" s="1245"/>
    </row>
    <row r="12688" spans="8:9">
      <c r="H12688" s="1245"/>
      <c r="I12688" s="1245"/>
    </row>
    <row r="12689" spans="8:9">
      <c r="H12689" s="1245"/>
      <c r="I12689" s="1245"/>
    </row>
    <row r="12690" spans="8:9">
      <c r="H12690" s="1245"/>
      <c r="I12690" s="1245"/>
    </row>
    <row r="12691" spans="8:9">
      <c r="H12691" s="1245"/>
      <c r="I12691" s="1245"/>
    </row>
    <row r="12692" spans="8:9">
      <c r="H12692" s="1245"/>
      <c r="I12692" s="1245"/>
    </row>
    <row r="12693" spans="8:9">
      <c r="H12693" s="1245"/>
      <c r="I12693" s="1245"/>
    </row>
    <row r="12694" spans="8:9">
      <c r="H12694" s="1245"/>
      <c r="I12694" s="1245"/>
    </row>
    <row r="12695" spans="8:9">
      <c r="H12695" s="1245"/>
      <c r="I12695" s="1245"/>
    </row>
    <row r="12696" spans="8:9">
      <c r="H12696" s="1245"/>
      <c r="I12696" s="1245"/>
    </row>
    <row r="12697" spans="8:9">
      <c r="H12697" s="1245"/>
      <c r="I12697" s="1245"/>
    </row>
    <row r="12698" spans="8:9">
      <c r="H12698" s="1245"/>
      <c r="I12698" s="1245"/>
    </row>
    <row r="12699" spans="8:9">
      <c r="H12699" s="1245"/>
      <c r="I12699" s="1245"/>
    </row>
    <row r="12700" spans="8:9">
      <c r="H12700" s="1245"/>
      <c r="I12700" s="1245"/>
    </row>
    <row r="12701" spans="8:9">
      <c r="H12701" s="1245"/>
      <c r="I12701" s="1245"/>
    </row>
    <row r="12702" spans="8:9">
      <c r="H12702" s="1245"/>
      <c r="I12702" s="1245"/>
    </row>
    <row r="12703" spans="8:9">
      <c r="H12703" s="1245"/>
      <c r="I12703" s="1245"/>
    </row>
    <row r="12704" spans="8:9">
      <c r="H12704" s="1245"/>
      <c r="I12704" s="1245"/>
    </row>
    <row r="12705" spans="8:9">
      <c r="H12705" s="1245"/>
      <c r="I12705" s="1245"/>
    </row>
    <row r="12706" spans="8:9">
      <c r="H12706" s="1245"/>
      <c r="I12706" s="1245"/>
    </row>
    <row r="12707" spans="8:9">
      <c r="H12707" s="1245"/>
      <c r="I12707" s="1245"/>
    </row>
    <row r="12708" spans="8:9">
      <c r="H12708" s="1245"/>
      <c r="I12708" s="1245"/>
    </row>
    <row r="12709" spans="8:9">
      <c r="H12709" s="1245"/>
      <c r="I12709" s="1245"/>
    </row>
    <row r="12710" spans="8:9">
      <c r="H12710" s="1245"/>
      <c r="I12710" s="1245"/>
    </row>
    <row r="12711" spans="8:9">
      <c r="H12711" s="1245"/>
      <c r="I12711" s="1245"/>
    </row>
    <row r="12712" spans="8:9">
      <c r="H12712" s="1245"/>
      <c r="I12712" s="1245"/>
    </row>
    <row r="12713" spans="8:9">
      <c r="H12713" s="1245"/>
      <c r="I12713" s="1245"/>
    </row>
    <row r="12714" spans="8:9">
      <c r="H12714" s="1245"/>
      <c r="I12714" s="1245"/>
    </row>
    <row r="12715" spans="8:9">
      <c r="H12715" s="1245"/>
      <c r="I12715" s="1245"/>
    </row>
    <row r="12716" spans="8:9">
      <c r="H12716" s="1245"/>
      <c r="I12716" s="1245"/>
    </row>
    <row r="12717" spans="8:9">
      <c r="H12717" s="1245"/>
      <c r="I12717" s="1245"/>
    </row>
    <row r="12718" spans="8:9">
      <c r="H12718" s="1245"/>
      <c r="I12718" s="1245"/>
    </row>
    <row r="12719" spans="8:9">
      <c r="H12719" s="1245"/>
      <c r="I12719" s="1245"/>
    </row>
    <row r="12720" spans="8:9">
      <c r="H12720" s="1245"/>
      <c r="I12720" s="1245"/>
    </row>
    <row r="12721" spans="8:9">
      <c r="H12721" s="1245"/>
      <c r="I12721" s="1245"/>
    </row>
    <row r="12722" spans="8:9">
      <c r="H12722" s="1245"/>
      <c r="I12722" s="1245"/>
    </row>
    <row r="12723" spans="8:9">
      <c r="H12723" s="1245"/>
      <c r="I12723" s="1245"/>
    </row>
    <row r="12724" spans="8:9">
      <c r="H12724" s="1245"/>
      <c r="I12724" s="1245"/>
    </row>
    <row r="12725" spans="8:9">
      <c r="H12725" s="1245"/>
      <c r="I12725" s="1245"/>
    </row>
    <row r="12726" spans="8:9">
      <c r="H12726" s="1245"/>
      <c r="I12726" s="1245"/>
    </row>
    <row r="12727" spans="8:9">
      <c r="H12727" s="1245"/>
      <c r="I12727" s="1245"/>
    </row>
    <row r="12728" spans="8:9">
      <c r="H12728" s="1245"/>
      <c r="I12728" s="1245"/>
    </row>
    <row r="12729" spans="8:9">
      <c r="H12729" s="1245"/>
      <c r="I12729" s="1245"/>
    </row>
    <row r="12730" spans="8:9">
      <c r="H12730" s="1245"/>
      <c r="I12730" s="1245"/>
    </row>
    <row r="12731" spans="8:9">
      <c r="H12731" s="1245"/>
      <c r="I12731" s="1245"/>
    </row>
    <row r="12732" spans="8:9">
      <c r="H12732" s="1245"/>
      <c r="I12732" s="1245"/>
    </row>
    <row r="12733" spans="8:9">
      <c r="H12733" s="1245"/>
      <c r="I12733" s="1245"/>
    </row>
    <row r="12734" spans="8:9">
      <c r="H12734" s="1245"/>
      <c r="I12734" s="1245"/>
    </row>
    <row r="12735" spans="8:9">
      <c r="H12735" s="1245"/>
      <c r="I12735" s="1245"/>
    </row>
    <row r="12736" spans="8:9">
      <c r="H12736" s="1245"/>
      <c r="I12736" s="1245"/>
    </row>
    <row r="12737" spans="8:9">
      <c r="H12737" s="1245"/>
      <c r="I12737" s="1245"/>
    </row>
    <row r="12738" spans="8:9">
      <c r="H12738" s="1245"/>
      <c r="I12738" s="1245"/>
    </row>
    <row r="12739" spans="8:9">
      <c r="H12739" s="1245"/>
      <c r="I12739" s="1245"/>
    </row>
    <row r="12740" spans="8:9">
      <c r="H12740" s="1245"/>
      <c r="I12740" s="1245"/>
    </row>
    <row r="12741" spans="8:9">
      <c r="H12741" s="1245"/>
      <c r="I12741" s="1245"/>
    </row>
    <row r="12742" spans="8:9">
      <c r="H12742" s="1245"/>
      <c r="I12742" s="1245"/>
    </row>
    <row r="12743" spans="8:9">
      <c r="H12743" s="1245"/>
      <c r="I12743" s="1245"/>
    </row>
    <row r="12744" spans="8:9">
      <c r="H12744" s="1245"/>
      <c r="I12744" s="1245"/>
    </row>
    <row r="12745" spans="8:9">
      <c r="H12745" s="1245"/>
      <c r="I12745" s="1245"/>
    </row>
    <row r="12746" spans="8:9">
      <c r="H12746" s="1245"/>
      <c r="I12746" s="1245"/>
    </row>
    <row r="12747" spans="8:9">
      <c r="H12747" s="1245"/>
      <c r="I12747" s="1245"/>
    </row>
    <row r="12748" spans="8:9">
      <c r="H12748" s="1245"/>
      <c r="I12748" s="1245"/>
    </row>
    <row r="12749" spans="8:9">
      <c r="H12749" s="1245"/>
      <c r="I12749" s="1245"/>
    </row>
    <row r="12750" spans="8:9">
      <c r="H12750" s="1245"/>
      <c r="I12750" s="1245"/>
    </row>
    <row r="12751" spans="8:9">
      <c r="H12751" s="1245"/>
      <c r="I12751" s="1245"/>
    </row>
    <row r="12752" spans="8:9">
      <c r="H12752" s="1245"/>
      <c r="I12752" s="1245"/>
    </row>
    <row r="12753" spans="8:9">
      <c r="H12753" s="1245"/>
      <c r="I12753" s="1245"/>
    </row>
    <row r="12754" spans="8:9">
      <c r="H12754" s="1245"/>
      <c r="I12754" s="1245"/>
    </row>
    <row r="12755" spans="8:9">
      <c r="H12755" s="1245"/>
      <c r="I12755" s="1245"/>
    </row>
    <row r="12756" spans="8:9">
      <c r="H12756" s="1245"/>
      <c r="I12756" s="1245"/>
    </row>
    <row r="12757" spans="8:9">
      <c r="H12757" s="1245"/>
      <c r="I12757" s="1245"/>
    </row>
    <row r="12758" spans="8:9">
      <c r="H12758" s="1245"/>
      <c r="I12758" s="1245"/>
    </row>
    <row r="12759" spans="8:9">
      <c r="H12759" s="1245"/>
      <c r="I12759" s="1245"/>
    </row>
    <row r="12760" spans="8:9">
      <c r="H12760" s="1245"/>
      <c r="I12760" s="1245"/>
    </row>
    <row r="12761" spans="8:9">
      <c r="H12761" s="1245"/>
      <c r="I12761" s="1245"/>
    </row>
    <row r="12762" spans="8:9">
      <c r="H12762" s="1245"/>
      <c r="I12762" s="1245"/>
    </row>
    <row r="12763" spans="8:9">
      <c r="H12763" s="1245"/>
      <c r="I12763" s="1245"/>
    </row>
    <row r="12764" spans="8:9">
      <c r="H12764" s="1245"/>
      <c r="I12764" s="1245"/>
    </row>
    <row r="12765" spans="8:9">
      <c r="H12765" s="1245"/>
      <c r="I12765" s="1245"/>
    </row>
    <row r="12766" spans="8:9">
      <c r="H12766" s="1245"/>
      <c r="I12766" s="1245"/>
    </row>
    <row r="12767" spans="8:9">
      <c r="H12767" s="1245"/>
      <c r="I12767" s="1245"/>
    </row>
    <row r="12768" spans="8:9">
      <c r="H12768" s="1245"/>
      <c r="I12768" s="1245"/>
    </row>
    <row r="12769" spans="8:9">
      <c r="H12769" s="1245"/>
      <c r="I12769" s="1245"/>
    </row>
    <row r="12770" spans="8:9">
      <c r="H12770" s="1245"/>
      <c r="I12770" s="1245"/>
    </row>
    <row r="12771" spans="8:9">
      <c r="H12771" s="1245"/>
      <c r="I12771" s="1245"/>
    </row>
    <row r="12772" spans="8:9">
      <c r="H12772" s="1245"/>
      <c r="I12772" s="1245"/>
    </row>
    <row r="12773" spans="8:9">
      <c r="H12773" s="1245"/>
      <c r="I12773" s="1245"/>
    </row>
    <row r="12774" spans="8:9">
      <c r="H12774" s="1245"/>
      <c r="I12774" s="1245"/>
    </row>
    <row r="12775" spans="8:9">
      <c r="H12775" s="1245"/>
      <c r="I12775" s="1245"/>
    </row>
    <row r="12776" spans="8:9">
      <c r="H12776" s="1245"/>
      <c r="I12776" s="1245"/>
    </row>
    <row r="12777" spans="8:9">
      <c r="H12777" s="1245"/>
      <c r="I12777" s="1245"/>
    </row>
    <row r="12778" spans="8:9">
      <c r="H12778" s="1245"/>
      <c r="I12778" s="1245"/>
    </row>
    <row r="12779" spans="8:9">
      <c r="H12779" s="1245"/>
      <c r="I12779" s="1245"/>
    </row>
    <row r="12780" spans="8:9">
      <c r="H12780" s="1245"/>
      <c r="I12780" s="1245"/>
    </row>
    <row r="12781" spans="8:9">
      <c r="H12781" s="1245"/>
      <c r="I12781" s="1245"/>
    </row>
    <row r="12782" spans="8:9">
      <c r="H12782" s="1245"/>
      <c r="I12782" s="1245"/>
    </row>
    <row r="12783" spans="8:9">
      <c r="H12783" s="1245"/>
      <c r="I12783" s="1245"/>
    </row>
    <row r="12784" spans="8:9">
      <c r="H12784" s="1245"/>
      <c r="I12784" s="1245"/>
    </row>
    <row r="12785" spans="8:9">
      <c r="H12785" s="1245"/>
      <c r="I12785" s="1245"/>
    </row>
    <row r="12786" spans="8:9">
      <c r="H12786" s="1245"/>
      <c r="I12786" s="1245"/>
    </row>
    <row r="12787" spans="8:9">
      <c r="H12787" s="1245"/>
      <c r="I12787" s="1245"/>
    </row>
    <row r="12788" spans="8:9">
      <c r="H12788" s="1245"/>
      <c r="I12788" s="1245"/>
    </row>
    <row r="12789" spans="8:9">
      <c r="H12789" s="1245"/>
      <c r="I12789" s="1245"/>
    </row>
    <row r="12790" spans="8:9">
      <c r="H12790" s="1245"/>
      <c r="I12790" s="1245"/>
    </row>
    <row r="12791" spans="8:9">
      <c r="H12791" s="1245"/>
      <c r="I12791" s="1245"/>
    </row>
    <row r="12792" spans="8:9">
      <c r="H12792" s="1245"/>
      <c r="I12792" s="1245"/>
    </row>
    <row r="12793" spans="8:9">
      <c r="H12793" s="1245"/>
      <c r="I12793" s="1245"/>
    </row>
    <row r="12794" spans="8:9">
      <c r="H12794" s="1245"/>
      <c r="I12794" s="1245"/>
    </row>
    <row r="12795" spans="8:9">
      <c r="H12795" s="1245"/>
      <c r="I12795" s="1245"/>
    </row>
    <row r="12796" spans="8:9">
      <c r="H12796" s="1245"/>
      <c r="I12796" s="1245"/>
    </row>
    <row r="12797" spans="8:9">
      <c r="H12797" s="1245"/>
      <c r="I12797" s="1245"/>
    </row>
    <row r="12798" spans="8:9">
      <c r="H12798" s="1245"/>
      <c r="I12798" s="1245"/>
    </row>
    <row r="12799" spans="8:9">
      <c r="H12799" s="1245"/>
      <c r="I12799" s="1245"/>
    </row>
    <row r="12800" spans="8:9">
      <c r="H12800" s="1245"/>
      <c r="I12800" s="1245"/>
    </row>
    <row r="12801" spans="8:9">
      <c r="H12801" s="1245"/>
      <c r="I12801" s="1245"/>
    </row>
    <row r="12802" spans="8:9">
      <c r="H12802" s="1245"/>
      <c r="I12802" s="1245"/>
    </row>
    <row r="12803" spans="8:9">
      <c r="H12803" s="1245"/>
      <c r="I12803" s="1245"/>
    </row>
    <row r="12804" spans="8:9">
      <c r="H12804" s="1245"/>
      <c r="I12804" s="1245"/>
    </row>
    <row r="12805" spans="8:9">
      <c r="H12805" s="1245"/>
      <c r="I12805" s="1245"/>
    </row>
    <row r="12806" spans="8:9">
      <c r="H12806" s="1245"/>
      <c r="I12806" s="1245"/>
    </row>
    <row r="12807" spans="8:9">
      <c r="H12807" s="1245"/>
      <c r="I12807" s="1245"/>
    </row>
    <row r="12808" spans="8:9">
      <c r="H12808" s="1245"/>
      <c r="I12808" s="1245"/>
    </row>
    <row r="12809" spans="8:9">
      <c r="H12809" s="1245"/>
      <c r="I12809" s="1245"/>
    </row>
    <row r="12810" spans="8:9">
      <c r="H12810" s="1245"/>
      <c r="I12810" s="1245"/>
    </row>
    <row r="12811" spans="8:9">
      <c r="H12811" s="1245"/>
      <c r="I12811" s="1245"/>
    </row>
    <row r="12812" spans="8:9">
      <c r="H12812" s="1245"/>
      <c r="I12812" s="1245"/>
    </row>
    <row r="12813" spans="8:9">
      <c r="H12813" s="1245"/>
      <c r="I12813" s="1245"/>
    </row>
    <row r="12814" spans="8:9">
      <c r="H12814" s="1245"/>
      <c r="I12814" s="1245"/>
    </row>
    <row r="12815" spans="8:9">
      <c r="H12815" s="1245"/>
      <c r="I12815" s="1245"/>
    </row>
    <row r="12816" spans="8:9">
      <c r="H12816" s="1245"/>
      <c r="I12816" s="1245"/>
    </row>
    <row r="12817" spans="8:9">
      <c r="H12817" s="1245"/>
      <c r="I12817" s="1245"/>
    </row>
    <row r="12818" spans="8:9">
      <c r="H12818" s="1245"/>
      <c r="I12818" s="1245"/>
    </row>
    <row r="12819" spans="8:9">
      <c r="H12819" s="1245"/>
      <c r="I12819" s="1245"/>
    </row>
    <row r="12820" spans="8:9">
      <c r="H12820" s="1245"/>
      <c r="I12820" s="1245"/>
    </row>
    <row r="12821" spans="8:9">
      <c r="H12821" s="1245"/>
      <c r="I12821" s="1245"/>
    </row>
    <row r="12822" spans="8:9">
      <c r="H12822" s="1245"/>
      <c r="I12822" s="1245"/>
    </row>
    <row r="12823" spans="8:9">
      <c r="H12823" s="1245"/>
      <c r="I12823" s="1245"/>
    </row>
    <row r="12824" spans="8:9">
      <c r="H12824" s="1245"/>
      <c r="I12824" s="1245"/>
    </row>
    <row r="12825" spans="8:9">
      <c r="H12825" s="1245"/>
      <c r="I12825" s="1245"/>
    </row>
    <row r="12826" spans="8:9">
      <c r="H12826" s="1245"/>
      <c r="I12826" s="1245"/>
    </row>
    <row r="12827" spans="8:9">
      <c r="H12827" s="1245"/>
      <c r="I12827" s="1245"/>
    </row>
    <row r="12828" spans="8:9">
      <c r="H12828" s="1245"/>
      <c r="I12828" s="1245"/>
    </row>
    <row r="12829" spans="8:9">
      <c r="H12829" s="1245"/>
      <c r="I12829" s="1245"/>
    </row>
    <row r="12830" spans="8:9">
      <c r="H12830" s="1245"/>
      <c r="I12830" s="1245"/>
    </row>
    <row r="12831" spans="8:9">
      <c r="H12831" s="1245"/>
      <c r="I12831" s="1245"/>
    </row>
    <row r="12832" spans="8:9">
      <c r="H12832" s="1245"/>
      <c r="I12832" s="1245"/>
    </row>
    <row r="12833" spans="8:9">
      <c r="H12833" s="1245"/>
      <c r="I12833" s="1245"/>
    </row>
    <row r="12834" spans="8:9">
      <c r="H12834" s="1245"/>
      <c r="I12834" s="1245"/>
    </row>
    <row r="12835" spans="8:9">
      <c r="H12835" s="1245"/>
      <c r="I12835" s="1245"/>
    </row>
    <row r="12836" spans="8:9">
      <c r="H12836" s="1245"/>
      <c r="I12836" s="1245"/>
    </row>
    <row r="12837" spans="8:9">
      <c r="H12837" s="1245"/>
      <c r="I12837" s="1245"/>
    </row>
    <row r="12838" spans="8:9">
      <c r="H12838" s="1245"/>
      <c r="I12838" s="1245"/>
    </row>
    <row r="12839" spans="8:9">
      <c r="H12839" s="1245"/>
      <c r="I12839" s="1245"/>
    </row>
    <row r="12840" spans="8:9">
      <c r="H12840" s="1245"/>
      <c r="I12840" s="1245"/>
    </row>
    <row r="12841" spans="8:9">
      <c r="H12841" s="1245"/>
      <c r="I12841" s="1245"/>
    </row>
    <row r="12842" spans="8:9">
      <c r="H12842" s="1245"/>
      <c r="I12842" s="1245"/>
    </row>
    <row r="12843" spans="8:9">
      <c r="H12843" s="1245"/>
      <c r="I12843" s="1245"/>
    </row>
    <row r="12844" spans="8:9">
      <c r="H12844" s="1245"/>
      <c r="I12844" s="1245"/>
    </row>
    <row r="12845" spans="8:9">
      <c r="H12845" s="1245"/>
      <c r="I12845" s="1245"/>
    </row>
    <row r="12846" spans="8:9">
      <c r="H12846" s="1245"/>
      <c r="I12846" s="1245"/>
    </row>
    <row r="12847" spans="8:9">
      <c r="H12847" s="1245"/>
      <c r="I12847" s="1245"/>
    </row>
    <row r="12848" spans="8:9">
      <c r="H12848" s="1245"/>
      <c r="I12848" s="1245"/>
    </row>
    <row r="12849" spans="8:9">
      <c r="H12849" s="1245"/>
      <c r="I12849" s="1245"/>
    </row>
    <row r="12850" spans="8:9">
      <c r="H12850" s="1245"/>
      <c r="I12850" s="1245"/>
    </row>
    <row r="12851" spans="8:9">
      <c r="H12851" s="1245"/>
      <c r="I12851" s="1245"/>
    </row>
    <row r="12852" spans="8:9">
      <c r="H12852" s="1245"/>
      <c r="I12852" s="1245"/>
    </row>
    <row r="12853" spans="8:9">
      <c r="H12853" s="1245"/>
      <c r="I12853" s="1245"/>
    </row>
    <row r="12854" spans="8:9">
      <c r="H12854" s="1245"/>
      <c r="I12854" s="1245"/>
    </row>
    <row r="12855" spans="8:9">
      <c r="H12855" s="1245"/>
      <c r="I12855" s="1245"/>
    </row>
    <row r="12856" spans="8:9">
      <c r="H12856" s="1245"/>
      <c r="I12856" s="1245"/>
    </row>
    <row r="12857" spans="8:9">
      <c r="H12857" s="1245"/>
      <c r="I12857" s="1245"/>
    </row>
    <row r="12858" spans="8:9">
      <c r="H12858" s="1245"/>
      <c r="I12858" s="1245"/>
    </row>
    <row r="12859" spans="8:9">
      <c r="H12859" s="1245"/>
      <c r="I12859" s="1245"/>
    </row>
    <row r="12860" spans="8:9">
      <c r="H12860" s="1245"/>
      <c r="I12860" s="1245"/>
    </row>
    <row r="12861" spans="8:9">
      <c r="H12861" s="1245"/>
      <c r="I12861" s="1245"/>
    </row>
    <row r="12862" spans="8:9">
      <c r="H12862" s="1245"/>
      <c r="I12862" s="1245"/>
    </row>
    <row r="12863" spans="8:9">
      <c r="H12863" s="1245"/>
      <c r="I12863" s="1245"/>
    </row>
    <row r="12864" spans="8:9">
      <c r="H12864" s="1245"/>
      <c r="I12864" s="1245"/>
    </row>
    <row r="12865" spans="8:9">
      <c r="H12865" s="1245"/>
      <c r="I12865" s="1245"/>
    </row>
    <row r="12866" spans="8:9">
      <c r="H12866" s="1245"/>
      <c r="I12866" s="1245"/>
    </row>
    <row r="12867" spans="8:9">
      <c r="H12867" s="1245"/>
      <c r="I12867" s="1245"/>
    </row>
    <row r="12868" spans="8:9">
      <c r="H12868" s="1245"/>
      <c r="I12868" s="1245"/>
    </row>
    <row r="12869" spans="8:9">
      <c r="H12869" s="1245"/>
      <c r="I12869" s="1245"/>
    </row>
    <row r="12870" spans="8:9">
      <c r="H12870" s="1245"/>
      <c r="I12870" s="1245"/>
    </row>
    <row r="12871" spans="8:9">
      <c r="H12871" s="1245"/>
      <c r="I12871" s="1245"/>
    </row>
    <row r="12872" spans="8:9">
      <c r="H12872" s="1245"/>
      <c r="I12872" s="1245"/>
    </row>
    <row r="12873" spans="8:9">
      <c r="H12873" s="1245"/>
      <c r="I12873" s="1245"/>
    </row>
    <row r="12874" spans="8:9">
      <c r="H12874" s="1245"/>
      <c r="I12874" s="1245"/>
    </row>
    <row r="12875" spans="8:9">
      <c r="H12875" s="1245"/>
      <c r="I12875" s="1245"/>
    </row>
    <row r="12876" spans="8:9">
      <c r="H12876" s="1245"/>
      <c r="I12876" s="1245"/>
    </row>
    <row r="12877" spans="8:9">
      <c r="H12877" s="1245"/>
      <c r="I12877" s="1245"/>
    </row>
    <row r="12878" spans="8:9">
      <c r="H12878" s="1245"/>
      <c r="I12878" s="1245"/>
    </row>
    <row r="12879" spans="8:9">
      <c r="H12879" s="1245"/>
      <c r="I12879" s="1245"/>
    </row>
    <row r="12880" spans="8:9">
      <c r="H12880" s="1245"/>
      <c r="I12880" s="1245"/>
    </row>
    <row r="12881" spans="8:9">
      <c r="H12881" s="1245"/>
      <c r="I12881" s="1245"/>
    </row>
    <row r="12882" spans="8:9">
      <c r="H12882" s="1245"/>
      <c r="I12882" s="1245"/>
    </row>
    <row r="12883" spans="8:9">
      <c r="H12883" s="1245"/>
      <c r="I12883" s="1245"/>
    </row>
    <row r="12884" spans="8:9">
      <c r="H12884" s="1245"/>
      <c r="I12884" s="1245"/>
    </row>
    <row r="12885" spans="8:9">
      <c r="H12885" s="1245"/>
      <c r="I12885" s="1245"/>
    </row>
    <row r="12886" spans="8:9">
      <c r="H12886" s="1245"/>
      <c r="I12886" s="1245"/>
    </row>
    <row r="12887" spans="8:9">
      <c r="H12887" s="1245"/>
      <c r="I12887" s="1245"/>
    </row>
    <row r="12888" spans="8:9">
      <c r="H12888" s="1245"/>
      <c r="I12888" s="1245"/>
    </row>
    <row r="12889" spans="8:9">
      <c r="H12889" s="1245"/>
      <c r="I12889" s="1245"/>
    </row>
    <row r="12890" spans="8:9">
      <c r="H12890" s="1245"/>
      <c r="I12890" s="1245"/>
    </row>
    <row r="12891" spans="8:9">
      <c r="H12891" s="1245"/>
      <c r="I12891" s="1245"/>
    </row>
    <row r="12892" spans="8:9">
      <c r="H12892" s="1245"/>
      <c r="I12892" s="1245"/>
    </row>
    <row r="12893" spans="8:9">
      <c r="H12893" s="1245"/>
      <c r="I12893" s="1245"/>
    </row>
    <row r="12894" spans="8:9">
      <c r="H12894" s="1245"/>
      <c r="I12894" s="1245"/>
    </row>
    <row r="12895" spans="8:9">
      <c r="H12895" s="1245"/>
      <c r="I12895" s="1245"/>
    </row>
    <row r="12896" spans="8:9">
      <c r="H12896" s="1245"/>
      <c r="I12896" s="1245"/>
    </row>
    <row r="12897" spans="8:9">
      <c r="H12897" s="1245"/>
      <c r="I12897" s="1245"/>
    </row>
    <row r="12898" spans="8:9">
      <c r="H12898" s="1245"/>
      <c r="I12898" s="1245"/>
    </row>
    <row r="12899" spans="8:9">
      <c r="H12899" s="1245"/>
      <c r="I12899" s="1245"/>
    </row>
    <row r="12900" spans="8:9">
      <c r="H12900" s="1245"/>
      <c r="I12900" s="1245"/>
    </row>
    <row r="12901" spans="8:9">
      <c r="H12901" s="1245"/>
      <c r="I12901" s="1245"/>
    </row>
    <row r="12902" spans="8:9">
      <c r="H12902" s="1245"/>
      <c r="I12902" s="1245"/>
    </row>
    <row r="12903" spans="8:9">
      <c r="H12903" s="1245"/>
      <c r="I12903" s="1245"/>
    </row>
    <row r="12904" spans="8:9">
      <c r="H12904" s="1245"/>
      <c r="I12904" s="1245"/>
    </row>
    <row r="12905" spans="8:9">
      <c r="H12905" s="1245"/>
      <c r="I12905" s="1245"/>
    </row>
    <row r="12906" spans="8:9">
      <c r="H12906" s="1245"/>
      <c r="I12906" s="1245"/>
    </row>
    <row r="12907" spans="8:9">
      <c r="H12907" s="1245"/>
      <c r="I12907" s="1245"/>
    </row>
    <row r="12908" spans="8:9">
      <c r="H12908" s="1245"/>
      <c r="I12908" s="1245"/>
    </row>
    <row r="12909" spans="8:9">
      <c r="H12909" s="1245"/>
      <c r="I12909" s="1245"/>
    </row>
    <row r="12910" spans="8:9">
      <c r="H12910" s="1245"/>
      <c r="I12910" s="1245"/>
    </row>
    <row r="12911" spans="8:9">
      <c r="H12911" s="1245"/>
      <c r="I12911" s="1245"/>
    </row>
    <row r="12912" spans="8:9">
      <c r="H12912" s="1245"/>
      <c r="I12912" s="1245"/>
    </row>
    <row r="12913" spans="8:9">
      <c r="H12913" s="1245"/>
      <c r="I12913" s="1245"/>
    </row>
    <row r="12914" spans="8:9">
      <c r="H12914" s="1245"/>
      <c r="I12914" s="1245"/>
    </row>
    <row r="12915" spans="8:9">
      <c r="H12915" s="1245"/>
      <c r="I12915" s="1245"/>
    </row>
    <row r="12916" spans="8:9">
      <c r="H12916" s="1245"/>
      <c r="I12916" s="1245"/>
    </row>
    <row r="12917" spans="8:9">
      <c r="H12917" s="1245"/>
      <c r="I12917" s="1245"/>
    </row>
    <row r="12918" spans="8:9">
      <c r="H12918" s="1245"/>
      <c r="I12918" s="1245"/>
    </row>
    <row r="12919" spans="8:9">
      <c r="H12919" s="1245"/>
      <c r="I12919" s="1245"/>
    </row>
    <row r="12920" spans="8:9">
      <c r="H12920" s="1245"/>
      <c r="I12920" s="1245"/>
    </row>
    <row r="12921" spans="8:9">
      <c r="H12921" s="1245"/>
      <c r="I12921" s="1245"/>
    </row>
    <row r="12922" spans="8:9">
      <c r="H12922" s="1245"/>
      <c r="I12922" s="1245"/>
    </row>
    <row r="12923" spans="8:9">
      <c r="H12923" s="1245"/>
      <c r="I12923" s="1245"/>
    </row>
    <row r="12924" spans="8:9">
      <c r="H12924" s="1245"/>
      <c r="I12924" s="1245"/>
    </row>
    <row r="12925" spans="8:9">
      <c r="H12925" s="1245"/>
      <c r="I12925" s="1245"/>
    </row>
    <row r="12926" spans="8:9">
      <c r="H12926" s="1245"/>
      <c r="I12926" s="1245"/>
    </row>
    <row r="12927" spans="8:9">
      <c r="H12927" s="1245"/>
      <c r="I12927" s="1245"/>
    </row>
    <row r="12928" spans="8:9">
      <c r="H12928" s="1245"/>
      <c r="I12928" s="1245"/>
    </row>
    <row r="12929" spans="8:9">
      <c r="H12929" s="1245"/>
      <c r="I12929" s="1245"/>
    </row>
    <row r="12930" spans="8:9">
      <c r="H12930" s="1245"/>
      <c r="I12930" s="1245"/>
    </row>
    <row r="12931" spans="8:9">
      <c r="H12931" s="1245"/>
      <c r="I12931" s="1245"/>
    </row>
    <row r="12932" spans="8:9">
      <c r="H12932" s="1245"/>
      <c r="I12932" s="1245"/>
    </row>
    <row r="12933" spans="8:9">
      <c r="H12933" s="1245"/>
      <c r="I12933" s="1245"/>
    </row>
    <row r="12934" spans="8:9">
      <c r="H12934" s="1245"/>
      <c r="I12934" s="1245"/>
    </row>
    <row r="12935" spans="8:9">
      <c r="H12935" s="1245"/>
      <c r="I12935" s="1245"/>
    </row>
    <row r="12936" spans="8:9">
      <c r="H12936" s="1245"/>
      <c r="I12936" s="1245"/>
    </row>
    <row r="12937" spans="8:9">
      <c r="H12937" s="1245"/>
      <c r="I12937" s="1245"/>
    </row>
    <row r="12938" spans="8:9">
      <c r="H12938" s="1245"/>
      <c r="I12938" s="1245"/>
    </row>
    <row r="12939" spans="8:9">
      <c r="H12939" s="1245"/>
      <c r="I12939" s="1245"/>
    </row>
    <row r="12940" spans="8:9">
      <c r="H12940" s="1245"/>
      <c r="I12940" s="1245"/>
    </row>
    <row r="12941" spans="8:9">
      <c r="H12941" s="1245"/>
      <c r="I12941" s="1245"/>
    </row>
    <row r="12942" spans="8:9">
      <c r="H12942" s="1245"/>
      <c r="I12942" s="1245"/>
    </row>
    <row r="12943" spans="8:9">
      <c r="H12943" s="1245"/>
      <c r="I12943" s="1245"/>
    </row>
    <row r="12944" spans="8:9">
      <c r="H12944" s="1245"/>
      <c r="I12944" s="1245"/>
    </row>
    <row r="12945" spans="8:9">
      <c r="H12945" s="1245"/>
      <c r="I12945" s="1245"/>
    </row>
    <row r="12946" spans="8:9">
      <c r="H12946" s="1245"/>
      <c r="I12946" s="1245"/>
    </row>
    <row r="12947" spans="8:9">
      <c r="H12947" s="1245"/>
      <c r="I12947" s="1245"/>
    </row>
    <row r="12948" spans="8:9">
      <c r="H12948" s="1245"/>
      <c r="I12948" s="1245"/>
    </row>
    <row r="12949" spans="8:9">
      <c r="H12949" s="1245"/>
      <c r="I12949" s="1245"/>
    </row>
    <row r="12950" spans="8:9">
      <c r="H12950" s="1245"/>
      <c r="I12950" s="1245"/>
    </row>
    <row r="12951" spans="8:9">
      <c r="H12951" s="1245"/>
      <c r="I12951" s="1245"/>
    </row>
    <row r="12952" spans="8:9">
      <c r="H12952" s="1245"/>
      <c r="I12952" s="1245"/>
    </row>
    <row r="12953" spans="8:9">
      <c r="H12953" s="1245"/>
      <c r="I12953" s="1245"/>
    </row>
    <row r="12954" spans="8:9">
      <c r="H12954" s="1245"/>
      <c r="I12954" s="1245"/>
    </row>
    <row r="12955" spans="8:9">
      <c r="H12955" s="1245"/>
      <c r="I12955" s="1245"/>
    </row>
    <row r="12956" spans="8:9">
      <c r="H12956" s="1245"/>
      <c r="I12956" s="1245"/>
    </row>
    <row r="12957" spans="8:9">
      <c r="H12957" s="1245"/>
      <c r="I12957" s="1245"/>
    </row>
    <row r="12958" spans="8:9">
      <c r="H12958" s="1245"/>
      <c r="I12958" s="1245"/>
    </row>
    <row r="12959" spans="8:9">
      <c r="H12959" s="1245"/>
      <c r="I12959" s="1245"/>
    </row>
    <row r="12960" spans="8:9">
      <c r="H12960" s="1245"/>
      <c r="I12960" s="1245"/>
    </row>
    <row r="12961" spans="8:9">
      <c r="H12961" s="1245"/>
      <c r="I12961" s="1245"/>
    </row>
    <row r="12962" spans="8:9">
      <c r="H12962" s="1245"/>
      <c r="I12962" s="1245"/>
    </row>
    <row r="12963" spans="8:9">
      <c r="H12963" s="1245"/>
      <c r="I12963" s="1245"/>
    </row>
    <row r="12964" spans="8:9">
      <c r="H12964" s="1245"/>
      <c r="I12964" s="1245"/>
    </row>
    <row r="12965" spans="8:9">
      <c r="H12965" s="1245"/>
      <c r="I12965" s="1245"/>
    </row>
    <row r="12966" spans="8:9">
      <c r="H12966" s="1245"/>
      <c r="I12966" s="1245"/>
    </row>
    <row r="12967" spans="8:9">
      <c r="H12967" s="1245"/>
      <c r="I12967" s="1245"/>
    </row>
    <row r="12968" spans="8:9">
      <c r="H12968" s="1245"/>
      <c r="I12968" s="1245"/>
    </row>
    <row r="12969" spans="8:9">
      <c r="H12969" s="1245"/>
      <c r="I12969" s="1245"/>
    </row>
    <row r="12970" spans="8:9">
      <c r="H12970" s="1245"/>
      <c r="I12970" s="1245"/>
    </row>
    <row r="12971" spans="8:9">
      <c r="H12971" s="1245"/>
      <c r="I12971" s="1245"/>
    </row>
    <row r="12972" spans="8:9">
      <c r="H12972" s="1245"/>
      <c r="I12972" s="1245"/>
    </row>
    <row r="12973" spans="8:9">
      <c r="H12973" s="1245"/>
      <c r="I12973" s="1245"/>
    </row>
    <row r="12974" spans="8:9">
      <c r="H12974" s="1245"/>
      <c r="I12974" s="1245"/>
    </row>
    <row r="12975" spans="8:9">
      <c r="H12975" s="1245"/>
      <c r="I12975" s="1245"/>
    </row>
    <row r="12976" spans="8:9">
      <c r="H12976" s="1245"/>
      <c r="I12976" s="1245"/>
    </row>
    <row r="12977" spans="8:9">
      <c r="H12977" s="1245"/>
      <c r="I12977" s="1245"/>
    </row>
    <row r="12978" spans="8:9">
      <c r="H12978" s="1245"/>
      <c r="I12978" s="1245"/>
    </row>
    <row r="12979" spans="8:9">
      <c r="H12979" s="1245"/>
      <c r="I12979" s="1245"/>
    </row>
    <row r="12980" spans="8:9">
      <c r="H12980" s="1245"/>
      <c r="I12980" s="1245"/>
    </row>
    <row r="12981" spans="8:9">
      <c r="H12981" s="1245"/>
      <c r="I12981" s="1245"/>
    </row>
    <row r="12982" spans="8:9">
      <c r="H12982" s="1245"/>
      <c r="I12982" s="1245"/>
    </row>
    <row r="12983" spans="8:9">
      <c r="H12983" s="1245"/>
      <c r="I12983" s="1245"/>
    </row>
    <row r="12984" spans="8:9">
      <c r="H12984" s="1245"/>
      <c r="I12984" s="1245"/>
    </row>
    <row r="12985" spans="8:9">
      <c r="H12985" s="1245"/>
      <c r="I12985" s="1245"/>
    </row>
    <row r="12986" spans="8:9">
      <c r="H12986" s="1245"/>
      <c r="I12986" s="1245"/>
    </row>
    <row r="12987" spans="8:9">
      <c r="H12987" s="1245"/>
      <c r="I12987" s="1245"/>
    </row>
    <row r="12988" spans="8:9">
      <c r="H12988" s="1245"/>
      <c r="I12988" s="1245"/>
    </row>
    <row r="12989" spans="8:9">
      <c r="H12989" s="1245"/>
      <c r="I12989" s="1245"/>
    </row>
    <row r="12990" spans="8:9">
      <c r="H12990" s="1245"/>
      <c r="I12990" s="1245"/>
    </row>
    <row r="12991" spans="8:9">
      <c r="H12991" s="1245"/>
      <c r="I12991" s="1245"/>
    </row>
    <row r="12992" spans="8:9">
      <c r="H12992" s="1245"/>
      <c r="I12992" s="1245"/>
    </row>
    <row r="12993" spans="8:9">
      <c r="H12993" s="1245"/>
      <c r="I12993" s="1245"/>
    </row>
    <row r="12994" spans="8:9">
      <c r="H12994" s="1245"/>
      <c r="I12994" s="1245"/>
    </row>
    <row r="12995" spans="8:9">
      <c r="H12995" s="1245"/>
      <c r="I12995" s="1245"/>
    </row>
    <row r="12996" spans="8:9">
      <c r="H12996" s="1245"/>
      <c r="I12996" s="1245"/>
    </row>
    <row r="12997" spans="8:9">
      <c r="H12997" s="1245"/>
      <c r="I12997" s="1245"/>
    </row>
    <row r="12998" spans="8:9">
      <c r="H12998" s="1245"/>
      <c r="I12998" s="1245"/>
    </row>
    <row r="12999" spans="8:9">
      <c r="H12999" s="1245"/>
      <c r="I12999" s="1245"/>
    </row>
    <row r="13000" spans="8:9">
      <c r="H13000" s="1245"/>
      <c r="I13000" s="1245"/>
    </row>
    <row r="13001" spans="8:9">
      <c r="H13001" s="1245"/>
      <c r="I13001" s="1245"/>
    </row>
    <row r="13002" spans="8:9">
      <c r="H13002" s="1245"/>
      <c r="I13002" s="1245"/>
    </row>
    <row r="13003" spans="8:9">
      <c r="H13003" s="1245"/>
      <c r="I13003" s="1245"/>
    </row>
    <row r="13004" spans="8:9">
      <c r="H13004" s="1245"/>
      <c r="I13004" s="1245"/>
    </row>
    <row r="13005" spans="8:9">
      <c r="H13005" s="1245"/>
      <c r="I13005" s="1245"/>
    </row>
    <row r="13006" spans="8:9">
      <c r="H13006" s="1245"/>
      <c r="I13006" s="1245"/>
    </row>
    <row r="13007" spans="8:9">
      <c r="H13007" s="1245"/>
      <c r="I13007" s="1245"/>
    </row>
    <row r="13008" spans="8:9">
      <c r="H13008" s="1245"/>
      <c r="I13008" s="1245"/>
    </row>
    <row r="13009" spans="8:9">
      <c r="H13009" s="1245"/>
      <c r="I13009" s="1245"/>
    </row>
    <row r="13010" spans="8:9">
      <c r="H13010" s="1245"/>
      <c r="I13010" s="1245"/>
    </row>
    <row r="13011" spans="8:9">
      <c r="H13011" s="1245"/>
      <c r="I13011" s="1245"/>
    </row>
    <row r="13012" spans="8:9">
      <c r="H13012" s="1245"/>
      <c r="I13012" s="1245"/>
    </row>
    <row r="13013" spans="8:9">
      <c r="H13013" s="1245"/>
      <c r="I13013" s="1245"/>
    </row>
    <row r="13014" spans="8:9">
      <c r="H13014" s="1245"/>
      <c r="I13014" s="1245"/>
    </row>
    <row r="13015" spans="8:9">
      <c r="H13015" s="1245"/>
      <c r="I13015" s="1245"/>
    </row>
    <row r="13016" spans="8:9">
      <c r="H13016" s="1245"/>
      <c r="I13016" s="1245"/>
    </row>
    <row r="13017" spans="8:9">
      <c r="H13017" s="1245"/>
      <c r="I13017" s="1245"/>
    </row>
    <row r="13018" spans="8:9">
      <c r="H13018" s="1245"/>
      <c r="I13018" s="1245"/>
    </row>
    <row r="13019" spans="8:9">
      <c r="H13019" s="1245"/>
      <c r="I13019" s="1245"/>
    </row>
    <row r="13020" spans="8:9">
      <c r="H13020" s="1245"/>
      <c r="I13020" s="1245"/>
    </row>
    <row r="13021" spans="8:9">
      <c r="H13021" s="1245"/>
      <c r="I13021" s="1245"/>
    </row>
    <row r="13022" spans="8:9">
      <c r="H13022" s="1245"/>
      <c r="I13022" s="1245"/>
    </row>
    <row r="13023" spans="8:9">
      <c r="H13023" s="1245"/>
      <c r="I13023" s="1245"/>
    </row>
    <row r="13024" spans="8:9">
      <c r="H13024" s="1245"/>
      <c r="I13024" s="1245"/>
    </row>
    <row r="13025" spans="8:9">
      <c r="H13025" s="1245"/>
      <c r="I13025" s="1245"/>
    </row>
    <row r="13026" spans="8:9">
      <c r="H13026" s="1245"/>
      <c r="I13026" s="1245"/>
    </row>
    <row r="13027" spans="8:9">
      <c r="H13027" s="1245"/>
      <c r="I13027" s="1245"/>
    </row>
    <row r="13028" spans="8:9">
      <c r="H13028" s="1245"/>
      <c r="I13028" s="1245"/>
    </row>
    <row r="13029" spans="8:9">
      <c r="H13029" s="1245"/>
      <c r="I13029" s="1245"/>
    </row>
    <row r="13030" spans="8:9">
      <c r="H13030" s="1245"/>
      <c r="I13030" s="1245"/>
    </row>
    <row r="13031" spans="8:9">
      <c r="H13031" s="1245"/>
      <c r="I13031" s="1245"/>
    </row>
    <row r="13032" spans="8:9">
      <c r="H13032" s="1245"/>
      <c r="I13032" s="1245"/>
    </row>
    <row r="13033" spans="8:9">
      <c r="H13033" s="1245"/>
      <c r="I13033" s="1245"/>
    </row>
    <row r="13034" spans="8:9">
      <c r="H13034" s="1245"/>
      <c r="I13034" s="1245"/>
    </row>
    <row r="13035" spans="8:9">
      <c r="H13035" s="1245"/>
      <c r="I13035" s="1245"/>
    </row>
    <row r="13036" spans="8:9">
      <c r="H13036" s="1245"/>
      <c r="I13036" s="1245"/>
    </row>
    <row r="13037" spans="8:9">
      <c r="H13037" s="1245"/>
      <c r="I13037" s="1245"/>
    </row>
    <row r="13038" spans="8:9">
      <c r="H13038" s="1245"/>
      <c r="I13038" s="1245"/>
    </row>
    <row r="13039" spans="8:9">
      <c r="H13039" s="1245"/>
      <c r="I13039" s="1245"/>
    </row>
    <row r="13040" spans="8:9">
      <c r="H13040" s="1245"/>
      <c r="I13040" s="1245"/>
    </row>
    <row r="13041" spans="8:9">
      <c r="H13041" s="1245"/>
      <c r="I13041" s="1245"/>
    </row>
    <row r="13042" spans="8:9">
      <c r="H13042" s="1245"/>
      <c r="I13042" s="1245"/>
    </row>
    <row r="13043" spans="8:9">
      <c r="H13043" s="1245"/>
      <c r="I13043" s="1245"/>
    </row>
    <row r="13044" spans="8:9">
      <c r="H13044" s="1245"/>
      <c r="I13044" s="1245"/>
    </row>
    <row r="13045" spans="8:9">
      <c r="H13045" s="1245"/>
      <c r="I13045" s="1245"/>
    </row>
    <row r="13046" spans="8:9">
      <c r="H13046" s="1245"/>
      <c r="I13046" s="1245"/>
    </row>
    <row r="13047" spans="8:9">
      <c r="H13047" s="1245"/>
      <c r="I13047" s="1245"/>
    </row>
    <row r="13048" spans="8:9">
      <c r="H13048" s="1245"/>
      <c r="I13048" s="1245"/>
    </row>
    <row r="13049" spans="8:9">
      <c r="H13049" s="1245"/>
      <c r="I13049" s="1245"/>
    </row>
    <row r="13050" spans="8:9">
      <c r="H13050" s="1245"/>
      <c r="I13050" s="1245"/>
    </row>
    <row r="13051" spans="8:9">
      <c r="H13051" s="1245"/>
      <c r="I13051" s="1245"/>
    </row>
    <row r="13052" spans="8:9">
      <c r="H13052" s="1245"/>
      <c r="I13052" s="1245"/>
    </row>
    <row r="13053" spans="8:9">
      <c r="H13053" s="1245"/>
      <c r="I13053" s="1245"/>
    </row>
    <row r="13054" spans="8:9">
      <c r="H13054" s="1245"/>
      <c r="I13054" s="1245"/>
    </row>
    <row r="13055" spans="8:9">
      <c r="H13055" s="1245"/>
      <c r="I13055" s="1245"/>
    </row>
    <row r="13056" spans="8:9">
      <c r="H13056" s="1245"/>
      <c r="I13056" s="1245"/>
    </row>
    <row r="13057" spans="8:9">
      <c r="H13057" s="1245"/>
      <c r="I13057" s="1245"/>
    </row>
    <row r="13058" spans="8:9">
      <c r="H13058" s="1245"/>
      <c r="I13058" s="1245"/>
    </row>
    <row r="13059" spans="8:9">
      <c r="H13059" s="1245"/>
      <c r="I13059" s="1245"/>
    </row>
    <row r="13060" spans="8:9">
      <c r="H13060" s="1245"/>
      <c r="I13060" s="1245"/>
    </row>
    <row r="13061" spans="8:9">
      <c r="H13061" s="1245"/>
      <c r="I13061" s="1245"/>
    </row>
    <row r="13062" spans="8:9">
      <c r="H13062" s="1245"/>
      <c r="I13062" s="1245"/>
    </row>
    <row r="13063" spans="8:9">
      <c r="H13063" s="1245"/>
      <c r="I13063" s="1245"/>
    </row>
    <row r="13064" spans="8:9">
      <c r="H13064" s="1245"/>
      <c r="I13064" s="1245"/>
    </row>
    <row r="13065" spans="8:9">
      <c r="H13065" s="1245"/>
      <c r="I13065" s="1245"/>
    </row>
    <row r="13066" spans="8:9">
      <c r="H13066" s="1245"/>
      <c r="I13066" s="1245"/>
    </row>
    <row r="13067" spans="8:9">
      <c r="H13067" s="1245"/>
      <c r="I13067" s="1245"/>
    </row>
    <row r="13068" spans="8:9">
      <c r="H13068" s="1245"/>
      <c r="I13068" s="1245"/>
    </row>
    <row r="13069" spans="8:9">
      <c r="H13069" s="1245"/>
      <c r="I13069" s="1245"/>
    </row>
    <row r="13070" spans="8:9">
      <c r="H13070" s="1245"/>
      <c r="I13070" s="1245"/>
    </row>
    <row r="13071" spans="8:9">
      <c r="H13071" s="1245"/>
      <c r="I13071" s="1245"/>
    </row>
    <row r="13072" spans="8:9">
      <c r="H13072" s="1245"/>
      <c r="I13072" s="1245"/>
    </row>
    <row r="13073" spans="8:9">
      <c r="H13073" s="1245"/>
      <c r="I13073" s="1245"/>
    </row>
    <row r="13074" spans="8:9">
      <c r="H13074" s="1245"/>
      <c r="I13074" s="1245"/>
    </row>
    <row r="13075" spans="8:9">
      <c r="H13075" s="1245"/>
      <c r="I13075" s="1245"/>
    </row>
    <row r="13076" spans="8:9">
      <c r="H13076" s="1245"/>
      <c r="I13076" s="1245"/>
    </row>
    <row r="13077" spans="8:9">
      <c r="H13077" s="1245"/>
      <c r="I13077" s="1245"/>
    </row>
    <row r="13078" spans="8:9">
      <c r="H13078" s="1245"/>
      <c r="I13078" s="1245"/>
    </row>
    <row r="13079" spans="8:9">
      <c r="H13079" s="1245"/>
      <c r="I13079" s="1245"/>
    </row>
    <row r="13080" spans="8:9">
      <c r="H13080" s="1245"/>
      <c r="I13080" s="1245"/>
    </row>
    <row r="13081" spans="8:9">
      <c r="H13081" s="1245"/>
      <c r="I13081" s="1245"/>
    </row>
    <row r="13082" spans="8:9">
      <c r="H13082" s="1245"/>
      <c r="I13082" s="1245"/>
    </row>
    <row r="13083" spans="8:9">
      <c r="H13083" s="1245"/>
      <c r="I13083" s="1245"/>
    </row>
    <row r="13084" spans="8:9">
      <c r="H13084" s="1245"/>
      <c r="I13084" s="1245"/>
    </row>
    <row r="13085" spans="8:9">
      <c r="H13085" s="1245"/>
      <c r="I13085" s="1245"/>
    </row>
    <row r="13086" spans="8:9">
      <c r="H13086" s="1245"/>
      <c r="I13086" s="1245"/>
    </row>
    <row r="13087" spans="8:9">
      <c r="H13087" s="1245"/>
      <c r="I13087" s="1245"/>
    </row>
    <row r="13088" spans="8:9">
      <c r="H13088" s="1245"/>
      <c r="I13088" s="1245"/>
    </row>
    <row r="13089" spans="8:9">
      <c r="H13089" s="1245"/>
      <c r="I13089" s="1245"/>
    </row>
    <row r="13090" spans="8:9">
      <c r="H13090" s="1245"/>
      <c r="I13090" s="1245"/>
    </row>
    <row r="13091" spans="8:9">
      <c r="H13091" s="1245"/>
      <c r="I13091" s="1245"/>
    </row>
    <row r="13092" spans="8:9">
      <c r="H13092" s="1245"/>
      <c r="I13092" s="1245"/>
    </row>
    <row r="13093" spans="8:9">
      <c r="H13093" s="1245"/>
      <c r="I13093" s="1245"/>
    </row>
    <row r="13094" spans="8:9">
      <c r="H13094" s="1245"/>
      <c r="I13094" s="1245"/>
    </row>
    <row r="13095" spans="8:9">
      <c r="H13095" s="1245"/>
      <c r="I13095" s="1245"/>
    </row>
    <row r="13096" spans="8:9">
      <c r="H13096" s="1245"/>
      <c r="I13096" s="1245"/>
    </row>
    <row r="13097" spans="8:9">
      <c r="H13097" s="1245"/>
      <c r="I13097" s="1245"/>
    </row>
    <row r="13098" spans="8:9">
      <c r="H13098" s="1245"/>
      <c r="I13098" s="1245"/>
    </row>
    <row r="13099" spans="8:9">
      <c r="H13099" s="1245"/>
      <c r="I13099" s="1245"/>
    </row>
    <row r="13100" spans="8:9">
      <c r="H13100" s="1245"/>
      <c r="I13100" s="1245"/>
    </row>
    <row r="13101" spans="8:9">
      <c r="H13101" s="1245"/>
      <c r="I13101" s="1245"/>
    </row>
    <row r="13102" spans="8:9">
      <c r="H13102" s="1245"/>
      <c r="I13102" s="1245"/>
    </row>
    <row r="13103" spans="8:9">
      <c r="H13103" s="1245"/>
      <c r="I13103" s="1245"/>
    </row>
    <row r="13104" spans="8:9">
      <c r="H13104" s="1245"/>
      <c r="I13104" s="1245"/>
    </row>
    <row r="13105" spans="8:9">
      <c r="H13105" s="1245"/>
      <c r="I13105" s="1245"/>
    </row>
    <row r="13106" spans="8:9">
      <c r="H13106" s="1245"/>
      <c r="I13106" s="1245"/>
    </row>
    <row r="13107" spans="8:9">
      <c r="H13107" s="1245"/>
      <c r="I13107" s="1245"/>
    </row>
    <row r="13108" spans="8:9">
      <c r="H13108" s="1245"/>
      <c r="I13108" s="1245"/>
    </row>
    <row r="13109" spans="8:9">
      <c r="H13109" s="1245"/>
      <c r="I13109" s="1245"/>
    </row>
    <row r="13110" spans="8:9">
      <c r="H13110" s="1245"/>
      <c r="I13110" s="1245"/>
    </row>
    <row r="13111" spans="8:9">
      <c r="H13111" s="1245"/>
      <c r="I13111" s="1245"/>
    </row>
    <row r="13112" spans="8:9">
      <c r="H13112" s="1245"/>
      <c r="I13112" s="1245"/>
    </row>
    <row r="13113" spans="8:9">
      <c r="H13113" s="1245"/>
      <c r="I13113" s="1245"/>
    </row>
    <row r="13114" spans="8:9">
      <c r="H13114" s="1245"/>
      <c r="I13114" s="1245"/>
    </row>
    <row r="13115" spans="8:9">
      <c r="H13115" s="1245"/>
      <c r="I13115" s="1245"/>
    </row>
    <row r="13116" spans="8:9">
      <c r="H13116" s="1245"/>
      <c r="I13116" s="1245"/>
    </row>
    <row r="13117" spans="8:9">
      <c r="H13117" s="1245"/>
      <c r="I13117" s="1245"/>
    </row>
    <row r="13118" spans="8:9">
      <c r="H13118" s="1245"/>
      <c r="I13118" s="1245"/>
    </row>
    <row r="13119" spans="8:9">
      <c r="H13119" s="1245"/>
      <c r="I13119" s="1245"/>
    </row>
    <row r="13120" spans="8:9">
      <c r="H13120" s="1245"/>
      <c r="I13120" s="1245"/>
    </row>
    <row r="13121" spans="8:9">
      <c r="H13121" s="1245"/>
      <c r="I13121" s="1245"/>
    </row>
    <row r="13122" spans="8:9">
      <c r="H13122" s="1245"/>
      <c r="I13122" s="1245"/>
    </row>
    <row r="13123" spans="8:9">
      <c r="H13123" s="1245"/>
      <c r="I13123" s="1245"/>
    </row>
    <row r="13124" spans="8:9">
      <c r="H13124" s="1245"/>
      <c r="I13124" s="1245"/>
    </row>
    <row r="13125" spans="8:9">
      <c r="H13125" s="1245"/>
      <c r="I13125" s="1245"/>
    </row>
    <row r="13126" spans="8:9">
      <c r="H13126" s="1245"/>
      <c r="I13126" s="1245"/>
    </row>
    <row r="13127" spans="8:9">
      <c r="H13127" s="1245"/>
      <c r="I13127" s="1245"/>
    </row>
    <row r="13128" spans="8:9">
      <c r="H13128" s="1245"/>
      <c r="I13128" s="1245"/>
    </row>
    <row r="13129" spans="8:9">
      <c r="H13129" s="1245"/>
      <c r="I13129" s="1245"/>
    </row>
    <row r="13130" spans="8:9">
      <c r="H13130" s="1245"/>
      <c r="I13130" s="1245"/>
    </row>
    <row r="13131" spans="8:9">
      <c r="H13131" s="1245"/>
      <c r="I13131" s="1245"/>
    </row>
    <row r="13132" spans="8:9">
      <c r="H13132" s="1245"/>
      <c r="I13132" s="1245"/>
    </row>
    <row r="13133" spans="8:9">
      <c r="H13133" s="1245"/>
      <c r="I13133" s="1245"/>
    </row>
    <row r="13134" spans="8:9">
      <c r="H13134" s="1245"/>
      <c r="I13134" s="1245"/>
    </row>
    <row r="13135" spans="8:9">
      <c r="H13135" s="1245"/>
      <c r="I13135" s="1245"/>
    </row>
    <row r="13136" spans="8:9">
      <c r="H13136" s="1245"/>
      <c r="I13136" s="1245"/>
    </row>
    <row r="13137" spans="8:9">
      <c r="H13137" s="1245"/>
      <c r="I13137" s="1245"/>
    </row>
    <row r="13138" spans="8:9">
      <c r="H13138" s="1245"/>
      <c r="I13138" s="1245"/>
    </row>
    <row r="13139" spans="8:9">
      <c r="H13139" s="1245"/>
      <c r="I13139" s="1245"/>
    </row>
    <row r="13140" spans="8:9">
      <c r="H13140" s="1245"/>
      <c r="I13140" s="1245"/>
    </row>
    <row r="13141" spans="8:9">
      <c r="H13141" s="1245"/>
      <c r="I13141" s="1245"/>
    </row>
    <row r="13142" spans="8:9">
      <c r="H13142" s="1245"/>
      <c r="I13142" s="1245"/>
    </row>
    <row r="13143" spans="8:9">
      <c r="H13143" s="1245"/>
      <c r="I13143" s="1245"/>
    </row>
    <row r="13144" spans="8:9">
      <c r="H13144" s="1245"/>
      <c r="I13144" s="1245"/>
    </row>
    <row r="13145" spans="8:9">
      <c r="H13145" s="1245"/>
      <c r="I13145" s="1245"/>
    </row>
    <row r="13146" spans="8:9">
      <c r="H13146" s="1245"/>
      <c r="I13146" s="1245"/>
    </row>
    <row r="13147" spans="8:9">
      <c r="H13147" s="1245"/>
      <c r="I13147" s="1245"/>
    </row>
    <row r="13148" spans="8:9">
      <c r="H13148" s="1245"/>
      <c r="I13148" s="1245"/>
    </row>
    <row r="13149" spans="8:9">
      <c r="H13149" s="1245"/>
      <c r="I13149" s="1245"/>
    </row>
    <row r="13150" spans="8:9">
      <c r="H13150" s="1245"/>
      <c r="I13150" s="1245"/>
    </row>
    <row r="13151" spans="8:9">
      <c r="H13151" s="1245"/>
      <c r="I13151" s="1245"/>
    </row>
    <row r="13152" spans="8:9">
      <c r="H13152" s="1245"/>
      <c r="I13152" s="1245"/>
    </row>
    <row r="13153" spans="8:9">
      <c r="H13153" s="1245"/>
      <c r="I13153" s="1245"/>
    </row>
    <row r="13154" spans="8:9">
      <c r="H13154" s="1245"/>
      <c r="I13154" s="1245"/>
    </row>
    <row r="13155" spans="8:9">
      <c r="H13155" s="1245"/>
      <c r="I13155" s="1245"/>
    </row>
    <row r="13156" spans="8:9">
      <c r="H13156" s="1245"/>
      <c r="I13156" s="1245"/>
    </row>
    <row r="13157" spans="8:9">
      <c r="H13157" s="1245"/>
      <c r="I13157" s="1245"/>
    </row>
    <row r="13158" spans="8:9">
      <c r="H13158" s="1245"/>
      <c r="I13158" s="1245"/>
    </row>
    <row r="13159" spans="8:9">
      <c r="H13159" s="1245"/>
      <c r="I13159" s="1245"/>
    </row>
    <row r="13160" spans="8:9">
      <c r="H13160" s="1245"/>
      <c r="I13160" s="1245"/>
    </row>
    <row r="13161" spans="8:9">
      <c r="H13161" s="1245"/>
      <c r="I13161" s="1245"/>
    </row>
    <row r="13162" spans="8:9">
      <c r="H13162" s="1245"/>
      <c r="I13162" s="1245"/>
    </row>
    <row r="13163" spans="8:9">
      <c r="H13163" s="1245"/>
      <c r="I13163" s="1245"/>
    </row>
    <row r="13164" spans="8:9">
      <c r="H13164" s="1245"/>
      <c r="I13164" s="1245"/>
    </row>
    <row r="13165" spans="8:9">
      <c r="H13165" s="1245"/>
      <c r="I13165" s="1245"/>
    </row>
    <row r="13166" spans="8:9">
      <c r="H13166" s="1245"/>
      <c r="I13166" s="1245"/>
    </row>
    <row r="13167" spans="8:9">
      <c r="H13167" s="1245"/>
      <c r="I13167" s="1245"/>
    </row>
    <row r="13168" spans="8:9">
      <c r="H13168" s="1245"/>
      <c r="I13168" s="1245"/>
    </row>
    <row r="13169" spans="8:9">
      <c r="H13169" s="1245"/>
      <c r="I13169" s="1245"/>
    </row>
    <row r="13170" spans="8:9">
      <c r="H13170" s="1245"/>
      <c r="I13170" s="1245"/>
    </row>
    <row r="13171" spans="8:9">
      <c r="H13171" s="1245"/>
      <c r="I13171" s="1245"/>
    </row>
    <row r="13172" spans="8:9">
      <c r="H13172" s="1245"/>
      <c r="I13172" s="1245"/>
    </row>
    <row r="13173" spans="8:9">
      <c r="H13173" s="1245"/>
      <c r="I13173" s="1245"/>
    </row>
    <row r="13174" spans="8:9">
      <c r="H13174" s="1245"/>
      <c r="I13174" s="1245"/>
    </row>
    <row r="13175" spans="8:9">
      <c r="H13175" s="1245"/>
      <c r="I13175" s="1245"/>
    </row>
    <row r="13176" spans="8:9">
      <c r="H13176" s="1245"/>
      <c r="I13176" s="1245"/>
    </row>
    <row r="13177" spans="8:9">
      <c r="H13177" s="1245"/>
      <c r="I13177" s="1245"/>
    </row>
    <row r="13178" spans="8:9">
      <c r="H13178" s="1245"/>
      <c r="I13178" s="1245"/>
    </row>
    <row r="13179" spans="8:9">
      <c r="H13179" s="1245"/>
      <c r="I13179" s="1245"/>
    </row>
    <row r="13180" spans="8:9">
      <c r="H13180" s="1245"/>
      <c r="I13180" s="1245"/>
    </row>
    <row r="13181" spans="8:9">
      <c r="H13181" s="1245"/>
      <c r="I13181" s="1245"/>
    </row>
    <row r="13182" spans="8:9">
      <c r="H13182" s="1245"/>
      <c r="I13182" s="1245"/>
    </row>
    <row r="13183" spans="8:9">
      <c r="H13183" s="1245"/>
      <c r="I13183" s="1245"/>
    </row>
    <row r="13184" spans="8:9">
      <c r="H13184" s="1245"/>
      <c r="I13184" s="1245"/>
    </row>
    <row r="13185" spans="8:9">
      <c r="H13185" s="1245"/>
      <c r="I13185" s="1245"/>
    </row>
    <row r="13186" spans="8:9">
      <c r="H13186" s="1245"/>
      <c r="I13186" s="1245"/>
    </row>
    <row r="13187" spans="8:9">
      <c r="H13187" s="1245"/>
      <c r="I13187" s="1245"/>
    </row>
    <row r="13188" spans="8:9">
      <c r="H13188" s="1245"/>
      <c r="I13188" s="1245"/>
    </row>
    <row r="13189" spans="8:9">
      <c r="H13189" s="1245"/>
      <c r="I13189" s="1245"/>
    </row>
    <row r="13190" spans="8:9">
      <c r="H13190" s="1245"/>
      <c r="I13190" s="1245"/>
    </row>
    <row r="13191" spans="8:9">
      <c r="H13191" s="1245"/>
      <c r="I13191" s="1245"/>
    </row>
    <row r="13192" spans="8:9">
      <c r="H13192" s="1245"/>
      <c r="I13192" s="1245"/>
    </row>
    <row r="13193" spans="8:9">
      <c r="H13193" s="1245"/>
      <c r="I13193" s="1245"/>
    </row>
    <row r="13194" spans="8:9">
      <c r="H13194" s="1245"/>
      <c r="I13194" s="1245"/>
    </row>
    <row r="13195" spans="8:9">
      <c r="H13195" s="1245"/>
      <c r="I13195" s="1245"/>
    </row>
    <row r="13196" spans="8:9">
      <c r="H13196" s="1245"/>
      <c r="I13196" s="1245"/>
    </row>
    <row r="13197" spans="8:9">
      <c r="H13197" s="1245"/>
      <c r="I13197" s="1245"/>
    </row>
    <row r="13198" spans="8:9">
      <c r="H13198" s="1245"/>
      <c r="I13198" s="1245"/>
    </row>
    <row r="13199" spans="8:9">
      <c r="H13199" s="1245"/>
      <c r="I13199" s="1245"/>
    </row>
    <row r="13200" spans="8:9">
      <c r="H13200" s="1245"/>
      <c r="I13200" s="1245"/>
    </row>
    <row r="13201" spans="8:9">
      <c r="H13201" s="1245"/>
      <c r="I13201" s="1245"/>
    </row>
    <row r="13202" spans="8:9">
      <c r="H13202" s="1245"/>
      <c r="I13202" s="1245"/>
    </row>
    <row r="13203" spans="8:9">
      <c r="H13203" s="1245"/>
      <c r="I13203" s="1245"/>
    </row>
    <row r="13204" spans="8:9">
      <c r="H13204" s="1245"/>
      <c r="I13204" s="1245"/>
    </row>
    <row r="13205" spans="8:9">
      <c r="H13205" s="1245"/>
      <c r="I13205" s="1245"/>
    </row>
    <row r="13206" spans="8:9">
      <c r="H13206" s="1245"/>
      <c r="I13206" s="1245"/>
    </row>
    <row r="13207" spans="8:9">
      <c r="H13207" s="1245"/>
      <c r="I13207" s="1245"/>
    </row>
    <row r="13208" spans="8:9">
      <c r="H13208" s="1245"/>
      <c r="I13208" s="1245"/>
    </row>
    <row r="13209" spans="8:9">
      <c r="H13209" s="1245"/>
      <c r="I13209" s="1245"/>
    </row>
    <row r="13210" spans="8:9">
      <c r="H13210" s="1245"/>
      <c r="I13210" s="1245"/>
    </row>
    <row r="13211" spans="8:9">
      <c r="H13211" s="1245"/>
      <c r="I13211" s="1245"/>
    </row>
    <row r="13212" spans="8:9">
      <c r="H13212" s="1245"/>
      <c r="I13212" s="1245"/>
    </row>
    <row r="13213" spans="8:9">
      <c r="H13213" s="1245"/>
      <c r="I13213" s="1245"/>
    </row>
    <row r="13214" spans="8:9">
      <c r="H13214" s="1245"/>
      <c r="I13214" s="1245"/>
    </row>
    <row r="13215" spans="8:9">
      <c r="H13215" s="1245"/>
      <c r="I13215" s="1245"/>
    </row>
    <row r="13216" spans="8:9">
      <c r="H13216" s="1245"/>
      <c r="I13216" s="1245"/>
    </row>
    <row r="13217" spans="8:9">
      <c r="H13217" s="1245"/>
      <c r="I13217" s="1245"/>
    </row>
    <row r="13218" spans="8:9">
      <c r="H13218" s="1245"/>
      <c r="I13218" s="1245"/>
    </row>
    <row r="13219" spans="8:9">
      <c r="H13219" s="1245"/>
      <c r="I13219" s="1245"/>
    </row>
    <row r="13220" spans="8:9">
      <c r="H13220" s="1245"/>
      <c r="I13220" s="1245"/>
    </row>
    <row r="13221" spans="8:9">
      <c r="H13221" s="1245"/>
      <c r="I13221" s="1245"/>
    </row>
    <row r="13222" spans="8:9">
      <c r="H13222" s="1245"/>
      <c r="I13222" s="1245"/>
    </row>
    <row r="13223" spans="8:9">
      <c r="H13223" s="1245"/>
      <c r="I13223" s="1245"/>
    </row>
    <row r="13224" spans="8:9">
      <c r="H13224" s="1245"/>
      <c r="I13224" s="1245"/>
    </row>
    <row r="13225" spans="8:9">
      <c r="H13225" s="1245"/>
      <c r="I13225" s="1245"/>
    </row>
    <row r="13226" spans="8:9">
      <c r="H13226" s="1245"/>
      <c r="I13226" s="1245"/>
    </row>
    <row r="13227" spans="8:9">
      <c r="H13227" s="1245"/>
      <c r="I13227" s="1245"/>
    </row>
    <row r="13228" spans="8:9">
      <c r="H13228" s="1245"/>
      <c r="I13228" s="1245"/>
    </row>
    <row r="13229" spans="8:9">
      <c r="H13229" s="1245"/>
      <c r="I13229" s="1245"/>
    </row>
    <row r="13230" spans="8:9">
      <c r="H13230" s="1245"/>
      <c r="I13230" s="1245"/>
    </row>
    <row r="13231" spans="8:9">
      <c r="H13231" s="1245"/>
      <c r="I13231" s="1245"/>
    </row>
    <row r="13232" spans="8:9">
      <c r="H13232" s="1245"/>
      <c r="I13232" s="1245"/>
    </row>
    <row r="13233" spans="8:9">
      <c r="H13233" s="1245"/>
      <c r="I13233" s="1245"/>
    </row>
    <row r="13234" spans="8:9">
      <c r="H13234" s="1245"/>
      <c r="I13234" s="1245"/>
    </row>
    <row r="13235" spans="8:9">
      <c r="H13235" s="1245"/>
      <c r="I13235" s="1245"/>
    </row>
    <row r="13236" spans="8:9">
      <c r="H13236" s="1245"/>
      <c r="I13236" s="1245"/>
    </row>
    <row r="13237" spans="8:9">
      <c r="H13237" s="1245"/>
      <c r="I13237" s="1245"/>
    </row>
    <row r="13238" spans="8:9">
      <c r="H13238" s="1245"/>
      <c r="I13238" s="1245"/>
    </row>
    <row r="13239" spans="8:9">
      <c r="H13239" s="1245"/>
      <c r="I13239" s="1245"/>
    </row>
    <row r="13240" spans="8:9">
      <c r="H13240" s="1245"/>
      <c r="I13240" s="1245"/>
    </row>
    <row r="13241" spans="8:9">
      <c r="H13241" s="1245"/>
      <c r="I13241" s="1245"/>
    </row>
    <row r="13242" spans="8:9">
      <c r="H13242" s="1245"/>
      <c r="I13242" s="1245"/>
    </row>
    <row r="13243" spans="8:9">
      <c r="H13243" s="1245"/>
      <c r="I13243" s="1245"/>
    </row>
    <row r="13244" spans="8:9">
      <c r="H13244" s="1245"/>
      <c r="I13244" s="1245"/>
    </row>
    <row r="13245" spans="8:9">
      <c r="H13245" s="1245"/>
      <c r="I13245" s="1245"/>
    </row>
    <row r="13246" spans="8:9">
      <c r="H13246" s="1245"/>
      <c r="I13246" s="1245"/>
    </row>
    <row r="13247" spans="8:9">
      <c r="H13247" s="1245"/>
      <c r="I13247" s="1245"/>
    </row>
    <row r="13248" spans="8:9">
      <c r="H13248" s="1245"/>
      <c r="I13248" s="1245"/>
    </row>
    <row r="13249" spans="8:9">
      <c r="H13249" s="1245"/>
      <c r="I13249" s="1245"/>
    </row>
    <row r="13250" spans="8:9">
      <c r="H13250" s="1245"/>
      <c r="I13250" s="1245"/>
    </row>
    <row r="13251" spans="8:9">
      <c r="H13251" s="1245"/>
      <c r="I13251" s="1245"/>
    </row>
    <row r="13252" spans="8:9">
      <c r="H13252" s="1245"/>
      <c r="I13252" s="1245"/>
    </row>
    <row r="13253" spans="8:9">
      <c r="H13253" s="1245"/>
      <c r="I13253" s="1245"/>
    </row>
    <row r="13254" spans="8:9">
      <c r="H13254" s="1245"/>
      <c r="I13254" s="1245"/>
    </row>
    <row r="13255" spans="8:9">
      <c r="H13255" s="1245"/>
      <c r="I13255" s="1245"/>
    </row>
    <row r="13256" spans="8:9">
      <c r="H13256" s="1245"/>
      <c r="I13256" s="1245"/>
    </row>
    <row r="13257" spans="8:9">
      <c r="H13257" s="1245"/>
      <c r="I13257" s="1245"/>
    </row>
    <row r="13258" spans="8:9">
      <c r="H13258" s="1245"/>
      <c r="I13258" s="1245"/>
    </row>
    <row r="13259" spans="8:9">
      <c r="H13259" s="1245"/>
      <c r="I13259" s="1245"/>
    </row>
    <row r="13260" spans="8:9">
      <c r="H13260" s="1245"/>
      <c r="I13260" s="1245"/>
    </row>
    <row r="13261" spans="8:9">
      <c r="H13261" s="1245"/>
      <c r="I13261" s="1245"/>
    </row>
    <row r="13262" spans="8:9">
      <c r="H13262" s="1245"/>
      <c r="I13262" s="1245"/>
    </row>
    <row r="13263" spans="8:9">
      <c r="H13263" s="1245"/>
      <c r="I13263" s="1245"/>
    </row>
    <row r="13264" spans="8:9">
      <c r="H13264" s="1245"/>
      <c r="I13264" s="1245"/>
    </row>
    <row r="13265" spans="8:9">
      <c r="H13265" s="1245"/>
      <c r="I13265" s="1245"/>
    </row>
    <row r="13266" spans="8:9">
      <c r="H13266" s="1245"/>
      <c r="I13266" s="1245"/>
    </row>
    <row r="13267" spans="8:9">
      <c r="H13267" s="1245"/>
      <c r="I13267" s="1245"/>
    </row>
    <row r="13268" spans="8:9">
      <c r="H13268" s="1245"/>
      <c r="I13268" s="1245"/>
    </row>
    <row r="13269" spans="8:9">
      <c r="H13269" s="1245"/>
      <c r="I13269" s="1245"/>
    </row>
    <row r="13270" spans="8:9">
      <c r="H13270" s="1245"/>
      <c r="I13270" s="1245"/>
    </row>
    <row r="13271" spans="8:9">
      <c r="H13271" s="1245"/>
      <c r="I13271" s="1245"/>
    </row>
    <row r="13272" spans="8:9">
      <c r="H13272" s="1245"/>
      <c r="I13272" s="1245"/>
    </row>
    <row r="13273" spans="8:9">
      <c r="H13273" s="1245"/>
      <c r="I13273" s="1245"/>
    </row>
    <row r="13274" spans="8:9">
      <c r="H13274" s="1245"/>
      <c r="I13274" s="1245"/>
    </row>
    <row r="13275" spans="8:9">
      <c r="H13275" s="1245"/>
      <c r="I13275" s="1245"/>
    </row>
    <row r="13276" spans="8:9">
      <c r="H13276" s="1245"/>
      <c r="I13276" s="1245"/>
    </row>
    <row r="13277" spans="8:9">
      <c r="H13277" s="1245"/>
      <c r="I13277" s="1245"/>
    </row>
    <row r="13278" spans="8:9">
      <c r="H13278" s="1245"/>
      <c r="I13278" s="1245"/>
    </row>
    <row r="13279" spans="8:9">
      <c r="H13279" s="1245"/>
      <c r="I13279" s="1245"/>
    </row>
    <row r="13280" spans="8:9">
      <c r="H13280" s="1245"/>
      <c r="I13280" s="1245"/>
    </row>
    <row r="13281" spans="8:9">
      <c r="H13281" s="1245"/>
      <c r="I13281" s="1245"/>
    </row>
    <row r="13282" spans="8:9">
      <c r="H13282" s="1245"/>
      <c r="I13282" s="1245"/>
    </row>
    <row r="13283" spans="8:9">
      <c r="H13283" s="1245"/>
      <c r="I13283" s="1245"/>
    </row>
    <row r="13284" spans="8:9">
      <c r="H13284" s="1245"/>
      <c r="I13284" s="1245"/>
    </row>
    <row r="13285" spans="8:9">
      <c r="H13285" s="1245"/>
      <c r="I13285" s="1245"/>
    </row>
    <row r="13286" spans="8:9">
      <c r="H13286" s="1245"/>
      <c r="I13286" s="1245"/>
    </row>
    <row r="13287" spans="8:9">
      <c r="H13287" s="1245"/>
      <c r="I13287" s="1245"/>
    </row>
    <row r="13288" spans="8:9">
      <c r="H13288" s="1245"/>
      <c r="I13288" s="1245"/>
    </row>
    <row r="13289" spans="8:9">
      <c r="H13289" s="1245"/>
      <c r="I13289" s="1245"/>
    </row>
    <row r="13290" spans="8:9">
      <c r="H13290" s="1245"/>
      <c r="I13290" s="1245"/>
    </row>
    <row r="13291" spans="8:9">
      <c r="H13291" s="1245"/>
      <c r="I13291" s="1245"/>
    </row>
    <row r="13292" spans="8:9">
      <c r="H13292" s="1245"/>
      <c r="I13292" s="1245"/>
    </row>
    <row r="13293" spans="8:9">
      <c r="H13293" s="1245"/>
      <c r="I13293" s="1245"/>
    </row>
    <row r="13294" spans="8:9">
      <c r="H13294" s="1245"/>
      <c r="I13294" s="1245"/>
    </row>
    <row r="13295" spans="8:9">
      <c r="H13295" s="1245"/>
      <c r="I13295" s="1245"/>
    </row>
    <row r="13296" spans="8:9">
      <c r="H13296" s="1245"/>
      <c r="I13296" s="1245"/>
    </row>
    <row r="13297" spans="8:9">
      <c r="H13297" s="1245"/>
      <c r="I13297" s="1245"/>
    </row>
    <row r="13298" spans="8:9">
      <c r="H13298" s="1245"/>
      <c r="I13298" s="1245"/>
    </row>
    <row r="13299" spans="8:9">
      <c r="H13299" s="1245"/>
      <c r="I13299" s="1245"/>
    </row>
    <row r="13300" spans="8:9">
      <c r="H13300" s="1245"/>
      <c r="I13300" s="1245"/>
    </row>
    <row r="13301" spans="8:9">
      <c r="H13301" s="1245"/>
      <c r="I13301" s="1245"/>
    </row>
    <row r="13302" spans="8:9">
      <c r="H13302" s="1245"/>
      <c r="I13302" s="1245"/>
    </row>
    <row r="13303" spans="8:9">
      <c r="H13303" s="1245"/>
      <c r="I13303" s="1245"/>
    </row>
    <row r="13304" spans="8:9">
      <c r="H13304" s="1245"/>
      <c r="I13304" s="1245"/>
    </row>
    <row r="13305" spans="8:9">
      <c r="H13305" s="1245"/>
      <c r="I13305" s="1245"/>
    </row>
    <row r="13306" spans="8:9">
      <c r="H13306" s="1245"/>
      <c r="I13306" s="1245"/>
    </row>
    <row r="13307" spans="8:9">
      <c r="H13307" s="1245"/>
      <c r="I13307" s="1245"/>
    </row>
    <row r="13308" spans="8:9">
      <c r="H13308" s="1245"/>
      <c r="I13308" s="1245"/>
    </row>
    <row r="13309" spans="8:9">
      <c r="H13309" s="1245"/>
      <c r="I13309" s="1245"/>
    </row>
    <row r="13310" spans="8:9">
      <c r="H13310" s="1245"/>
      <c r="I13310" s="1245"/>
    </row>
    <row r="13311" spans="8:9">
      <c r="H13311" s="1245"/>
      <c r="I13311" s="1245"/>
    </row>
    <row r="13312" spans="8:9">
      <c r="H13312" s="1245"/>
      <c r="I13312" s="1245"/>
    </row>
    <row r="13313" spans="8:9">
      <c r="H13313" s="1245"/>
      <c r="I13313" s="1245"/>
    </row>
    <row r="13314" spans="8:9">
      <c r="H13314" s="1245"/>
      <c r="I13314" s="1245"/>
    </row>
    <row r="13315" spans="8:9">
      <c r="H13315" s="1245"/>
      <c r="I13315" s="1245"/>
    </row>
    <row r="13316" spans="8:9">
      <c r="H13316" s="1245"/>
      <c r="I13316" s="1245"/>
    </row>
    <row r="13317" spans="8:9">
      <c r="H13317" s="1245"/>
      <c r="I13317" s="1245"/>
    </row>
    <row r="13318" spans="8:9">
      <c r="H13318" s="1245"/>
      <c r="I13318" s="1245"/>
    </row>
    <row r="13319" spans="8:9">
      <c r="H13319" s="1245"/>
      <c r="I13319" s="1245"/>
    </row>
    <row r="13320" spans="8:9">
      <c r="H13320" s="1245"/>
      <c r="I13320" s="1245"/>
    </row>
    <row r="13321" spans="8:9">
      <c r="H13321" s="1245"/>
      <c r="I13321" s="1245"/>
    </row>
    <row r="13322" spans="8:9">
      <c r="H13322" s="1245"/>
      <c r="I13322" s="1245"/>
    </row>
    <row r="13323" spans="8:9">
      <c r="H13323" s="1245"/>
      <c r="I13323" s="1245"/>
    </row>
    <row r="13324" spans="8:9">
      <c r="H13324" s="1245"/>
      <c r="I13324" s="1245"/>
    </row>
    <row r="13325" spans="8:9">
      <c r="H13325" s="1245"/>
      <c r="I13325" s="1245"/>
    </row>
    <row r="13326" spans="8:9">
      <c r="H13326" s="1245"/>
      <c r="I13326" s="1245"/>
    </row>
    <row r="13327" spans="8:9">
      <c r="H13327" s="1245"/>
      <c r="I13327" s="1245"/>
    </row>
    <row r="13328" spans="8:9">
      <c r="H13328" s="1245"/>
      <c r="I13328" s="1245"/>
    </row>
    <row r="13329" spans="8:9">
      <c r="H13329" s="1245"/>
      <c r="I13329" s="1245"/>
    </row>
    <row r="13330" spans="8:9">
      <c r="H13330" s="1245"/>
      <c r="I13330" s="1245"/>
    </row>
    <row r="13331" spans="8:9">
      <c r="H13331" s="1245"/>
      <c r="I13331" s="1245"/>
    </row>
    <row r="13332" spans="8:9">
      <c r="H13332" s="1245"/>
      <c r="I13332" s="1245"/>
    </row>
    <row r="13333" spans="8:9">
      <c r="H13333" s="1245"/>
      <c r="I13333" s="1245"/>
    </row>
    <row r="13334" spans="8:9">
      <c r="H13334" s="1245"/>
      <c r="I13334" s="1245"/>
    </row>
    <row r="13335" spans="8:9">
      <c r="H13335" s="1245"/>
      <c r="I13335" s="1245"/>
    </row>
    <row r="13336" spans="8:9">
      <c r="H13336" s="1245"/>
      <c r="I13336" s="1245"/>
    </row>
    <row r="13337" spans="8:9">
      <c r="H13337" s="1245"/>
      <c r="I13337" s="1245"/>
    </row>
    <row r="13338" spans="8:9">
      <c r="H13338" s="1245"/>
      <c r="I13338" s="1245"/>
    </row>
    <row r="13339" spans="8:9">
      <c r="H13339" s="1245"/>
      <c r="I13339" s="1245"/>
    </row>
    <row r="13340" spans="8:9">
      <c r="H13340" s="1245"/>
      <c r="I13340" s="1245"/>
    </row>
    <row r="13341" spans="8:9">
      <c r="H13341" s="1245"/>
      <c r="I13341" s="1245"/>
    </row>
    <row r="13342" spans="8:9">
      <c r="H13342" s="1245"/>
      <c r="I13342" s="1245"/>
    </row>
    <row r="13343" spans="8:9">
      <c r="H13343" s="1245"/>
      <c r="I13343" s="1245"/>
    </row>
    <row r="13344" spans="8:9">
      <c r="H13344" s="1245"/>
      <c r="I13344" s="1245"/>
    </row>
    <row r="13345" spans="8:9">
      <c r="H13345" s="1245"/>
      <c r="I13345" s="1245"/>
    </row>
    <row r="13346" spans="8:9">
      <c r="H13346" s="1245"/>
      <c r="I13346" s="1245"/>
    </row>
    <row r="13347" spans="8:9">
      <c r="H13347" s="1245"/>
      <c r="I13347" s="1245"/>
    </row>
    <row r="13348" spans="8:9">
      <c r="H13348" s="1245"/>
      <c r="I13348" s="1245"/>
    </row>
    <row r="13349" spans="8:9">
      <c r="H13349" s="1245"/>
      <c r="I13349" s="1245"/>
    </row>
    <row r="13350" spans="8:9">
      <c r="H13350" s="1245"/>
      <c r="I13350" s="1245"/>
    </row>
    <row r="13351" spans="8:9">
      <c r="H13351" s="1245"/>
      <c r="I13351" s="1245"/>
    </row>
    <row r="13352" spans="8:9">
      <c r="H13352" s="1245"/>
      <c r="I13352" s="1245"/>
    </row>
    <row r="13353" spans="8:9">
      <c r="H13353" s="1245"/>
      <c r="I13353" s="1245"/>
    </row>
    <row r="13354" spans="8:9">
      <c r="H13354" s="1245"/>
      <c r="I13354" s="1245"/>
    </row>
    <row r="13355" spans="8:9">
      <c r="H13355" s="1245"/>
      <c r="I13355" s="1245"/>
    </row>
    <row r="13356" spans="8:9">
      <c r="H13356" s="1245"/>
      <c r="I13356" s="1245"/>
    </row>
    <row r="13357" spans="8:9">
      <c r="H13357" s="1245"/>
      <c r="I13357" s="1245"/>
    </row>
    <row r="13358" spans="8:9">
      <c r="H13358" s="1245"/>
      <c r="I13358" s="1245"/>
    </row>
    <row r="13359" spans="8:9">
      <c r="H13359" s="1245"/>
      <c r="I13359" s="1245"/>
    </row>
    <row r="13360" spans="8:9">
      <c r="H13360" s="1245"/>
      <c r="I13360" s="1245"/>
    </row>
    <row r="13361" spans="8:9">
      <c r="H13361" s="1245"/>
      <c r="I13361" s="1245"/>
    </row>
    <row r="13362" spans="8:9">
      <c r="H13362" s="1245"/>
      <c r="I13362" s="1245"/>
    </row>
    <row r="13363" spans="8:9">
      <c r="H13363" s="1245"/>
      <c r="I13363" s="1245"/>
    </row>
    <row r="13364" spans="8:9">
      <c r="H13364" s="1245"/>
      <c r="I13364" s="1245"/>
    </row>
    <row r="13365" spans="8:9">
      <c r="H13365" s="1245"/>
      <c r="I13365" s="1245"/>
    </row>
    <row r="13366" spans="8:9">
      <c r="H13366" s="1245"/>
      <c r="I13366" s="1245"/>
    </row>
    <row r="13367" spans="8:9">
      <c r="H13367" s="1245"/>
      <c r="I13367" s="1245"/>
    </row>
    <row r="13368" spans="8:9">
      <c r="H13368" s="1245"/>
      <c r="I13368" s="1245"/>
    </row>
    <row r="13369" spans="8:9">
      <c r="H13369" s="1245"/>
      <c r="I13369" s="1245"/>
    </row>
    <row r="13370" spans="8:9">
      <c r="H13370" s="1245"/>
      <c r="I13370" s="1245"/>
    </row>
    <row r="13371" spans="8:9">
      <c r="H13371" s="1245"/>
      <c r="I13371" s="1245"/>
    </row>
    <row r="13372" spans="8:9">
      <c r="H13372" s="1245"/>
      <c r="I13372" s="1245"/>
    </row>
    <row r="13373" spans="8:9">
      <c r="H13373" s="1245"/>
      <c r="I13373" s="1245"/>
    </row>
    <row r="13374" spans="8:9">
      <c r="H13374" s="1245"/>
      <c r="I13374" s="1245"/>
    </row>
    <row r="13375" spans="8:9">
      <c r="H13375" s="1245"/>
      <c r="I13375" s="1245"/>
    </row>
    <row r="13376" spans="8:9">
      <c r="H13376" s="1245"/>
      <c r="I13376" s="1245"/>
    </row>
    <row r="13377" spans="8:9">
      <c r="H13377" s="1245"/>
      <c r="I13377" s="1245"/>
    </row>
    <row r="13378" spans="8:9">
      <c r="H13378" s="1245"/>
      <c r="I13378" s="1245"/>
    </row>
    <row r="13379" spans="8:9">
      <c r="H13379" s="1245"/>
      <c r="I13379" s="1245"/>
    </row>
    <row r="13380" spans="8:9">
      <c r="H13380" s="1245"/>
      <c r="I13380" s="1245"/>
    </row>
    <row r="13381" spans="8:9">
      <c r="H13381" s="1245"/>
      <c r="I13381" s="1245"/>
    </row>
    <row r="13382" spans="8:9">
      <c r="H13382" s="1245"/>
      <c r="I13382" s="1245"/>
    </row>
    <row r="13383" spans="8:9">
      <c r="H13383" s="1245"/>
      <c r="I13383" s="1245"/>
    </row>
    <row r="13384" spans="8:9">
      <c r="H13384" s="1245"/>
      <c r="I13384" s="1245"/>
    </row>
    <row r="13385" spans="8:9">
      <c r="H13385" s="1245"/>
      <c r="I13385" s="1245"/>
    </row>
    <row r="13386" spans="8:9">
      <c r="H13386" s="1245"/>
      <c r="I13386" s="1245"/>
    </row>
    <row r="13387" spans="8:9">
      <c r="H13387" s="1245"/>
      <c r="I13387" s="1245"/>
    </row>
    <row r="13388" spans="8:9">
      <c r="H13388" s="1245"/>
      <c r="I13388" s="1245"/>
    </row>
    <row r="13389" spans="8:9">
      <c r="H13389" s="1245"/>
      <c r="I13389" s="1245"/>
    </row>
    <row r="13390" spans="8:9">
      <c r="H13390" s="1245"/>
      <c r="I13390" s="1245"/>
    </row>
    <row r="13391" spans="8:9">
      <c r="H13391" s="1245"/>
      <c r="I13391" s="1245"/>
    </row>
    <row r="13392" spans="8:9">
      <c r="H13392" s="1245"/>
      <c r="I13392" s="1245"/>
    </row>
    <row r="13393" spans="8:9">
      <c r="H13393" s="1245"/>
      <c r="I13393" s="1245"/>
    </row>
    <row r="13394" spans="8:9">
      <c r="H13394" s="1245"/>
      <c r="I13394" s="1245"/>
    </row>
    <row r="13395" spans="8:9">
      <c r="H13395" s="1245"/>
      <c r="I13395" s="1245"/>
    </row>
    <row r="13396" spans="8:9">
      <c r="H13396" s="1245"/>
      <c r="I13396" s="1245"/>
    </row>
    <row r="13397" spans="8:9">
      <c r="H13397" s="1245"/>
      <c r="I13397" s="1245"/>
    </row>
    <row r="13398" spans="8:9">
      <c r="H13398" s="1245"/>
      <c r="I13398" s="1245"/>
    </row>
    <row r="13399" spans="8:9">
      <c r="H13399" s="1245"/>
      <c r="I13399" s="1245"/>
    </row>
    <row r="13400" spans="8:9">
      <c r="H13400" s="1245"/>
      <c r="I13400" s="1245"/>
    </row>
    <row r="13401" spans="8:9">
      <c r="H13401" s="1245"/>
      <c r="I13401" s="1245"/>
    </row>
    <row r="13402" spans="8:9">
      <c r="H13402" s="1245"/>
      <c r="I13402" s="1245"/>
    </row>
    <row r="13403" spans="8:9">
      <c r="H13403" s="1245"/>
      <c r="I13403" s="1245"/>
    </row>
    <row r="13404" spans="8:9">
      <c r="H13404" s="1245"/>
      <c r="I13404" s="1245"/>
    </row>
    <row r="13405" spans="8:9">
      <c r="H13405" s="1245"/>
      <c r="I13405" s="1245"/>
    </row>
    <row r="13406" spans="8:9">
      <c r="H13406" s="1245"/>
      <c r="I13406" s="1245"/>
    </row>
    <row r="13407" spans="8:9">
      <c r="H13407" s="1245"/>
      <c r="I13407" s="1245"/>
    </row>
    <row r="13408" spans="8:9">
      <c r="H13408" s="1245"/>
      <c r="I13408" s="1245"/>
    </row>
    <row r="13409" spans="8:9">
      <c r="H13409" s="1245"/>
      <c r="I13409" s="1245"/>
    </row>
    <row r="13410" spans="8:9">
      <c r="H13410" s="1245"/>
      <c r="I13410" s="1245"/>
    </row>
    <row r="13411" spans="8:9">
      <c r="H13411" s="1245"/>
      <c r="I13411" s="1245"/>
    </row>
    <row r="13412" spans="8:9">
      <c r="H13412" s="1245"/>
      <c r="I13412" s="1245"/>
    </row>
    <row r="13413" spans="8:9">
      <c r="H13413" s="1245"/>
      <c r="I13413" s="1245"/>
    </row>
    <row r="13414" spans="8:9">
      <c r="H13414" s="1245"/>
      <c r="I13414" s="1245"/>
    </row>
    <row r="13415" spans="8:9">
      <c r="H13415" s="1245"/>
      <c r="I13415" s="1245"/>
    </row>
    <row r="13416" spans="8:9">
      <c r="H13416" s="1245"/>
      <c r="I13416" s="1245"/>
    </row>
    <row r="13417" spans="8:9">
      <c r="H13417" s="1245"/>
      <c r="I13417" s="1245"/>
    </row>
    <row r="13418" spans="8:9">
      <c r="H13418" s="1245"/>
      <c r="I13418" s="1245"/>
    </row>
    <row r="13419" spans="8:9">
      <c r="H13419" s="1245"/>
      <c r="I13419" s="1245"/>
    </row>
    <row r="13420" spans="8:9">
      <c r="H13420" s="1245"/>
      <c r="I13420" s="1245"/>
    </row>
    <row r="13421" spans="8:9">
      <c r="H13421" s="1245"/>
      <c r="I13421" s="1245"/>
    </row>
    <row r="13422" spans="8:9">
      <c r="H13422" s="1245"/>
      <c r="I13422" s="1245"/>
    </row>
    <row r="13423" spans="8:9">
      <c r="H13423" s="1245"/>
      <c r="I13423" s="1245"/>
    </row>
    <row r="13424" spans="8:9">
      <c r="H13424" s="1245"/>
      <c r="I13424" s="1245"/>
    </row>
    <row r="13425" spans="8:9">
      <c r="H13425" s="1245"/>
      <c r="I13425" s="1245"/>
    </row>
    <row r="13426" spans="8:9">
      <c r="H13426" s="1245"/>
      <c r="I13426" s="1245"/>
    </row>
    <row r="13427" spans="8:9">
      <c r="H13427" s="1245"/>
      <c r="I13427" s="1245"/>
    </row>
    <row r="13428" spans="8:9">
      <c r="H13428" s="1245"/>
      <c r="I13428" s="1245"/>
    </row>
    <row r="13429" spans="8:9">
      <c r="H13429" s="1245"/>
      <c r="I13429" s="1245"/>
    </row>
    <row r="13430" spans="8:9">
      <c r="H13430" s="1245"/>
      <c r="I13430" s="1245"/>
    </row>
    <row r="13431" spans="8:9">
      <c r="H13431" s="1245"/>
      <c r="I13431" s="1245"/>
    </row>
    <row r="13432" spans="8:9">
      <c r="H13432" s="1245"/>
      <c r="I13432" s="1245"/>
    </row>
    <row r="13433" spans="8:9">
      <c r="H13433" s="1245"/>
      <c r="I13433" s="1245"/>
    </row>
    <row r="13434" spans="8:9">
      <c r="H13434" s="1245"/>
      <c r="I13434" s="1245"/>
    </row>
    <row r="13435" spans="8:9">
      <c r="H13435" s="1245"/>
      <c r="I13435" s="1245"/>
    </row>
    <row r="13436" spans="8:9">
      <c r="H13436" s="1245"/>
      <c r="I13436" s="1245"/>
    </row>
    <row r="13437" spans="8:9">
      <c r="H13437" s="1245"/>
      <c r="I13437" s="1245"/>
    </row>
    <row r="13438" spans="8:9">
      <c r="H13438" s="1245"/>
      <c r="I13438" s="1245"/>
    </row>
    <row r="13439" spans="8:9">
      <c r="H13439" s="1245"/>
      <c r="I13439" s="1245"/>
    </row>
    <row r="13440" spans="8:9">
      <c r="H13440" s="1245"/>
      <c r="I13440" s="1245"/>
    </row>
    <row r="13441" spans="8:9">
      <c r="H13441" s="1245"/>
      <c r="I13441" s="1245"/>
    </row>
    <row r="13442" spans="8:9">
      <c r="H13442" s="1245"/>
      <c r="I13442" s="1245"/>
    </row>
    <row r="13443" spans="8:9">
      <c r="H13443" s="1245"/>
      <c r="I13443" s="1245"/>
    </row>
    <row r="13444" spans="8:9">
      <c r="H13444" s="1245"/>
      <c r="I13444" s="1245"/>
    </row>
    <row r="13445" spans="8:9">
      <c r="H13445" s="1245"/>
      <c r="I13445" s="1245"/>
    </row>
    <row r="13446" spans="8:9">
      <c r="H13446" s="1245"/>
      <c r="I13446" s="1245"/>
    </row>
    <row r="13447" spans="8:9">
      <c r="H13447" s="1245"/>
      <c r="I13447" s="1245"/>
    </row>
    <row r="13448" spans="8:9">
      <c r="H13448" s="1245"/>
      <c r="I13448" s="1245"/>
    </row>
    <row r="13449" spans="8:9">
      <c r="H13449" s="1245"/>
      <c r="I13449" s="1245"/>
    </row>
    <row r="13450" spans="8:9">
      <c r="H13450" s="1245"/>
      <c r="I13450" s="1245"/>
    </row>
    <row r="13451" spans="8:9">
      <c r="H13451" s="1245"/>
      <c r="I13451" s="1245"/>
    </row>
    <row r="13452" spans="8:9">
      <c r="H13452" s="1245"/>
      <c r="I13452" s="1245"/>
    </row>
    <row r="13453" spans="8:9">
      <c r="H13453" s="1245"/>
      <c r="I13453" s="1245"/>
    </row>
    <row r="13454" spans="8:9">
      <c r="H13454" s="1245"/>
      <c r="I13454" s="1245"/>
    </row>
    <row r="13455" spans="8:9">
      <c r="H13455" s="1245"/>
      <c r="I13455" s="1245"/>
    </row>
    <row r="13456" spans="8:9">
      <c r="H13456" s="1245"/>
      <c r="I13456" s="1245"/>
    </row>
    <row r="13457" spans="8:9">
      <c r="H13457" s="1245"/>
      <c r="I13457" s="1245"/>
    </row>
    <row r="13458" spans="8:9">
      <c r="H13458" s="1245"/>
      <c r="I13458" s="1245"/>
    </row>
    <row r="13459" spans="8:9">
      <c r="H13459" s="1245"/>
      <c r="I13459" s="1245"/>
    </row>
    <row r="13460" spans="8:9">
      <c r="H13460" s="1245"/>
      <c r="I13460" s="1245"/>
    </row>
    <row r="13461" spans="8:9">
      <c r="H13461" s="1245"/>
      <c r="I13461" s="1245"/>
    </row>
    <row r="13462" spans="8:9">
      <c r="H13462" s="1245"/>
      <c r="I13462" s="1245"/>
    </row>
    <row r="13463" spans="8:9">
      <c r="H13463" s="1245"/>
      <c r="I13463" s="1245"/>
    </row>
    <row r="13464" spans="8:9">
      <c r="H13464" s="1245"/>
      <c r="I13464" s="1245"/>
    </row>
    <row r="13465" spans="8:9">
      <c r="H13465" s="1245"/>
      <c r="I13465" s="1245"/>
    </row>
    <row r="13466" spans="8:9">
      <c r="H13466" s="1245"/>
      <c r="I13466" s="1245"/>
    </row>
    <row r="13467" spans="8:9">
      <c r="H13467" s="1245"/>
      <c r="I13467" s="1245"/>
    </row>
    <row r="13468" spans="8:9">
      <c r="H13468" s="1245"/>
      <c r="I13468" s="1245"/>
    </row>
    <row r="13469" spans="8:9">
      <c r="H13469" s="1245"/>
      <c r="I13469" s="1245"/>
    </row>
    <row r="13470" spans="8:9">
      <c r="H13470" s="1245"/>
      <c r="I13470" s="1245"/>
    </row>
    <row r="13471" spans="8:9">
      <c r="H13471" s="1245"/>
      <c r="I13471" s="1245"/>
    </row>
    <row r="13472" spans="8:9">
      <c r="H13472" s="1245"/>
      <c r="I13472" s="1245"/>
    </row>
    <row r="13473" spans="8:9">
      <c r="H13473" s="1245"/>
      <c r="I13473" s="1245"/>
    </row>
    <row r="13474" spans="8:9">
      <c r="H13474" s="1245"/>
      <c r="I13474" s="1245"/>
    </row>
    <row r="13475" spans="8:9">
      <c r="H13475" s="1245"/>
      <c r="I13475" s="1245"/>
    </row>
    <row r="13476" spans="8:9">
      <c r="H13476" s="1245"/>
      <c r="I13476" s="1245"/>
    </row>
    <row r="13477" spans="8:9">
      <c r="H13477" s="1245"/>
      <c r="I13477" s="1245"/>
    </row>
    <row r="13478" spans="8:9">
      <c r="H13478" s="1245"/>
      <c r="I13478" s="1245"/>
    </row>
    <row r="13479" spans="8:9">
      <c r="H13479" s="1245"/>
      <c r="I13479" s="1245"/>
    </row>
    <row r="13480" spans="8:9">
      <c r="H13480" s="1245"/>
      <c r="I13480" s="1245"/>
    </row>
    <row r="13481" spans="8:9">
      <c r="H13481" s="1245"/>
      <c r="I13481" s="1245"/>
    </row>
    <row r="13482" spans="8:9">
      <c r="H13482" s="1245"/>
      <c r="I13482" s="1245"/>
    </row>
    <row r="13483" spans="8:9">
      <c r="H13483" s="1245"/>
      <c r="I13483" s="1245"/>
    </row>
    <row r="13484" spans="8:9">
      <c r="H13484" s="1245"/>
      <c r="I13484" s="1245"/>
    </row>
    <row r="13485" spans="8:9">
      <c r="H13485" s="1245"/>
      <c r="I13485" s="1245"/>
    </row>
    <row r="13486" spans="8:9">
      <c r="H13486" s="1245"/>
      <c r="I13486" s="1245"/>
    </row>
    <row r="13487" spans="8:9">
      <c r="H13487" s="1245"/>
      <c r="I13487" s="1245"/>
    </row>
    <row r="13488" spans="8:9">
      <c r="H13488" s="1245"/>
      <c r="I13488" s="1245"/>
    </row>
    <row r="13489" spans="8:9">
      <c r="H13489" s="1245"/>
      <c r="I13489" s="1245"/>
    </row>
    <row r="13490" spans="8:9">
      <c r="H13490" s="1245"/>
      <c r="I13490" s="1245"/>
    </row>
    <row r="13491" spans="8:9">
      <c r="H13491" s="1245"/>
      <c r="I13491" s="1245"/>
    </row>
    <row r="13492" spans="8:9">
      <c r="H13492" s="1245"/>
      <c r="I13492" s="1245"/>
    </row>
    <row r="13493" spans="8:9">
      <c r="H13493" s="1245"/>
      <c r="I13493" s="1245"/>
    </row>
    <row r="13494" spans="8:9">
      <c r="H13494" s="1245"/>
      <c r="I13494" s="1245"/>
    </row>
    <row r="13495" spans="8:9">
      <c r="H13495" s="1245"/>
      <c r="I13495" s="1245"/>
    </row>
    <row r="13496" spans="8:9">
      <c r="H13496" s="1245"/>
      <c r="I13496" s="1245"/>
    </row>
    <row r="13497" spans="8:9">
      <c r="H13497" s="1245"/>
      <c r="I13497" s="1245"/>
    </row>
    <row r="13498" spans="8:9">
      <c r="H13498" s="1245"/>
      <c r="I13498" s="1245"/>
    </row>
    <row r="13499" spans="8:9">
      <c r="H13499" s="1245"/>
      <c r="I13499" s="1245"/>
    </row>
    <row r="13500" spans="8:9">
      <c r="H13500" s="1245"/>
      <c r="I13500" s="1245"/>
    </row>
    <row r="13501" spans="8:9">
      <c r="H13501" s="1245"/>
      <c r="I13501" s="1245"/>
    </row>
    <row r="13502" spans="8:9">
      <c r="H13502" s="1245"/>
      <c r="I13502" s="1245"/>
    </row>
    <row r="13503" spans="8:9">
      <c r="H13503" s="1245"/>
      <c r="I13503" s="1245"/>
    </row>
    <row r="13504" spans="8:9">
      <c r="H13504" s="1245"/>
      <c r="I13504" s="1245"/>
    </row>
    <row r="13505" spans="8:9">
      <c r="H13505" s="1245"/>
      <c r="I13505" s="1245"/>
    </row>
    <row r="13506" spans="8:9">
      <c r="H13506" s="1245"/>
      <c r="I13506" s="1245"/>
    </row>
    <row r="13507" spans="8:9">
      <c r="H13507" s="1245"/>
      <c r="I13507" s="1245"/>
    </row>
    <row r="13508" spans="8:9">
      <c r="H13508" s="1245"/>
      <c r="I13508" s="1245"/>
    </row>
    <row r="13509" spans="8:9">
      <c r="H13509" s="1245"/>
      <c r="I13509" s="1245"/>
    </row>
    <row r="13510" spans="8:9">
      <c r="H13510" s="1245"/>
      <c r="I13510" s="1245"/>
    </row>
    <row r="13511" spans="8:9">
      <c r="H13511" s="1245"/>
      <c r="I13511" s="1245"/>
    </row>
    <row r="13512" spans="8:9">
      <c r="H13512" s="1245"/>
      <c r="I13512" s="1245"/>
    </row>
    <row r="13513" spans="8:9">
      <c r="H13513" s="1245"/>
      <c r="I13513" s="1245"/>
    </row>
    <row r="13514" spans="8:9">
      <c r="H13514" s="1245"/>
      <c r="I13514" s="1245"/>
    </row>
    <row r="13515" spans="8:9">
      <c r="H13515" s="1245"/>
      <c r="I13515" s="1245"/>
    </row>
    <row r="13516" spans="8:9">
      <c r="H13516" s="1245"/>
      <c r="I13516" s="1245"/>
    </row>
    <row r="13517" spans="8:9">
      <c r="H13517" s="1245"/>
      <c r="I13517" s="1245"/>
    </row>
    <row r="13518" spans="8:9">
      <c r="H13518" s="1245"/>
      <c r="I13518" s="1245"/>
    </row>
    <row r="13519" spans="8:9">
      <c r="H13519" s="1245"/>
      <c r="I13519" s="1245"/>
    </row>
    <row r="13520" spans="8:9">
      <c r="H13520" s="1245"/>
      <c r="I13520" s="1245"/>
    </row>
    <row r="13521" spans="8:9">
      <c r="H13521" s="1245"/>
      <c r="I13521" s="1245"/>
    </row>
    <row r="13522" spans="8:9">
      <c r="H13522" s="1245"/>
      <c r="I13522" s="1245"/>
    </row>
    <row r="13523" spans="8:9">
      <c r="H13523" s="1245"/>
      <c r="I13523" s="1245"/>
    </row>
    <row r="13524" spans="8:9">
      <c r="H13524" s="1245"/>
      <c r="I13524" s="1245"/>
    </row>
    <row r="13525" spans="8:9">
      <c r="H13525" s="1245"/>
      <c r="I13525" s="1245"/>
    </row>
    <row r="13526" spans="8:9">
      <c r="H13526" s="1245"/>
      <c r="I13526" s="1245"/>
    </row>
    <row r="13527" spans="8:9">
      <c r="H13527" s="1245"/>
      <c r="I13527" s="1245"/>
    </row>
    <row r="13528" spans="8:9">
      <c r="H13528" s="1245"/>
      <c r="I13528" s="1245"/>
    </row>
    <row r="13529" spans="8:9">
      <c r="H13529" s="1245"/>
      <c r="I13529" s="1245"/>
    </row>
    <row r="13530" spans="8:9">
      <c r="H13530" s="1245"/>
      <c r="I13530" s="1245"/>
    </row>
    <row r="13531" spans="8:9">
      <c r="H13531" s="1245"/>
      <c r="I13531" s="1245"/>
    </row>
    <row r="13532" spans="8:9">
      <c r="H13532" s="1245"/>
      <c r="I13532" s="1245"/>
    </row>
    <row r="13533" spans="8:9">
      <c r="H13533" s="1245"/>
      <c r="I13533" s="1245"/>
    </row>
    <row r="13534" spans="8:9">
      <c r="H13534" s="1245"/>
      <c r="I13534" s="1245"/>
    </row>
    <row r="13535" spans="8:9">
      <c r="H13535" s="1245"/>
      <c r="I13535" s="1245"/>
    </row>
    <row r="13536" spans="8:9">
      <c r="H13536" s="1245"/>
      <c r="I13536" s="1245"/>
    </row>
    <row r="13537" spans="8:9">
      <c r="H13537" s="1245"/>
      <c r="I13537" s="1245"/>
    </row>
    <row r="13538" spans="8:9">
      <c r="H13538" s="1245"/>
      <c r="I13538" s="1245"/>
    </row>
    <row r="13539" spans="8:9">
      <c r="H13539" s="1245"/>
      <c r="I13539" s="1245"/>
    </row>
    <row r="13540" spans="8:9">
      <c r="H13540" s="1245"/>
      <c r="I13540" s="1245"/>
    </row>
    <row r="13541" spans="8:9">
      <c r="H13541" s="1245"/>
      <c r="I13541" s="1245"/>
    </row>
    <row r="13542" spans="8:9">
      <c r="H13542" s="1245"/>
      <c r="I13542" s="1245"/>
    </row>
    <row r="13543" spans="8:9">
      <c r="H13543" s="1245"/>
      <c r="I13543" s="1245"/>
    </row>
    <row r="13544" spans="8:9">
      <c r="H13544" s="1245"/>
      <c r="I13544" s="1245"/>
    </row>
    <row r="13545" spans="8:9">
      <c r="H13545" s="1245"/>
      <c r="I13545" s="1245"/>
    </row>
    <row r="13546" spans="8:9">
      <c r="H13546" s="1245"/>
      <c r="I13546" s="1245"/>
    </row>
    <row r="13547" spans="8:9">
      <c r="H13547" s="1245"/>
      <c r="I13547" s="1245"/>
    </row>
    <row r="13548" spans="8:9">
      <c r="H13548" s="1245"/>
      <c r="I13548" s="1245"/>
    </row>
    <row r="13549" spans="8:9">
      <c r="H13549" s="1245"/>
      <c r="I13549" s="1245"/>
    </row>
    <row r="13550" spans="8:9">
      <c r="H13550" s="1245"/>
      <c r="I13550" s="1245"/>
    </row>
    <row r="13551" spans="8:9">
      <c r="H13551" s="1245"/>
      <c r="I13551" s="1245"/>
    </row>
    <row r="13552" spans="8:9">
      <c r="H13552" s="1245"/>
      <c r="I13552" s="1245"/>
    </row>
    <row r="13553" spans="8:9">
      <c r="H13553" s="1245"/>
      <c r="I13553" s="1245"/>
    </row>
    <row r="13554" spans="8:9">
      <c r="H13554" s="1245"/>
      <c r="I13554" s="1245"/>
    </row>
    <row r="13555" spans="8:9">
      <c r="H13555" s="1245"/>
      <c r="I13555" s="1245"/>
    </row>
    <row r="13556" spans="8:9">
      <c r="H13556" s="1245"/>
      <c r="I13556" s="1245"/>
    </row>
    <row r="13557" spans="8:9">
      <c r="H13557" s="1245"/>
      <c r="I13557" s="1245"/>
    </row>
    <row r="13558" spans="8:9">
      <c r="H13558" s="1245"/>
      <c r="I13558" s="1245"/>
    </row>
    <row r="13559" spans="8:9">
      <c r="H13559" s="1245"/>
      <c r="I13559" s="1245"/>
    </row>
    <row r="13560" spans="8:9">
      <c r="H13560" s="1245"/>
      <c r="I13560" s="1245"/>
    </row>
    <row r="13561" spans="8:9">
      <c r="H13561" s="1245"/>
      <c r="I13561" s="1245"/>
    </row>
    <row r="13562" spans="8:9">
      <c r="H13562" s="1245"/>
      <c r="I13562" s="1245"/>
    </row>
    <row r="13563" spans="8:9">
      <c r="H13563" s="1245"/>
      <c r="I13563" s="1245"/>
    </row>
    <row r="13564" spans="8:9">
      <c r="H13564" s="1245"/>
      <c r="I13564" s="1245"/>
    </row>
    <row r="13565" spans="8:9">
      <c r="H13565" s="1245"/>
      <c r="I13565" s="1245"/>
    </row>
    <row r="13566" spans="8:9">
      <c r="H13566" s="1245"/>
      <c r="I13566" s="1245"/>
    </row>
    <row r="13567" spans="8:9">
      <c r="H13567" s="1245"/>
      <c r="I13567" s="1245"/>
    </row>
    <row r="13568" spans="8:9">
      <c r="H13568" s="1245"/>
      <c r="I13568" s="1245"/>
    </row>
    <row r="13569" spans="8:9">
      <c r="H13569" s="1245"/>
      <c r="I13569" s="1245"/>
    </row>
    <row r="13570" spans="8:9">
      <c r="H13570" s="1245"/>
      <c r="I13570" s="1245"/>
    </row>
    <row r="13571" spans="8:9">
      <c r="H13571" s="1245"/>
      <c r="I13571" s="1245"/>
    </row>
    <row r="13572" spans="8:9">
      <c r="H13572" s="1245"/>
      <c r="I13572" s="1245"/>
    </row>
    <row r="13573" spans="8:9">
      <c r="H13573" s="1245"/>
      <c r="I13573" s="1245"/>
    </row>
    <row r="13574" spans="8:9">
      <c r="H13574" s="1245"/>
      <c r="I13574" s="1245"/>
    </row>
    <row r="13575" spans="8:9">
      <c r="H13575" s="1245"/>
      <c r="I13575" s="1245"/>
    </row>
    <row r="13576" spans="8:9">
      <c r="H13576" s="1245"/>
      <c r="I13576" s="1245"/>
    </row>
    <row r="13577" spans="8:9">
      <c r="H13577" s="1245"/>
      <c r="I13577" s="1245"/>
    </row>
    <row r="13578" spans="8:9">
      <c r="H13578" s="1245"/>
      <c r="I13578" s="1245"/>
    </row>
    <row r="13579" spans="8:9">
      <c r="H13579" s="1245"/>
      <c r="I13579" s="1245"/>
    </row>
    <row r="13580" spans="8:9">
      <c r="H13580" s="1245"/>
      <c r="I13580" s="1245"/>
    </row>
    <row r="13581" spans="8:9">
      <c r="H13581" s="1245"/>
      <c r="I13581" s="1245"/>
    </row>
    <row r="13582" spans="8:9">
      <c r="H13582" s="1245"/>
      <c r="I13582" s="1245"/>
    </row>
    <row r="13583" spans="8:9">
      <c r="H13583" s="1245"/>
      <c r="I13583" s="1245"/>
    </row>
    <row r="13584" spans="8:9">
      <c r="H13584" s="1245"/>
      <c r="I13584" s="1245"/>
    </row>
    <row r="13585" spans="8:9">
      <c r="H13585" s="1245"/>
      <c r="I13585" s="1245"/>
    </row>
    <row r="13586" spans="8:9">
      <c r="H13586" s="1245"/>
      <c r="I13586" s="1245"/>
    </row>
    <row r="13587" spans="8:9">
      <c r="H13587" s="1245"/>
      <c r="I13587" s="1245"/>
    </row>
    <row r="13588" spans="8:9">
      <c r="H13588" s="1245"/>
      <c r="I13588" s="1245"/>
    </row>
    <row r="13589" spans="8:9">
      <c r="H13589" s="1245"/>
      <c r="I13589" s="1245"/>
    </row>
    <row r="13590" spans="8:9">
      <c r="H13590" s="1245"/>
      <c r="I13590" s="1245"/>
    </row>
    <row r="13591" spans="8:9">
      <c r="H13591" s="1245"/>
      <c r="I13591" s="1245"/>
    </row>
    <row r="13592" spans="8:9">
      <c r="H13592" s="1245"/>
      <c r="I13592" s="1245"/>
    </row>
    <row r="13593" spans="8:9">
      <c r="H13593" s="1245"/>
      <c r="I13593" s="1245"/>
    </row>
    <row r="13594" spans="8:9">
      <c r="H13594" s="1245"/>
      <c r="I13594" s="1245"/>
    </row>
    <row r="13595" spans="8:9">
      <c r="H13595" s="1245"/>
      <c r="I13595" s="1245"/>
    </row>
    <row r="13596" spans="8:9">
      <c r="H13596" s="1245"/>
      <c r="I13596" s="1245"/>
    </row>
    <row r="13597" spans="8:9">
      <c r="H13597" s="1245"/>
      <c r="I13597" s="1245"/>
    </row>
    <row r="13598" spans="8:9">
      <c r="H13598" s="1245"/>
      <c r="I13598" s="1245"/>
    </row>
    <row r="13599" spans="8:9">
      <c r="H13599" s="1245"/>
      <c r="I13599" s="1245"/>
    </row>
    <row r="13600" spans="8:9">
      <c r="H13600" s="1245"/>
      <c r="I13600" s="1245"/>
    </row>
    <row r="13601" spans="8:9">
      <c r="H13601" s="1245"/>
      <c r="I13601" s="1245"/>
    </row>
    <row r="13602" spans="8:9">
      <c r="H13602" s="1245"/>
      <c r="I13602" s="1245"/>
    </row>
    <row r="13603" spans="8:9">
      <c r="H13603" s="1245"/>
      <c r="I13603" s="1245"/>
    </row>
    <row r="13604" spans="8:9">
      <c r="H13604" s="1245"/>
      <c r="I13604" s="1245"/>
    </row>
    <row r="13605" spans="8:9">
      <c r="H13605" s="1245"/>
      <c r="I13605" s="1245"/>
    </row>
    <row r="13606" spans="8:9">
      <c r="H13606" s="1245"/>
      <c r="I13606" s="1245"/>
    </row>
    <row r="13607" spans="8:9">
      <c r="H13607" s="1245"/>
      <c r="I13607" s="1245"/>
    </row>
    <row r="13608" spans="8:9">
      <c r="H13608" s="1245"/>
      <c r="I13608" s="1245"/>
    </row>
    <row r="13609" spans="8:9">
      <c r="H13609" s="1245"/>
      <c r="I13609" s="1245"/>
    </row>
    <row r="13610" spans="8:9">
      <c r="H13610" s="1245"/>
      <c r="I13610" s="1245"/>
    </row>
    <row r="13611" spans="8:9">
      <c r="H13611" s="1245"/>
      <c r="I13611" s="1245"/>
    </row>
    <row r="13612" spans="8:9">
      <c r="H13612" s="1245"/>
      <c r="I13612" s="1245"/>
    </row>
    <row r="13613" spans="8:9">
      <c r="H13613" s="1245"/>
      <c r="I13613" s="1245"/>
    </row>
    <row r="13614" spans="8:9">
      <c r="H13614" s="1245"/>
      <c r="I13614" s="1245"/>
    </row>
    <row r="13615" spans="8:9">
      <c r="H13615" s="1245"/>
      <c r="I13615" s="1245"/>
    </row>
    <row r="13616" spans="8:9">
      <c r="H13616" s="1245"/>
      <c r="I13616" s="1245"/>
    </row>
    <row r="13617" spans="8:9">
      <c r="H13617" s="1245"/>
      <c r="I13617" s="1245"/>
    </row>
    <row r="13618" spans="8:9">
      <c r="H13618" s="1245"/>
      <c r="I13618" s="1245"/>
    </row>
    <row r="13619" spans="8:9">
      <c r="H13619" s="1245"/>
      <c r="I13619" s="1245"/>
    </row>
    <row r="13620" spans="8:9">
      <c r="H13620" s="1245"/>
      <c r="I13620" s="1245"/>
    </row>
    <row r="13621" spans="8:9">
      <c r="H13621" s="1245"/>
      <c r="I13621" s="1245"/>
    </row>
    <row r="13622" spans="8:9">
      <c r="H13622" s="1245"/>
      <c r="I13622" s="1245"/>
    </row>
    <row r="13623" spans="8:9">
      <c r="H13623" s="1245"/>
      <c r="I13623" s="1245"/>
    </row>
    <row r="13624" spans="8:9">
      <c r="H13624" s="1245"/>
      <c r="I13624" s="1245"/>
    </row>
    <row r="13625" spans="8:9">
      <c r="H13625" s="1245"/>
      <c r="I13625" s="1245"/>
    </row>
    <row r="13626" spans="8:9">
      <c r="H13626" s="1245"/>
      <c r="I13626" s="1245"/>
    </row>
    <row r="13627" spans="8:9">
      <c r="H13627" s="1245"/>
      <c r="I13627" s="1245"/>
    </row>
    <row r="13628" spans="8:9">
      <c r="H13628" s="1245"/>
      <c r="I13628" s="1245"/>
    </row>
    <row r="13629" spans="8:9">
      <c r="H13629" s="1245"/>
      <c r="I13629" s="1245"/>
    </row>
    <row r="13630" spans="8:9">
      <c r="H13630" s="1245"/>
      <c r="I13630" s="1245"/>
    </row>
    <row r="13631" spans="8:9">
      <c r="H13631" s="1245"/>
      <c r="I13631" s="1245"/>
    </row>
    <row r="13632" spans="8:9">
      <c r="H13632" s="1245"/>
      <c r="I13632" s="1245"/>
    </row>
    <row r="13633" spans="8:9">
      <c r="H13633" s="1245"/>
      <c r="I13633" s="1245"/>
    </row>
    <row r="13634" spans="8:9">
      <c r="H13634" s="1245"/>
      <c r="I13634" s="1245"/>
    </row>
    <row r="13635" spans="8:9">
      <c r="H13635" s="1245"/>
      <c r="I13635" s="1245"/>
    </row>
    <row r="13636" spans="8:9">
      <c r="H13636" s="1245"/>
      <c r="I13636" s="1245"/>
    </row>
    <row r="13637" spans="8:9">
      <c r="H13637" s="1245"/>
      <c r="I13637" s="1245"/>
    </row>
    <row r="13638" spans="8:9">
      <c r="H13638" s="1245"/>
      <c r="I13638" s="1245"/>
    </row>
    <row r="13639" spans="8:9">
      <c r="H13639" s="1245"/>
      <c r="I13639" s="1245"/>
    </row>
    <row r="13640" spans="8:9">
      <c r="H13640" s="1245"/>
      <c r="I13640" s="1245"/>
    </row>
    <row r="13641" spans="8:9">
      <c r="H13641" s="1245"/>
      <c r="I13641" s="1245"/>
    </row>
    <row r="13642" spans="8:9">
      <c r="H13642" s="1245"/>
      <c r="I13642" s="1245"/>
    </row>
    <row r="13643" spans="8:9">
      <c r="H13643" s="1245"/>
      <c r="I13643" s="1245"/>
    </row>
    <row r="13644" spans="8:9">
      <c r="H13644" s="1245"/>
      <c r="I13644" s="1245"/>
    </row>
    <row r="13645" spans="8:9">
      <c r="H13645" s="1245"/>
      <c r="I13645" s="1245"/>
    </row>
    <row r="13646" spans="8:9">
      <c r="H13646" s="1245"/>
      <c r="I13646" s="1245"/>
    </row>
    <row r="13647" spans="8:9">
      <c r="H13647" s="1245"/>
      <c r="I13647" s="1245"/>
    </row>
    <row r="13648" spans="8:9">
      <c r="H13648" s="1245"/>
      <c r="I13648" s="1245"/>
    </row>
    <row r="13649" spans="8:9">
      <c r="H13649" s="1245"/>
      <c r="I13649" s="1245"/>
    </row>
    <row r="13650" spans="8:9">
      <c r="H13650" s="1245"/>
      <c r="I13650" s="1245"/>
    </row>
    <row r="13651" spans="8:9">
      <c r="H13651" s="1245"/>
      <c r="I13651" s="1245"/>
    </row>
    <row r="13652" spans="8:9">
      <c r="H13652" s="1245"/>
      <c r="I13652" s="1245"/>
    </row>
    <row r="13653" spans="8:9">
      <c r="H13653" s="1245"/>
      <c r="I13653" s="1245"/>
    </row>
    <row r="13654" spans="8:9">
      <c r="H13654" s="1245"/>
      <c r="I13654" s="1245"/>
    </row>
    <row r="13655" spans="8:9">
      <c r="H13655" s="1245"/>
      <c r="I13655" s="1245"/>
    </row>
    <row r="13656" spans="8:9">
      <c r="H13656" s="1245"/>
      <c r="I13656" s="1245"/>
    </row>
    <row r="13657" spans="8:9">
      <c r="H13657" s="1245"/>
      <c r="I13657" s="1245"/>
    </row>
    <row r="13658" spans="8:9">
      <c r="H13658" s="1245"/>
      <c r="I13658" s="1245"/>
    </row>
    <row r="13659" spans="8:9">
      <c r="H13659" s="1245"/>
      <c r="I13659" s="1245"/>
    </row>
    <row r="13660" spans="8:9">
      <c r="H13660" s="1245"/>
      <c r="I13660" s="1245"/>
    </row>
    <row r="13661" spans="8:9">
      <c r="H13661" s="1245"/>
      <c r="I13661" s="1245"/>
    </row>
    <row r="13662" spans="8:9">
      <c r="H13662" s="1245"/>
      <c r="I13662" s="1245"/>
    </row>
    <row r="13663" spans="8:9">
      <c r="H13663" s="1245"/>
      <c r="I13663" s="1245"/>
    </row>
    <row r="13664" spans="8:9">
      <c r="H13664" s="1245"/>
      <c r="I13664" s="1245"/>
    </row>
    <row r="13665" spans="8:9">
      <c r="H13665" s="1245"/>
      <c r="I13665" s="1245"/>
    </row>
    <row r="13666" spans="8:9">
      <c r="H13666" s="1245"/>
      <c r="I13666" s="1245"/>
    </row>
    <row r="13667" spans="8:9">
      <c r="H13667" s="1245"/>
      <c r="I13667" s="1245"/>
    </row>
    <row r="13668" spans="8:9">
      <c r="H13668" s="1245"/>
      <c r="I13668" s="1245"/>
    </row>
    <row r="13669" spans="8:9">
      <c r="H13669" s="1245"/>
      <c r="I13669" s="1245"/>
    </row>
    <row r="13670" spans="8:9">
      <c r="H13670" s="1245"/>
      <c r="I13670" s="1245"/>
    </row>
    <row r="13671" spans="8:9">
      <c r="H13671" s="1245"/>
      <c r="I13671" s="1245"/>
    </row>
    <row r="13672" spans="8:9">
      <c r="H13672" s="1245"/>
      <c r="I13672" s="1245"/>
    </row>
    <row r="13673" spans="8:9">
      <c r="H13673" s="1245"/>
      <c r="I13673" s="1245"/>
    </row>
    <row r="13674" spans="8:9">
      <c r="H13674" s="1245"/>
      <c r="I13674" s="1245"/>
    </row>
    <row r="13675" spans="8:9">
      <c r="H13675" s="1245"/>
      <c r="I13675" s="1245"/>
    </row>
    <row r="13676" spans="8:9">
      <c r="H13676" s="1245"/>
      <c r="I13676" s="1245"/>
    </row>
    <row r="13677" spans="8:9">
      <c r="H13677" s="1245"/>
      <c r="I13677" s="1245"/>
    </row>
    <row r="13678" spans="8:9">
      <c r="H13678" s="1245"/>
      <c r="I13678" s="1245"/>
    </row>
    <row r="13679" spans="8:9">
      <c r="H13679" s="1245"/>
      <c r="I13679" s="1245"/>
    </row>
    <row r="13680" spans="8:9">
      <c r="H13680" s="1245"/>
      <c r="I13680" s="1245"/>
    </row>
    <row r="13681" spans="8:9">
      <c r="H13681" s="1245"/>
      <c r="I13681" s="1245"/>
    </row>
    <row r="13682" spans="8:9">
      <c r="H13682" s="1245"/>
      <c r="I13682" s="1245"/>
    </row>
    <row r="13683" spans="8:9">
      <c r="H13683" s="1245"/>
      <c r="I13683" s="1245"/>
    </row>
    <row r="13684" spans="8:9">
      <c r="H13684" s="1245"/>
      <c r="I13684" s="1245"/>
    </row>
    <row r="13685" spans="8:9">
      <c r="H13685" s="1245"/>
      <c r="I13685" s="1245"/>
    </row>
    <row r="13686" spans="8:9">
      <c r="H13686" s="1245"/>
      <c r="I13686" s="1245"/>
    </row>
    <row r="13687" spans="8:9">
      <c r="H13687" s="1245"/>
      <c r="I13687" s="1245"/>
    </row>
    <row r="13688" spans="8:9">
      <c r="H13688" s="1245"/>
      <c r="I13688" s="1245"/>
    </row>
    <row r="13689" spans="8:9">
      <c r="H13689" s="1245"/>
      <c r="I13689" s="1245"/>
    </row>
    <row r="13690" spans="8:9">
      <c r="H13690" s="1245"/>
      <c r="I13690" s="1245"/>
    </row>
    <row r="13691" spans="8:9">
      <c r="H13691" s="1245"/>
      <c r="I13691" s="1245"/>
    </row>
    <row r="13692" spans="8:9">
      <c r="H13692" s="1245"/>
      <c r="I13692" s="1245"/>
    </row>
    <row r="13693" spans="8:9">
      <c r="H13693" s="1245"/>
      <c r="I13693" s="1245"/>
    </row>
    <row r="13694" spans="8:9">
      <c r="H13694" s="1245"/>
      <c r="I13694" s="1245"/>
    </row>
    <row r="13695" spans="8:9">
      <c r="H13695" s="1245"/>
      <c r="I13695" s="1245"/>
    </row>
    <row r="13696" spans="8:9">
      <c r="H13696" s="1245"/>
      <c r="I13696" s="1245"/>
    </row>
    <row r="13697" spans="8:9">
      <c r="H13697" s="1245"/>
      <c r="I13697" s="1245"/>
    </row>
    <row r="13698" spans="8:9">
      <c r="H13698" s="1245"/>
      <c r="I13698" s="1245"/>
    </row>
    <row r="13699" spans="8:9">
      <c r="H13699" s="1245"/>
      <c r="I13699" s="1245"/>
    </row>
    <row r="13700" spans="8:9">
      <c r="H13700" s="1245"/>
      <c r="I13700" s="1245"/>
    </row>
    <row r="13701" spans="8:9">
      <c r="H13701" s="1245"/>
      <c r="I13701" s="1245"/>
    </row>
    <row r="13702" spans="8:9">
      <c r="H13702" s="1245"/>
      <c r="I13702" s="1245"/>
    </row>
    <row r="13703" spans="8:9">
      <c r="H13703" s="1245"/>
      <c r="I13703" s="1245"/>
    </row>
    <row r="13704" spans="8:9">
      <c r="H13704" s="1245"/>
      <c r="I13704" s="1245"/>
    </row>
    <row r="13705" spans="8:9">
      <c r="H13705" s="1245"/>
      <c r="I13705" s="1245"/>
    </row>
    <row r="13706" spans="8:9">
      <c r="H13706" s="1245"/>
      <c r="I13706" s="1245"/>
    </row>
    <row r="13707" spans="8:9">
      <c r="H13707" s="1245"/>
      <c r="I13707" s="1245"/>
    </row>
    <row r="13708" spans="8:9">
      <c r="H13708" s="1245"/>
      <c r="I13708" s="1245"/>
    </row>
    <row r="13709" spans="8:9">
      <c r="H13709" s="1245"/>
      <c r="I13709" s="1245"/>
    </row>
    <row r="13710" spans="8:9">
      <c r="H13710" s="1245"/>
      <c r="I13710" s="1245"/>
    </row>
    <row r="13711" spans="8:9">
      <c r="H13711" s="1245"/>
      <c r="I13711" s="1245"/>
    </row>
    <row r="13712" spans="8:9">
      <c r="H13712" s="1245"/>
      <c r="I13712" s="1245"/>
    </row>
    <row r="13713" spans="8:9">
      <c r="H13713" s="1245"/>
      <c r="I13713" s="1245"/>
    </row>
    <row r="13714" spans="8:9">
      <c r="H13714" s="1245"/>
      <c r="I13714" s="1245"/>
    </row>
    <row r="13715" spans="8:9">
      <c r="H13715" s="1245"/>
      <c r="I13715" s="1245"/>
    </row>
    <row r="13716" spans="8:9">
      <c r="H13716" s="1245"/>
      <c r="I13716" s="1245"/>
    </row>
    <row r="13717" spans="8:9">
      <c r="H13717" s="1245"/>
      <c r="I13717" s="1245"/>
    </row>
    <row r="13718" spans="8:9">
      <c r="H13718" s="1245"/>
      <c r="I13718" s="1245"/>
    </row>
    <row r="13719" spans="8:9">
      <c r="H13719" s="1245"/>
      <c r="I13719" s="1245"/>
    </row>
    <row r="13720" spans="8:9">
      <c r="H13720" s="1245"/>
      <c r="I13720" s="1245"/>
    </row>
    <row r="13721" spans="8:9">
      <c r="H13721" s="1245"/>
      <c r="I13721" s="1245"/>
    </row>
    <row r="13722" spans="8:9">
      <c r="H13722" s="1245"/>
      <c r="I13722" s="1245"/>
    </row>
    <row r="13723" spans="8:9">
      <c r="H13723" s="1245"/>
      <c r="I13723" s="1245"/>
    </row>
    <row r="13724" spans="8:9">
      <c r="H13724" s="1245"/>
      <c r="I13724" s="1245"/>
    </row>
    <row r="13725" spans="8:9">
      <c r="H13725" s="1245"/>
      <c r="I13725" s="1245"/>
    </row>
    <row r="13726" spans="8:9">
      <c r="H13726" s="1245"/>
      <c r="I13726" s="1245"/>
    </row>
    <row r="13727" spans="8:9">
      <c r="H13727" s="1245"/>
      <c r="I13727" s="1245"/>
    </row>
    <row r="13728" spans="8:9">
      <c r="H13728" s="1245"/>
      <c r="I13728" s="1245"/>
    </row>
    <row r="13729" spans="8:9">
      <c r="H13729" s="1245"/>
      <c r="I13729" s="1245"/>
    </row>
    <row r="13730" spans="8:9">
      <c r="H13730" s="1245"/>
      <c r="I13730" s="1245"/>
    </row>
    <row r="13731" spans="8:9">
      <c r="H13731" s="1245"/>
      <c r="I13731" s="1245"/>
    </row>
    <row r="13732" spans="8:9">
      <c r="H13732" s="1245"/>
      <c r="I13732" s="1245"/>
    </row>
    <row r="13733" spans="8:9">
      <c r="H13733" s="1245"/>
      <c r="I13733" s="1245"/>
    </row>
    <row r="13734" spans="8:9">
      <c r="H13734" s="1245"/>
      <c r="I13734" s="1245"/>
    </row>
    <row r="13735" spans="8:9">
      <c r="H13735" s="1245"/>
      <c r="I13735" s="1245"/>
    </row>
    <row r="13736" spans="8:9">
      <c r="H13736" s="1245"/>
      <c r="I13736" s="1245"/>
    </row>
    <row r="13737" spans="8:9">
      <c r="H13737" s="1245"/>
      <c r="I13737" s="1245"/>
    </row>
    <row r="13738" spans="8:9">
      <c r="H13738" s="1245"/>
      <c r="I13738" s="1245"/>
    </row>
    <row r="13739" spans="8:9">
      <c r="H13739" s="1245"/>
      <c r="I13739" s="1245"/>
    </row>
    <row r="13740" spans="8:9">
      <c r="H13740" s="1245"/>
      <c r="I13740" s="1245"/>
    </row>
    <row r="13741" spans="8:9">
      <c r="H13741" s="1245"/>
      <c r="I13741" s="1245"/>
    </row>
    <row r="13742" spans="8:9">
      <c r="H13742" s="1245"/>
      <c r="I13742" s="1245"/>
    </row>
    <row r="13743" spans="8:9">
      <c r="H13743" s="1245"/>
      <c r="I13743" s="1245"/>
    </row>
    <row r="13744" spans="8:9">
      <c r="H13744" s="1245"/>
      <c r="I13744" s="1245"/>
    </row>
    <row r="13745" spans="8:9">
      <c r="H13745" s="1245"/>
      <c r="I13745" s="1245"/>
    </row>
    <row r="13746" spans="8:9">
      <c r="H13746" s="1245"/>
      <c r="I13746" s="1245"/>
    </row>
    <row r="13747" spans="8:9">
      <c r="H13747" s="1245"/>
      <c r="I13747" s="1245"/>
    </row>
    <row r="13748" spans="8:9">
      <c r="H13748" s="1245"/>
      <c r="I13748" s="1245"/>
    </row>
    <row r="13749" spans="8:9">
      <c r="H13749" s="1245"/>
      <c r="I13749" s="1245"/>
    </row>
    <row r="13750" spans="8:9">
      <c r="H13750" s="1245"/>
      <c r="I13750" s="1245"/>
    </row>
    <row r="13751" spans="8:9">
      <c r="H13751" s="1245"/>
      <c r="I13751" s="1245"/>
    </row>
    <row r="13752" spans="8:9">
      <c r="H13752" s="1245"/>
      <c r="I13752" s="1245"/>
    </row>
    <row r="13753" spans="8:9">
      <c r="H13753" s="1245"/>
      <c r="I13753" s="1245"/>
    </row>
    <row r="13754" spans="8:9">
      <c r="H13754" s="1245"/>
      <c r="I13754" s="1245"/>
    </row>
    <row r="13755" spans="8:9">
      <c r="H13755" s="1245"/>
      <c r="I13755" s="1245"/>
    </row>
    <row r="13756" spans="8:9">
      <c r="H13756" s="1245"/>
      <c r="I13756" s="1245"/>
    </row>
    <row r="13757" spans="8:9">
      <c r="H13757" s="1245"/>
      <c r="I13757" s="1245"/>
    </row>
    <row r="13758" spans="8:9">
      <c r="H13758" s="1245"/>
      <c r="I13758" s="1245"/>
    </row>
    <row r="13759" spans="8:9">
      <c r="H13759" s="1245"/>
      <c r="I13759" s="1245"/>
    </row>
    <row r="13760" spans="8:9">
      <c r="H13760" s="1245"/>
      <c r="I13760" s="1245"/>
    </row>
    <row r="13761" spans="8:9">
      <c r="H13761" s="1245"/>
      <c r="I13761" s="1245"/>
    </row>
    <row r="13762" spans="8:9">
      <c r="H13762" s="1245"/>
      <c r="I13762" s="1245"/>
    </row>
    <row r="13763" spans="8:9">
      <c r="H13763" s="1245"/>
      <c r="I13763" s="1245"/>
    </row>
    <row r="13764" spans="8:9">
      <c r="H13764" s="1245"/>
      <c r="I13764" s="1245"/>
    </row>
    <row r="13765" spans="8:9">
      <c r="H13765" s="1245"/>
      <c r="I13765" s="1245"/>
    </row>
    <row r="13766" spans="8:9">
      <c r="H13766" s="1245"/>
      <c r="I13766" s="1245"/>
    </row>
    <row r="13767" spans="8:9">
      <c r="H13767" s="1245"/>
      <c r="I13767" s="1245"/>
    </row>
    <row r="13768" spans="8:9">
      <c r="H13768" s="1245"/>
      <c r="I13768" s="1245"/>
    </row>
    <row r="13769" spans="8:9">
      <c r="H13769" s="1245"/>
      <c r="I13769" s="1245"/>
    </row>
    <row r="13770" spans="8:9">
      <c r="H13770" s="1245"/>
      <c r="I13770" s="1245"/>
    </row>
    <row r="13771" spans="8:9">
      <c r="H13771" s="1245"/>
      <c r="I13771" s="1245"/>
    </row>
    <row r="13772" spans="8:9">
      <c r="H13772" s="1245"/>
      <c r="I13772" s="1245"/>
    </row>
    <row r="13773" spans="8:9">
      <c r="H13773" s="1245"/>
      <c r="I13773" s="1245"/>
    </row>
    <row r="13774" spans="8:9">
      <c r="H13774" s="1245"/>
      <c r="I13774" s="1245"/>
    </row>
    <row r="13775" spans="8:9">
      <c r="H13775" s="1245"/>
      <c r="I13775" s="1245"/>
    </row>
    <row r="13776" spans="8:9">
      <c r="H13776" s="1245"/>
      <c r="I13776" s="1245"/>
    </row>
    <row r="13777" spans="8:9">
      <c r="H13777" s="1245"/>
      <c r="I13777" s="1245"/>
    </row>
    <row r="13778" spans="8:9">
      <c r="H13778" s="1245"/>
      <c r="I13778" s="1245"/>
    </row>
    <row r="13779" spans="8:9">
      <c r="H13779" s="1245"/>
      <c r="I13779" s="1245"/>
    </row>
    <row r="13780" spans="8:9">
      <c r="H13780" s="1245"/>
      <c r="I13780" s="1245"/>
    </row>
    <row r="13781" spans="8:9">
      <c r="H13781" s="1245"/>
      <c r="I13781" s="1245"/>
    </row>
    <row r="13782" spans="8:9">
      <c r="H13782" s="1245"/>
      <c r="I13782" s="1245"/>
    </row>
    <row r="13783" spans="8:9">
      <c r="H13783" s="1245"/>
      <c r="I13783" s="1245"/>
    </row>
    <row r="13784" spans="8:9">
      <c r="H13784" s="1245"/>
      <c r="I13784" s="1245"/>
    </row>
    <row r="13785" spans="8:9">
      <c r="H13785" s="1245"/>
      <c r="I13785" s="1245"/>
    </row>
    <row r="13786" spans="8:9">
      <c r="H13786" s="1245"/>
      <c r="I13786" s="1245"/>
    </row>
    <row r="13787" spans="8:9">
      <c r="H13787" s="1245"/>
      <c r="I13787" s="1245"/>
    </row>
    <row r="13788" spans="8:9">
      <c r="H13788" s="1245"/>
      <c r="I13788" s="1245"/>
    </row>
    <row r="13789" spans="8:9">
      <c r="H13789" s="1245"/>
      <c r="I13789" s="1245"/>
    </row>
    <row r="13790" spans="8:9">
      <c r="H13790" s="1245"/>
      <c r="I13790" s="1245"/>
    </row>
    <row r="13791" spans="8:9">
      <c r="H13791" s="1245"/>
      <c r="I13791" s="1245"/>
    </row>
    <row r="13792" spans="8:9">
      <c r="H13792" s="1245"/>
      <c r="I13792" s="1245"/>
    </row>
    <row r="13793" spans="8:9">
      <c r="H13793" s="1245"/>
      <c r="I13793" s="1245"/>
    </row>
    <row r="13794" spans="8:9">
      <c r="H13794" s="1245"/>
      <c r="I13794" s="1245"/>
    </row>
    <row r="13795" spans="8:9">
      <c r="H13795" s="1245"/>
      <c r="I13795" s="1245"/>
    </row>
    <row r="13796" spans="8:9">
      <c r="H13796" s="1245"/>
      <c r="I13796" s="1245"/>
    </row>
    <row r="13797" spans="8:9">
      <c r="H13797" s="1245"/>
      <c r="I13797" s="1245"/>
    </row>
    <row r="13798" spans="8:9">
      <c r="H13798" s="1245"/>
      <c r="I13798" s="1245"/>
    </row>
    <row r="13799" spans="8:9">
      <c r="H13799" s="1245"/>
      <c r="I13799" s="1245"/>
    </row>
    <row r="13800" spans="8:9">
      <c r="H13800" s="1245"/>
      <c r="I13800" s="1245"/>
    </row>
    <row r="13801" spans="8:9">
      <c r="H13801" s="1245"/>
      <c r="I13801" s="1245"/>
    </row>
    <row r="13802" spans="8:9">
      <c r="H13802" s="1245"/>
      <c r="I13802" s="1245"/>
    </row>
    <row r="13803" spans="8:9">
      <c r="H13803" s="1245"/>
      <c r="I13803" s="1245"/>
    </row>
    <row r="13804" spans="8:9">
      <c r="H13804" s="1245"/>
      <c r="I13804" s="1245"/>
    </row>
    <row r="13805" spans="8:9">
      <c r="H13805" s="1245"/>
      <c r="I13805" s="1245"/>
    </row>
    <row r="13806" spans="8:9">
      <c r="H13806" s="1245"/>
      <c r="I13806" s="1245"/>
    </row>
    <row r="13807" spans="8:9">
      <c r="H13807" s="1245"/>
      <c r="I13807" s="1245"/>
    </row>
    <row r="13808" spans="8:9">
      <c r="H13808" s="1245"/>
      <c r="I13808" s="1245"/>
    </row>
    <row r="13809" spans="8:9">
      <c r="H13809" s="1245"/>
      <c r="I13809" s="1245"/>
    </row>
    <row r="13810" spans="8:9">
      <c r="H13810" s="1245"/>
      <c r="I13810" s="1245"/>
    </row>
    <row r="13811" spans="8:9">
      <c r="H13811" s="1245"/>
      <c r="I13811" s="1245"/>
    </row>
    <row r="13812" spans="8:9">
      <c r="H13812" s="1245"/>
      <c r="I13812" s="1245"/>
    </row>
    <row r="13813" spans="8:9">
      <c r="H13813" s="1245"/>
      <c r="I13813" s="1245"/>
    </row>
    <row r="13814" spans="8:9">
      <c r="H13814" s="1245"/>
      <c r="I13814" s="1245"/>
    </row>
    <row r="13815" spans="8:9">
      <c r="H13815" s="1245"/>
      <c r="I13815" s="1245"/>
    </row>
    <row r="13816" spans="8:9">
      <c r="H13816" s="1245"/>
      <c r="I13816" s="1245"/>
    </row>
    <row r="13817" spans="8:9">
      <c r="H13817" s="1245"/>
      <c r="I13817" s="1245"/>
    </row>
    <row r="13818" spans="8:9">
      <c r="H13818" s="1245"/>
      <c r="I13818" s="1245"/>
    </row>
    <row r="13819" spans="8:9">
      <c r="H13819" s="1245"/>
      <c r="I13819" s="1245"/>
    </row>
    <row r="13820" spans="8:9">
      <c r="H13820" s="1245"/>
      <c r="I13820" s="1245"/>
    </row>
    <row r="13821" spans="8:9">
      <c r="H13821" s="1245"/>
      <c r="I13821" s="1245"/>
    </row>
    <row r="13822" spans="8:9">
      <c r="H13822" s="1245"/>
      <c r="I13822" s="1245"/>
    </row>
    <row r="13823" spans="8:9">
      <c r="H13823" s="1245"/>
      <c r="I13823" s="1245"/>
    </row>
    <row r="13824" spans="8:9">
      <c r="H13824" s="1245"/>
      <c r="I13824" s="1245"/>
    </row>
    <row r="13825" spans="8:9">
      <c r="H13825" s="1245"/>
      <c r="I13825" s="1245"/>
    </row>
    <row r="13826" spans="8:9">
      <c r="H13826" s="1245"/>
      <c r="I13826" s="1245"/>
    </row>
    <row r="13827" spans="8:9">
      <c r="H13827" s="1245"/>
      <c r="I13827" s="1245"/>
    </row>
    <row r="13828" spans="8:9">
      <c r="H13828" s="1245"/>
      <c r="I13828" s="1245"/>
    </row>
    <row r="13829" spans="8:9">
      <c r="H13829" s="1245"/>
      <c r="I13829" s="1245"/>
    </row>
    <row r="13830" spans="8:9">
      <c r="H13830" s="1245"/>
      <c r="I13830" s="1245"/>
    </row>
    <row r="13831" spans="8:9">
      <c r="H13831" s="1245"/>
      <c r="I13831" s="1245"/>
    </row>
    <row r="13832" spans="8:9">
      <c r="H13832" s="1245"/>
      <c r="I13832" s="1245"/>
    </row>
    <row r="13833" spans="8:9">
      <c r="H13833" s="1245"/>
      <c r="I13833" s="1245"/>
    </row>
    <row r="13834" spans="8:9">
      <c r="H13834" s="1245"/>
      <c r="I13834" s="1245"/>
    </row>
    <row r="13835" spans="8:9">
      <c r="H13835" s="1245"/>
      <c r="I13835" s="1245"/>
    </row>
    <row r="13836" spans="8:9">
      <c r="H13836" s="1245"/>
      <c r="I13836" s="1245"/>
    </row>
    <row r="13837" spans="8:9">
      <c r="H13837" s="1245"/>
      <c r="I13837" s="1245"/>
    </row>
    <row r="13838" spans="8:9">
      <c r="H13838" s="1245"/>
      <c r="I13838" s="1245"/>
    </row>
    <row r="13839" spans="8:9">
      <c r="H13839" s="1245"/>
      <c r="I13839" s="1245"/>
    </row>
    <row r="13840" spans="8:9">
      <c r="H13840" s="1245"/>
      <c r="I13840" s="1245"/>
    </row>
    <row r="13841" spans="8:9">
      <c r="H13841" s="1245"/>
      <c r="I13841" s="1245"/>
    </row>
    <row r="13842" spans="8:9">
      <c r="H13842" s="1245"/>
      <c r="I13842" s="1245"/>
    </row>
    <row r="13843" spans="8:9">
      <c r="H13843" s="1245"/>
      <c r="I13843" s="1245"/>
    </row>
    <row r="13844" spans="8:9">
      <c r="H13844" s="1245"/>
      <c r="I13844" s="1245"/>
    </row>
    <row r="13845" spans="8:9">
      <c r="H13845" s="1245"/>
      <c r="I13845" s="1245"/>
    </row>
    <row r="13846" spans="8:9">
      <c r="H13846" s="1245"/>
      <c r="I13846" s="1245"/>
    </row>
    <row r="13847" spans="8:9">
      <c r="H13847" s="1245"/>
      <c r="I13847" s="1245"/>
    </row>
    <row r="13848" spans="8:9">
      <c r="H13848" s="1245"/>
      <c r="I13848" s="1245"/>
    </row>
    <row r="13849" spans="8:9">
      <c r="H13849" s="1245"/>
      <c r="I13849" s="1245"/>
    </row>
    <row r="13850" spans="8:9">
      <c r="H13850" s="1245"/>
      <c r="I13850" s="1245"/>
    </row>
    <row r="13851" spans="8:9">
      <c r="H13851" s="1245"/>
      <c r="I13851" s="1245"/>
    </row>
    <row r="13852" spans="8:9">
      <c r="H13852" s="1245"/>
      <c r="I13852" s="1245"/>
    </row>
    <row r="13853" spans="8:9">
      <c r="H13853" s="1245"/>
      <c r="I13853" s="1245"/>
    </row>
    <row r="13854" spans="8:9">
      <c r="H13854" s="1245"/>
      <c r="I13854" s="1245"/>
    </row>
    <row r="13855" spans="8:9">
      <c r="H13855" s="1245"/>
      <c r="I13855" s="1245"/>
    </row>
    <row r="13856" spans="8:9">
      <c r="H13856" s="1245"/>
      <c r="I13856" s="1245"/>
    </row>
    <row r="13857" spans="8:9">
      <c r="H13857" s="1245"/>
      <c r="I13857" s="1245"/>
    </row>
    <row r="13858" spans="8:9">
      <c r="H13858" s="1245"/>
      <c r="I13858" s="1245"/>
    </row>
    <row r="13859" spans="8:9">
      <c r="H13859" s="1245"/>
      <c r="I13859" s="1245"/>
    </row>
    <row r="13860" spans="8:9">
      <c r="H13860" s="1245"/>
      <c r="I13860" s="1245"/>
    </row>
    <row r="13861" spans="8:9">
      <c r="H13861" s="1245"/>
      <c r="I13861" s="1245"/>
    </row>
    <row r="13862" spans="8:9">
      <c r="H13862" s="1245"/>
      <c r="I13862" s="1245"/>
    </row>
    <row r="13863" spans="8:9">
      <c r="H13863" s="1245"/>
      <c r="I13863" s="1245"/>
    </row>
    <row r="13864" spans="8:9">
      <c r="H13864" s="1245"/>
      <c r="I13864" s="1245"/>
    </row>
    <row r="13865" spans="8:9">
      <c r="H13865" s="1245"/>
      <c r="I13865" s="1245"/>
    </row>
    <row r="13866" spans="8:9">
      <c r="H13866" s="1245"/>
      <c r="I13866" s="1245"/>
    </row>
    <row r="13867" spans="8:9">
      <c r="H13867" s="1245"/>
      <c r="I13867" s="1245"/>
    </row>
    <row r="13868" spans="8:9">
      <c r="H13868" s="1245"/>
      <c r="I13868" s="1245"/>
    </row>
    <row r="13869" spans="8:9">
      <c r="H13869" s="1245"/>
      <c r="I13869" s="1245"/>
    </row>
    <row r="13870" spans="8:9">
      <c r="H13870" s="1245"/>
      <c r="I13870" s="1245"/>
    </row>
    <row r="13871" spans="8:9">
      <c r="H13871" s="1245"/>
      <c r="I13871" s="1245"/>
    </row>
    <row r="13872" spans="8:9">
      <c r="H13872" s="1245"/>
      <c r="I13872" s="1245"/>
    </row>
    <row r="13873" spans="8:9">
      <c r="H13873" s="1245"/>
      <c r="I13873" s="1245"/>
    </row>
    <row r="13874" spans="8:9">
      <c r="H13874" s="1245"/>
      <c r="I13874" s="1245"/>
    </row>
    <row r="13875" spans="8:9">
      <c r="H13875" s="1245"/>
      <c r="I13875" s="1245"/>
    </row>
    <row r="13876" spans="8:9">
      <c r="H13876" s="1245"/>
      <c r="I13876" s="1245"/>
    </row>
    <row r="13877" spans="8:9">
      <c r="H13877" s="1245"/>
      <c r="I13877" s="1245"/>
    </row>
    <row r="13878" spans="8:9">
      <c r="H13878" s="1245"/>
      <c r="I13878" s="1245"/>
    </row>
    <row r="13879" spans="8:9">
      <c r="H13879" s="1245"/>
      <c r="I13879" s="1245"/>
    </row>
    <row r="13880" spans="8:9">
      <c r="H13880" s="1245"/>
      <c r="I13880" s="1245"/>
    </row>
    <row r="13881" spans="8:9">
      <c r="H13881" s="1245"/>
      <c r="I13881" s="1245"/>
    </row>
    <row r="13882" spans="8:9">
      <c r="H13882" s="1245"/>
      <c r="I13882" s="1245"/>
    </row>
    <row r="13883" spans="8:9">
      <c r="H13883" s="1245"/>
      <c r="I13883" s="1245"/>
    </row>
    <row r="13884" spans="8:9">
      <c r="H13884" s="1245"/>
      <c r="I13884" s="1245"/>
    </row>
    <row r="13885" spans="8:9">
      <c r="H13885" s="1245"/>
      <c r="I13885" s="1245"/>
    </row>
    <row r="13886" spans="8:9">
      <c r="H13886" s="1245"/>
      <c r="I13886" s="1245"/>
    </row>
    <row r="13887" spans="8:9">
      <c r="H13887" s="1245"/>
      <c r="I13887" s="1245"/>
    </row>
    <row r="13888" spans="8:9">
      <c r="H13888" s="1245"/>
      <c r="I13888" s="1245"/>
    </row>
    <row r="13889" spans="8:9">
      <c r="H13889" s="1245"/>
      <c r="I13889" s="1245"/>
    </row>
    <row r="13890" spans="8:9">
      <c r="H13890" s="1245"/>
      <c r="I13890" s="1245"/>
    </row>
    <row r="13891" spans="8:9">
      <c r="H13891" s="1245"/>
      <c r="I13891" s="1245"/>
    </row>
    <row r="13892" spans="8:9">
      <c r="H13892" s="1245"/>
      <c r="I13892" s="1245"/>
    </row>
    <row r="13893" spans="8:9">
      <c r="H13893" s="1245"/>
      <c r="I13893" s="1245"/>
    </row>
    <row r="13894" spans="8:9">
      <c r="H13894" s="1245"/>
      <c r="I13894" s="1245"/>
    </row>
    <row r="13895" spans="8:9">
      <c r="H13895" s="1245"/>
      <c r="I13895" s="1245"/>
    </row>
    <row r="13896" spans="8:9">
      <c r="H13896" s="1245"/>
      <c r="I13896" s="1245"/>
    </row>
    <row r="13897" spans="8:9">
      <c r="H13897" s="1245"/>
      <c r="I13897" s="1245"/>
    </row>
    <row r="13898" spans="8:9">
      <c r="H13898" s="1245"/>
      <c r="I13898" s="1245"/>
    </row>
    <row r="13899" spans="8:9">
      <c r="H13899" s="1245"/>
      <c r="I13899" s="1245"/>
    </row>
    <row r="13900" spans="8:9">
      <c r="H13900" s="1245"/>
      <c r="I13900" s="1245"/>
    </row>
    <row r="13901" spans="8:9">
      <c r="H13901" s="1245"/>
      <c r="I13901" s="1245"/>
    </row>
    <row r="13902" spans="8:9">
      <c r="H13902" s="1245"/>
      <c r="I13902" s="1245"/>
    </row>
    <row r="13903" spans="8:9">
      <c r="H13903" s="1245"/>
      <c r="I13903" s="1245"/>
    </row>
    <row r="13904" spans="8:9">
      <c r="H13904" s="1245"/>
      <c r="I13904" s="1245"/>
    </row>
    <row r="13905" spans="8:9">
      <c r="H13905" s="1245"/>
      <c r="I13905" s="1245"/>
    </row>
    <row r="13906" spans="8:9">
      <c r="H13906" s="1245"/>
      <c r="I13906" s="1245"/>
    </row>
    <row r="13907" spans="8:9">
      <c r="H13907" s="1245"/>
      <c r="I13907" s="1245"/>
    </row>
    <row r="13908" spans="8:9">
      <c r="H13908" s="1245"/>
      <c r="I13908" s="1245"/>
    </row>
    <row r="13909" spans="8:9">
      <c r="H13909" s="1245"/>
      <c r="I13909" s="1245"/>
    </row>
    <row r="13910" spans="8:9">
      <c r="H13910" s="1245"/>
      <c r="I13910" s="1245"/>
    </row>
    <row r="13911" spans="8:9">
      <c r="H13911" s="1245"/>
      <c r="I13911" s="1245"/>
    </row>
    <row r="13912" spans="8:9">
      <c r="H13912" s="1245"/>
      <c r="I13912" s="1245"/>
    </row>
    <row r="13913" spans="8:9">
      <c r="H13913" s="1245"/>
      <c r="I13913" s="1245"/>
    </row>
    <row r="13914" spans="8:9">
      <c r="H13914" s="1245"/>
      <c r="I13914" s="1245"/>
    </row>
    <row r="13915" spans="8:9">
      <c r="H13915" s="1245"/>
      <c r="I13915" s="1245"/>
    </row>
    <row r="13916" spans="8:9">
      <c r="H13916" s="1245"/>
      <c r="I13916" s="1245"/>
    </row>
    <row r="13917" spans="8:9">
      <c r="H13917" s="1245"/>
      <c r="I13917" s="1245"/>
    </row>
    <row r="13918" spans="8:9">
      <c r="H13918" s="1245"/>
      <c r="I13918" s="1245"/>
    </row>
    <row r="13919" spans="8:9">
      <c r="H13919" s="1245"/>
      <c r="I13919" s="1245"/>
    </row>
    <row r="13920" spans="8:9">
      <c r="H13920" s="1245"/>
      <c r="I13920" s="1245"/>
    </row>
    <row r="13921" spans="8:9">
      <c r="H13921" s="1245"/>
      <c r="I13921" s="1245"/>
    </row>
    <row r="13922" spans="8:9">
      <c r="H13922" s="1245"/>
      <c r="I13922" s="1245"/>
    </row>
    <row r="13923" spans="8:9">
      <c r="H13923" s="1245"/>
      <c r="I13923" s="1245"/>
    </row>
    <row r="13924" spans="8:9">
      <c r="H13924" s="1245"/>
      <c r="I13924" s="1245"/>
    </row>
    <row r="13925" spans="8:9">
      <c r="H13925" s="1245"/>
      <c r="I13925" s="1245"/>
    </row>
    <row r="13926" spans="8:9">
      <c r="H13926" s="1245"/>
      <c r="I13926" s="1245"/>
    </row>
    <row r="13927" spans="8:9">
      <c r="H13927" s="1245"/>
      <c r="I13927" s="1245"/>
    </row>
    <row r="13928" spans="8:9">
      <c r="H13928" s="1245"/>
      <c r="I13928" s="1245"/>
    </row>
    <row r="13929" spans="8:9">
      <c r="H13929" s="1245"/>
      <c r="I13929" s="1245"/>
    </row>
    <row r="13930" spans="8:9">
      <c r="H13930" s="1245"/>
      <c r="I13930" s="1245"/>
    </row>
    <row r="13931" spans="8:9">
      <c r="H13931" s="1245"/>
      <c r="I13931" s="1245"/>
    </row>
    <row r="13932" spans="8:9">
      <c r="H13932" s="1245"/>
      <c r="I13932" s="1245"/>
    </row>
    <row r="13933" spans="8:9">
      <c r="H13933" s="1245"/>
      <c r="I13933" s="1245"/>
    </row>
    <row r="13934" spans="8:9">
      <c r="H13934" s="1245"/>
      <c r="I13934" s="1245"/>
    </row>
    <row r="13935" spans="8:9">
      <c r="H13935" s="1245"/>
      <c r="I13935" s="1245"/>
    </row>
    <row r="13936" spans="8:9">
      <c r="H13936" s="1245"/>
      <c r="I13936" s="1245"/>
    </row>
    <row r="13937" spans="8:9">
      <c r="H13937" s="1245"/>
      <c r="I13937" s="1245"/>
    </row>
    <row r="13938" spans="8:9">
      <c r="H13938" s="1245"/>
      <c r="I13938" s="1245"/>
    </row>
    <row r="13939" spans="8:9">
      <c r="H13939" s="1245"/>
      <c r="I13939" s="1245"/>
    </row>
    <row r="13940" spans="8:9">
      <c r="H13940" s="1245"/>
      <c r="I13940" s="1245"/>
    </row>
    <row r="13941" spans="8:9">
      <c r="H13941" s="1245"/>
      <c r="I13941" s="1245"/>
    </row>
    <row r="13942" spans="8:9">
      <c r="H13942" s="1245"/>
      <c r="I13942" s="1245"/>
    </row>
    <row r="13943" spans="8:9">
      <c r="H13943" s="1245"/>
      <c r="I13943" s="1245"/>
    </row>
    <row r="13944" spans="8:9">
      <c r="H13944" s="1245"/>
      <c r="I13944" s="1245"/>
    </row>
    <row r="13945" spans="8:9">
      <c r="H13945" s="1245"/>
      <c r="I13945" s="1245"/>
    </row>
    <row r="13946" spans="8:9">
      <c r="H13946" s="1245"/>
      <c r="I13946" s="1245"/>
    </row>
    <row r="13947" spans="8:9">
      <c r="H13947" s="1245"/>
      <c r="I13947" s="1245"/>
    </row>
    <row r="13948" spans="8:9">
      <c r="H13948" s="1245"/>
      <c r="I13948" s="1245"/>
    </row>
    <row r="13949" spans="8:9">
      <c r="H13949" s="1245"/>
      <c r="I13949" s="1245"/>
    </row>
    <row r="13950" spans="8:9">
      <c r="H13950" s="1245"/>
      <c r="I13950" s="1245"/>
    </row>
    <row r="13951" spans="8:9">
      <c r="H13951" s="1245"/>
      <c r="I13951" s="1245"/>
    </row>
    <row r="13952" spans="8:9">
      <c r="H13952" s="1245"/>
      <c r="I13952" s="1245"/>
    </row>
    <row r="13953" spans="8:9">
      <c r="H13953" s="1245"/>
      <c r="I13953" s="1245"/>
    </row>
    <row r="13954" spans="8:9">
      <c r="H13954" s="1245"/>
      <c r="I13954" s="1245"/>
    </row>
    <row r="13955" spans="8:9">
      <c r="H13955" s="1245"/>
      <c r="I13955" s="1245"/>
    </row>
    <row r="13956" spans="8:9">
      <c r="H13956" s="1245"/>
      <c r="I13956" s="1245"/>
    </row>
    <row r="13957" spans="8:9">
      <c r="H13957" s="1245"/>
      <c r="I13957" s="1245"/>
    </row>
    <row r="13958" spans="8:9">
      <c r="H13958" s="1245"/>
      <c r="I13958" s="1245"/>
    </row>
    <row r="13959" spans="8:9">
      <c r="H13959" s="1245"/>
      <c r="I13959" s="1245"/>
    </row>
    <row r="13960" spans="8:9">
      <c r="H13960" s="1245"/>
      <c r="I13960" s="1245"/>
    </row>
    <row r="13961" spans="8:9">
      <c r="H13961" s="1245"/>
      <c r="I13961" s="1245"/>
    </row>
    <row r="13962" spans="8:9">
      <c r="H13962" s="1245"/>
      <c r="I13962" s="1245"/>
    </row>
    <row r="13963" spans="8:9">
      <c r="H13963" s="1245"/>
      <c r="I13963" s="1245"/>
    </row>
    <row r="13964" spans="8:9">
      <c r="H13964" s="1245"/>
      <c r="I13964" s="1245"/>
    </row>
    <row r="13965" spans="8:9">
      <c r="H13965" s="1245"/>
      <c r="I13965" s="1245"/>
    </row>
    <row r="13966" spans="8:9">
      <c r="H13966" s="1245"/>
      <c r="I13966" s="1245"/>
    </row>
    <row r="13967" spans="8:9">
      <c r="H13967" s="1245"/>
      <c r="I13967" s="1245"/>
    </row>
    <row r="13968" spans="8:9">
      <c r="H13968" s="1245"/>
      <c r="I13968" s="1245"/>
    </row>
    <row r="13969" spans="8:9">
      <c r="H13969" s="1245"/>
      <c r="I13969" s="1245"/>
    </row>
    <row r="13970" spans="8:9">
      <c r="H13970" s="1245"/>
      <c r="I13970" s="1245"/>
    </row>
    <row r="13971" spans="8:9">
      <c r="H13971" s="1245"/>
      <c r="I13971" s="1245"/>
    </row>
    <row r="13972" spans="8:9">
      <c r="H13972" s="1245"/>
      <c r="I13972" s="1245"/>
    </row>
    <row r="13973" spans="8:9">
      <c r="H13973" s="1245"/>
      <c r="I13973" s="1245"/>
    </row>
    <row r="13974" spans="8:9">
      <c r="H13974" s="1245"/>
      <c r="I13974" s="1245"/>
    </row>
    <row r="13975" spans="8:9">
      <c r="H13975" s="1245"/>
      <c r="I13975" s="1245"/>
    </row>
    <row r="13976" spans="8:9">
      <c r="H13976" s="1245"/>
      <c r="I13976" s="1245"/>
    </row>
    <row r="13977" spans="8:9">
      <c r="H13977" s="1245"/>
      <c r="I13977" s="1245"/>
    </row>
    <row r="13978" spans="8:9">
      <c r="H13978" s="1245"/>
      <c r="I13978" s="1245"/>
    </row>
    <row r="13979" spans="8:9">
      <c r="H13979" s="1245"/>
      <c r="I13979" s="1245"/>
    </row>
    <row r="13980" spans="8:9">
      <c r="H13980" s="1245"/>
      <c r="I13980" s="1245"/>
    </row>
    <row r="13981" spans="8:9">
      <c r="H13981" s="1245"/>
      <c r="I13981" s="1245"/>
    </row>
    <row r="13982" spans="8:9">
      <c r="H13982" s="1245"/>
      <c r="I13982" s="1245"/>
    </row>
    <row r="13983" spans="8:9">
      <c r="H13983" s="1245"/>
      <c r="I13983" s="1245"/>
    </row>
    <row r="13984" spans="8:9">
      <c r="H13984" s="1245"/>
      <c r="I13984" s="1245"/>
    </row>
    <row r="13985" spans="8:9">
      <c r="H13985" s="1245"/>
      <c r="I13985" s="1245"/>
    </row>
    <row r="13986" spans="8:9">
      <c r="H13986" s="1245"/>
      <c r="I13986" s="1245"/>
    </row>
    <row r="13987" spans="8:9">
      <c r="H13987" s="1245"/>
      <c r="I13987" s="1245"/>
    </row>
    <row r="13988" spans="8:9">
      <c r="H13988" s="1245"/>
      <c r="I13988" s="1245"/>
    </row>
    <row r="13989" spans="8:9">
      <c r="H13989" s="1245"/>
      <c r="I13989" s="1245"/>
    </row>
    <row r="13990" spans="8:9">
      <c r="H13990" s="1245"/>
      <c r="I13990" s="1245"/>
    </row>
    <row r="13991" spans="8:9">
      <c r="H13991" s="1245"/>
      <c r="I13991" s="1245"/>
    </row>
    <row r="13992" spans="8:9">
      <c r="H13992" s="1245"/>
      <c r="I13992" s="1245"/>
    </row>
    <row r="13993" spans="8:9">
      <c r="H13993" s="1245"/>
      <c r="I13993" s="1245"/>
    </row>
    <row r="13994" spans="8:9">
      <c r="H13994" s="1245"/>
      <c r="I13994" s="1245"/>
    </row>
    <row r="13995" spans="8:9">
      <c r="H13995" s="1245"/>
      <c r="I13995" s="1245"/>
    </row>
    <row r="13996" spans="8:9">
      <c r="H13996" s="1245"/>
      <c r="I13996" s="1245"/>
    </row>
    <row r="13997" spans="8:9">
      <c r="H13997" s="1245"/>
      <c r="I13997" s="1245"/>
    </row>
    <row r="13998" spans="8:9">
      <c r="H13998" s="1245"/>
      <c r="I13998" s="1245"/>
    </row>
    <row r="13999" spans="8:9">
      <c r="H13999" s="1245"/>
      <c r="I13999" s="1245"/>
    </row>
    <row r="14000" spans="8:9">
      <c r="H14000" s="1245"/>
      <c r="I14000" s="1245"/>
    </row>
    <row r="14001" spans="8:9">
      <c r="H14001" s="1245"/>
      <c r="I14001" s="1245"/>
    </row>
    <row r="14002" spans="8:9">
      <c r="H14002" s="1245"/>
      <c r="I14002" s="1245"/>
    </row>
    <row r="14003" spans="8:9">
      <c r="H14003" s="1245"/>
      <c r="I14003" s="1245"/>
    </row>
    <row r="14004" spans="8:9">
      <c r="H14004" s="1245"/>
      <c r="I14004" s="1245"/>
    </row>
    <row r="14005" spans="8:9">
      <c r="H14005" s="1245"/>
      <c r="I14005" s="1245"/>
    </row>
    <row r="14006" spans="8:9">
      <c r="H14006" s="1245"/>
      <c r="I14006" s="1245"/>
    </row>
    <row r="14007" spans="8:9">
      <c r="H14007" s="1245"/>
      <c r="I14007" s="1245"/>
    </row>
    <row r="14008" spans="8:9">
      <c r="H14008" s="1245"/>
      <c r="I14008" s="1245"/>
    </row>
    <row r="14009" spans="8:9">
      <c r="H14009" s="1245"/>
      <c r="I14009" s="1245"/>
    </row>
    <row r="14010" spans="8:9">
      <c r="H14010" s="1245"/>
      <c r="I14010" s="1245"/>
    </row>
    <row r="14011" spans="8:9">
      <c r="H14011" s="1245"/>
      <c r="I14011" s="1245"/>
    </row>
    <row r="14012" spans="8:9">
      <c r="H14012" s="1245"/>
      <c r="I14012" s="1245"/>
    </row>
    <row r="14013" spans="8:9">
      <c r="H14013" s="1245"/>
      <c r="I14013" s="1245"/>
    </row>
    <row r="14014" spans="8:9">
      <c r="H14014" s="1245"/>
      <c r="I14014" s="1245"/>
    </row>
    <row r="14015" spans="8:9">
      <c r="H14015" s="1245"/>
      <c r="I14015" s="1245"/>
    </row>
    <row r="14016" spans="8:9">
      <c r="H14016" s="1245"/>
      <c r="I14016" s="1245"/>
    </row>
    <row r="14017" spans="8:9">
      <c r="H14017" s="1245"/>
      <c r="I14017" s="1245"/>
    </row>
    <row r="14018" spans="8:9">
      <c r="H14018" s="1245"/>
      <c r="I14018" s="1245"/>
    </row>
    <row r="14019" spans="8:9">
      <c r="H14019" s="1245"/>
      <c r="I14019" s="1245"/>
    </row>
    <row r="14020" spans="8:9">
      <c r="H14020" s="1245"/>
      <c r="I14020" s="1245"/>
    </row>
    <row r="14021" spans="8:9">
      <c r="H14021" s="1245"/>
      <c r="I14021" s="1245"/>
    </row>
    <row r="14022" spans="8:9">
      <c r="H14022" s="1245"/>
      <c r="I14022" s="1245"/>
    </row>
    <row r="14023" spans="8:9">
      <c r="H14023" s="1245"/>
      <c r="I14023" s="1245"/>
    </row>
    <row r="14024" spans="8:9">
      <c r="H14024" s="1245"/>
      <c r="I14024" s="1245"/>
    </row>
    <row r="14025" spans="8:9">
      <c r="H14025" s="1245"/>
      <c r="I14025" s="1245"/>
    </row>
    <row r="14026" spans="8:9">
      <c r="H14026" s="1245"/>
      <c r="I14026" s="1245"/>
    </row>
    <row r="14027" spans="8:9">
      <c r="H14027" s="1245"/>
      <c r="I14027" s="1245"/>
    </row>
    <row r="14028" spans="8:9">
      <c r="H14028" s="1245"/>
      <c r="I14028" s="1245"/>
    </row>
    <row r="14029" spans="8:9">
      <c r="H14029" s="1245"/>
      <c r="I14029" s="1245"/>
    </row>
    <row r="14030" spans="8:9">
      <c r="H14030" s="1245"/>
      <c r="I14030" s="1245"/>
    </row>
    <row r="14031" spans="8:9">
      <c r="H14031" s="1245"/>
      <c r="I14031" s="1245"/>
    </row>
    <row r="14032" spans="8:9">
      <c r="H14032" s="1245"/>
      <c r="I14032" s="1245"/>
    </row>
    <row r="14033" spans="8:9">
      <c r="H14033" s="1245"/>
      <c r="I14033" s="1245"/>
    </row>
    <row r="14034" spans="8:9">
      <c r="H14034" s="1245"/>
      <c r="I14034" s="1245"/>
    </row>
    <row r="14035" spans="8:9">
      <c r="H14035" s="1245"/>
      <c r="I14035" s="1245"/>
    </row>
    <row r="14036" spans="8:9">
      <c r="H14036" s="1245"/>
      <c r="I14036" s="1245"/>
    </row>
    <row r="14037" spans="8:9">
      <c r="H14037" s="1245"/>
      <c r="I14037" s="1245"/>
    </row>
    <row r="14038" spans="8:9">
      <c r="H14038" s="1245"/>
      <c r="I14038" s="1245"/>
    </row>
    <row r="14039" spans="8:9">
      <c r="H14039" s="1245"/>
      <c r="I14039" s="1245"/>
    </row>
    <row r="14040" spans="8:9">
      <c r="H14040" s="1245"/>
      <c r="I14040" s="1245"/>
    </row>
    <row r="14041" spans="8:9">
      <c r="H14041" s="1245"/>
      <c r="I14041" s="1245"/>
    </row>
    <row r="14042" spans="8:9">
      <c r="H14042" s="1245"/>
      <c r="I14042" s="1245"/>
    </row>
    <row r="14043" spans="8:9">
      <c r="H14043" s="1245"/>
      <c r="I14043" s="1245"/>
    </row>
    <row r="14044" spans="8:9">
      <c r="H14044" s="1245"/>
      <c r="I14044" s="1245"/>
    </row>
    <row r="14045" spans="8:9">
      <c r="H14045" s="1245"/>
      <c r="I14045" s="1245"/>
    </row>
    <row r="14046" spans="8:9">
      <c r="H14046" s="1245"/>
      <c r="I14046" s="1245"/>
    </row>
    <row r="14047" spans="8:9">
      <c r="H14047" s="1245"/>
      <c r="I14047" s="1245"/>
    </row>
    <row r="14048" spans="8:9">
      <c r="H14048" s="1245"/>
      <c r="I14048" s="1245"/>
    </row>
    <row r="14049" spans="8:9">
      <c r="H14049" s="1245"/>
      <c r="I14049" s="1245"/>
    </row>
    <row r="14050" spans="8:9">
      <c r="H14050" s="1245"/>
      <c r="I14050" s="1245"/>
    </row>
    <row r="14051" spans="8:9">
      <c r="H14051" s="1245"/>
      <c r="I14051" s="1245"/>
    </row>
    <row r="14052" spans="8:9">
      <c r="H14052" s="1245"/>
      <c r="I14052" s="1245"/>
    </row>
    <row r="14053" spans="8:9">
      <c r="H14053" s="1245"/>
      <c r="I14053" s="1245"/>
    </row>
    <row r="14054" spans="8:9">
      <c r="H14054" s="1245"/>
      <c r="I14054" s="1245"/>
    </row>
    <row r="14055" spans="8:9">
      <c r="H14055" s="1245"/>
      <c r="I14055" s="1245"/>
    </row>
    <row r="14056" spans="8:9">
      <c r="H14056" s="1245"/>
      <c r="I14056" s="1245"/>
    </row>
    <row r="14057" spans="8:9">
      <c r="H14057" s="1245"/>
      <c r="I14057" s="1245"/>
    </row>
    <row r="14058" spans="8:9">
      <c r="H14058" s="1245"/>
      <c r="I14058" s="1245"/>
    </row>
    <row r="14059" spans="8:9">
      <c r="H14059" s="1245"/>
      <c r="I14059" s="1245"/>
    </row>
    <row r="14060" spans="8:9">
      <c r="H14060" s="1245"/>
      <c r="I14060" s="1245"/>
    </row>
    <row r="14061" spans="8:9">
      <c r="H14061" s="1245"/>
      <c r="I14061" s="1245"/>
    </row>
    <row r="14062" spans="8:9">
      <c r="H14062" s="1245"/>
      <c r="I14062" s="1245"/>
    </row>
    <row r="14063" spans="8:9">
      <c r="H14063" s="1245"/>
      <c r="I14063" s="1245"/>
    </row>
    <row r="14064" spans="8:9">
      <c r="H14064" s="1245"/>
      <c r="I14064" s="1245"/>
    </row>
    <row r="14065" spans="8:9">
      <c r="H14065" s="1245"/>
      <c r="I14065" s="1245"/>
    </row>
    <row r="14066" spans="8:9">
      <c r="H14066" s="1245"/>
      <c r="I14066" s="1245"/>
    </row>
    <row r="14067" spans="8:9">
      <c r="H14067" s="1245"/>
      <c r="I14067" s="1245"/>
    </row>
    <row r="14068" spans="8:9">
      <c r="H14068" s="1245"/>
      <c r="I14068" s="1245"/>
    </row>
    <row r="14069" spans="8:9">
      <c r="H14069" s="1245"/>
      <c r="I14069" s="1245"/>
    </row>
    <row r="14070" spans="8:9">
      <c r="H14070" s="1245"/>
      <c r="I14070" s="1245"/>
    </row>
    <row r="14071" spans="8:9">
      <c r="H14071" s="1245"/>
      <c r="I14071" s="1245"/>
    </row>
    <row r="14072" spans="8:9">
      <c r="H14072" s="1245"/>
      <c r="I14072" s="1245"/>
    </row>
    <row r="14073" spans="8:9">
      <c r="H14073" s="1245"/>
      <c r="I14073" s="1245"/>
    </row>
    <row r="14074" spans="8:9">
      <c r="H14074" s="1245"/>
      <c r="I14074" s="1245"/>
    </row>
    <row r="14075" spans="8:9">
      <c r="H14075" s="1245"/>
      <c r="I14075" s="1245"/>
    </row>
    <row r="14076" spans="8:9">
      <c r="H14076" s="1245"/>
      <c r="I14076" s="1245"/>
    </row>
    <row r="14077" spans="8:9">
      <c r="H14077" s="1245"/>
      <c r="I14077" s="1245"/>
    </row>
    <row r="14078" spans="8:9">
      <c r="H14078" s="1245"/>
      <c r="I14078" s="1245"/>
    </row>
    <row r="14079" spans="8:9">
      <c r="H14079" s="1245"/>
      <c r="I14079" s="1245"/>
    </row>
    <row r="14080" spans="8:9">
      <c r="H14080" s="1245"/>
      <c r="I14080" s="1245"/>
    </row>
    <row r="14081" spans="8:9">
      <c r="H14081" s="1245"/>
      <c r="I14081" s="1245"/>
    </row>
    <row r="14082" spans="8:9">
      <c r="H14082" s="1245"/>
      <c r="I14082" s="1245"/>
    </row>
    <row r="14083" spans="8:9">
      <c r="H14083" s="1245"/>
      <c r="I14083" s="1245"/>
    </row>
    <row r="14084" spans="8:9">
      <c r="H14084" s="1245"/>
      <c r="I14084" s="1245"/>
    </row>
    <row r="14085" spans="8:9">
      <c r="H14085" s="1245"/>
      <c r="I14085" s="1245"/>
    </row>
    <row r="14086" spans="8:9">
      <c r="H14086" s="1245"/>
      <c r="I14086" s="1245"/>
    </row>
    <row r="14087" spans="8:9">
      <c r="H14087" s="1245"/>
      <c r="I14087" s="1245"/>
    </row>
    <row r="14088" spans="8:9">
      <c r="H14088" s="1245"/>
      <c r="I14088" s="1245"/>
    </row>
    <row r="14089" spans="8:9">
      <c r="H14089" s="1245"/>
      <c r="I14089" s="1245"/>
    </row>
    <row r="14090" spans="8:9">
      <c r="H14090" s="1245"/>
      <c r="I14090" s="1245"/>
    </row>
    <row r="14091" spans="8:9">
      <c r="H14091" s="1245"/>
      <c r="I14091" s="1245"/>
    </row>
    <row r="14092" spans="8:9">
      <c r="H14092" s="1245"/>
      <c r="I14092" s="1245"/>
    </row>
    <row r="14093" spans="8:9">
      <c r="H14093" s="1245"/>
      <c r="I14093" s="1245"/>
    </row>
    <row r="14094" spans="8:9">
      <c r="H14094" s="1245"/>
      <c r="I14094" s="1245"/>
    </row>
    <row r="14095" spans="8:9">
      <c r="H14095" s="1245"/>
      <c r="I14095" s="1245"/>
    </row>
    <row r="14096" spans="8:9">
      <c r="H14096" s="1245"/>
      <c r="I14096" s="1245"/>
    </row>
    <row r="14097" spans="8:9">
      <c r="H14097" s="1245"/>
      <c r="I14097" s="1245"/>
    </row>
    <row r="14098" spans="8:9">
      <c r="H14098" s="1245"/>
      <c r="I14098" s="1245"/>
    </row>
    <row r="14099" spans="8:9">
      <c r="H14099" s="1245"/>
      <c r="I14099" s="1245"/>
    </row>
    <row r="14100" spans="8:9">
      <c r="H14100" s="1245"/>
      <c r="I14100" s="1245"/>
    </row>
    <row r="14101" spans="8:9">
      <c r="H14101" s="1245"/>
      <c r="I14101" s="1245"/>
    </row>
    <row r="14102" spans="8:9">
      <c r="H14102" s="1245"/>
      <c r="I14102" s="1245"/>
    </row>
    <row r="14103" spans="8:9">
      <c r="H14103" s="1245"/>
      <c r="I14103" s="1245"/>
    </row>
    <row r="14104" spans="8:9">
      <c r="H14104" s="1245"/>
      <c r="I14104" s="1245"/>
    </row>
    <row r="14105" spans="8:9">
      <c r="H14105" s="1245"/>
      <c r="I14105" s="1245"/>
    </row>
    <row r="14106" spans="8:9">
      <c r="H14106" s="1245"/>
      <c r="I14106" s="1245"/>
    </row>
    <row r="14107" spans="8:9">
      <c r="H14107" s="1245"/>
      <c r="I14107" s="1245"/>
    </row>
    <row r="14108" spans="8:9">
      <c r="H14108" s="1245"/>
      <c r="I14108" s="1245"/>
    </row>
    <row r="14109" spans="8:9">
      <c r="H14109" s="1245"/>
      <c r="I14109" s="1245"/>
    </row>
    <row r="14110" spans="8:9">
      <c r="H14110" s="1245"/>
      <c r="I14110" s="1245"/>
    </row>
    <row r="14111" spans="8:9">
      <c r="H14111" s="1245"/>
      <c r="I14111" s="1245"/>
    </row>
    <row r="14112" spans="8:9">
      <c r="H14112" s="1245"/>
      <c r="I14112" s="1245"/>
    </row>
    <row r="14113" spans="8:9">
      <c r="H14113" s="1245"/>
      <c r="I14113" s="1245"/>
    </row>
    <row r="14114" spans="8:9">
      <c r="H14114" s="1245"/>
      <c r="I14114" s="1245"/>
    </row>
    <row r="14115" spans="8:9">
      <c r="H14115" s="1245"/>
      <c r="I14115" s="1245"/>
    </row>
    <row r="14116" spans="8:9">
      <c r="H14116" s="1245"/>
      <c r="I14116" s="1245"/>
    </row>
    <row r="14117" spans="8:9">
      <c r="H14117" s="1245"/>
      <c r="I14117" s="1245"/>
    </row>
    <row r="14118" spans="8:9">
      <c r="H14118" s="1245"/>
      <c r="I14118" s="1245"/>
    </row>
    <row r="14119" spans="8:9">
      <c r="H14119" s="1245"/>
      <c r="I14119" s="1245"/>
    </row>
    <row r="14120" spans="8:9">
      <c r="H14120" s="1245"/>
      <c r="I14120" s="1245"/>
    </row>
    <row r="14121" spans="8:9">
      <c r="H14121" s="1245"/>
      <c r="I14121" s="1245"/>
    </row>
    <row r="14122" spans="8:9">
      <c r="H14122" s="1245"/>
      <c r="I14122" s="1245"/>
    </row>
    <row r="14123" spans="8:9">
      <c r="H14123" s="1245"/>
      <c r="I14123" s="1245"/>
    </row>
    <row r="14124" spans="8:9">
      <c r="H14124" s="1245"/>
      <c r="I14124" s="1245"/>
    </row>
    <row r="14125" spans="8:9">
      <c r="H14125" s="1245"/>
      <c r="I14125" s="1245"/>
    </row>
    <row r="14126" spans="8:9">
      <c r="H14126" s="1245"/>
      <c r="I14126" s="1245"/>
    </row>
    <row r="14127" spans="8:9">
      <c r="H14127" s="1245"/>
      <c r="I14127" s="1245"/>
    </row>
    <row r="14128" spans="8:9">
      <c r="H14128" s="1245"/>
      <c r="I14128" s="1245"/>
    </row>
    <row r="14129" spans="8:9">
      <c r="H14129" s="1245"/>
      <c r="I14129" s="1245"/>
    </row>
    <row r="14130" spans="8:9">
      <c r="H14130" s="1245"/>
      <c r="I14130" s="1245"/>
    </row>
    <row r="14131" spans="8:9">
      <c r="H14131" s="1245"/>
      <c r="I14131" s="1245"/>
    </row>
    <row r="14132" spans="8:9">
      <c r="H14132" s="1245"/>
      <c r="I14132" s="1245"/>
    </row>
    <row r="14133" spans="8:9">
      <c r="H14133" s="1245"/>
      <c r="I14133" s="1245"/>
    </row>
    <row r="14134" spans="8:9">
      <c r="H14134" s="1245"/>
      <c r="I14134" s="1245"/>
    </row>
    <row r="14135" spans="8:9">
      <c r="H14135" s="1245"/>
      <c r="I14135" s="1245"/>
    </row>
    <row r="14136" spans="8:9">
      <c r="H14136" s="1245"/>
      <c r="I14136" s="1245"/>
    </row>
    <row r="14137" spans="8:9">
      <c r="H14137" s="1245"/>
      <c r="I14137" s="1245"/>
    </row>
    <row r="14138" spans="8:9">
      <c r="H14138" s="1245"/>
      <c r="I14138" s="1245"/>
    </row>
    <row r="14139" spans="8:9">
      <c r="H14139" s="1245"/>
      <c r="I14139" s="1245"/>
    </row>
    <row r="14140" spans="8:9">
      <c r="H14140" s="1245"/>
      <c r="I14140" s="1245"/>
    </row>
    <row r="14141" spans="8:9">
      <c r="H14141" s="1245"/>
      <c r="I14141" s="1245"/>
    </row>
    <row r="14142" spans="8:9">
      <c r="H14142" s="1245"/>
      <c r="I14142" s="1245"/>
    </row>
    <row r="14143" spans="8:9">
      <c r="H14143" s="1245"/>
      <c r="I14143" s="1245"/>
    </row>
    <row r="14144" spans="8:9">
      <c r="H14144" s="1245"/>
      <c r="I14144" s="1245"/>
    </row>
    <row r="14145" spans="8:9">
      <c r="H14145" s="1245"/>
      <c r="I14145" s="1245"/>
    </row>
    <row r="14146" spans="8:9">
      <c r="H14146" s="1245"/>
      <c r="I14146" s="1245"/>
    </row>
    <row r="14147" spans="8:9">
      <c r="H14147" s="1245"/>
      <c r="I14147" s="1245"/>
    </row>
    <row r="14148" spans="8:9">
      <c r="H14148" s="1245"/>
      <c r="I14148" s="1245"/>
    </row>
    <row r="14149" spans="8:9">
      <c r="H14149" s="1245"/>
      <c r="I14149" s="1245"/>
    </row>
    <row r="14150" spans="8:9">
      <c r="H14150" s="1245"/>
      <c r="I14150" s="1245"/>
    </row>
    <row r="14151" spans="8:9">
      <c r="H14151" s="1245"/>
      <c r="I14151" s="1245"/>
    </row>
    <row r="14152" spans="8:9">
      <c r="H14152" s="1245"/>
      <c r="I14152" s="1245"/>
    </row>
    <row r="14153" spans="8:9">
      <c r="H14153" s="1245"/>
      <c r="I14153" s="1245"/>
    </row>
    <row r="14154" spans="8:9">
      <c r="H14154" s="1245"/>
      <c r="I14154" s="1245"/>
    </row>
    <row r="14155" spans="8:9">
      <c r="H14155" s="1245"/>
      <c r="I14155" s="1245"/>
    </row>
    <row r="14156" spans="8:9">
      <c r="H14156" s="1245"/>
      <c r="I14156" s="1245"/>
    </row>
    <row r="14157" spans="8:9">
      <c r="H14157" s="1245"/>
      <c r="I14157" s="1245"/>
    </row>
    <row r="14158" spans="8:9">
      <c r="H14158" s="1245"/>
      <c r="I14158" s="1245"/>
    </row>
    <row r="14159" spans="8:9">
      <c r="H14159" s="1245"/>
      <c r="I14159" s="1245"/>
    </row>
    <row r="14160" spans="8:9">
      <c r="H14160" s="1245"/>
      <c r="I14160" s="1245"/>
    </row>
    <row r="14161" spans="8:9">
      <c r="H14161" s="1245"/>
      <c r="I14161" s="1245"/>
    </row>
    <row r="14162" spans="8:9">
      <c r="H14162" s="1245"/>
      <c r="I14162" s="1245"/>
    </row>
    <row r="14163" spans="8:9">
      <c r="H14163" s="1245"/>
      <c r="I14163" s="1245"/>
    </row>
    <row r="14164" spans="8:9">
      <c r="H14164" s="1245"/>
      <c r="I14164" s="1245"/>
    </row>
    <row r="14165" spans="8:9">
      <c r="H14165" s="1245"/>
      <c r="I14165" s="1245"/>
    </row>
    <row r="14166" spans="8:9">
      <c r="H14166" s="1245"/>
      <c r="I14166" s="1245"/>
    </row>
    <row r="14167" spans="8:9">
      <c r="H14167" s="1245"/>
      <c r="I14167" s="1245"/>
    </row>
    <row r="14168" spans="8:9">
      <c r="H14168" s="1245"/>
      <c r="I14168" s="1245"/>
    </row>
    <row r="14169" spans="8:9">
      <c r="H14169" s="1245"/>
      <c r="I14169" s="1245"/>
    </row>
    <row r="14170" spans="8:9">
      <c r="H14170" s="1245"/>
      <c r="I14170" s="1245"/>
    </row>
    <row r="14171" spans="8:9">
      <c r="H14171" s="1245"/>
      <c r="I14171" s="1245"/>
    </row>
    <row r="14172" spans="8:9">
      <c r="H14172" s="1245"/>
      <c r="I14172" s="1245"/>
    </row>
    <row r="14173" spans="8:9">
      <c r="H14173" s="1245"/>
      <c r="I14173" s="1245"/>
    </row>
    <row r="14174" spans="8:9">
      <c r="H14174" s="1245"/>
      <c r="I14174" s="1245"/>
    </row>
    <row r="14175" spans="8:9">
      <c r="H14175" s="1245"/>
      <c r="I14175" s="1245"/>
    </row>
    <row r="14176" spans="8:9">
      <c r="H14176" s="1245"/>
      <c r="I14176" s="1245"/>
    </row>
    <row r="14177" spans="8:9">
      <c r="H14177" s="1245"/>
      <c r="I14177" s="1245"/>
    </row>
    <row r="14178" spans="8:9">
      <c r="H14178" s="1245"/>
      <c r="I14178" s="1245"/>
    </row>
    <row r="14179" spans="8:9">
      <c r="H14179" s="1245"/>
      <c r="I14179" s="1245"/>
    </row>
    <row r="14180" spans="8:9">
      <c r="H14180" s="1245"/>
      <c r="I14180" s="1245"/>
    </row>
    <row r="14181" spans="8:9">
      <c r="H14181" s="1245"/>
      <c r="I14181" s="1245"/>
    </row>
    <row r="14182" spans="8:9">
      <c r="H14182" s="1245"/>
      <c r="I14182" s="1245"/>
    </row>
    <row r="14183" spans="8:9">
      <c r="H14183" s="1245"/>
      <c r="I14183" s="1245"/>
    </row>
    <row r="14184" spans="8:9">
      <c r="H14184" s="1245"/>
      <c r="I14184" s="1245"/>
    </row>
    <row r="14185" spans="8:9">
      <c r="H14185" s="1245"/>
      <c r="I14185" s="1245"/>
    </row>
    <row r="14186" spans="8:9">
      <c r="H14186" s="1245"/>
      <c r="I14186" s="1245"/>
    </row>
    <row r="14187" spans="8:9">
      <c r="H14187" s="1245"/>
      <c r="I14187" s="1245"/>
    </row>
    <row r="14188" spans="8:9">
      <c r="H14188" s="1245"/>
      <c r="I14188" s="1245"/>
    </row>
    <row r="14189" spans="8:9">
      <c r="H14189" s="1245"/>
      <c r="I14189" s="1245"/>
    </row>
    <row r="14190" spans="8:9">
      <c r="H14190" s="1245"/>
      <c r="I14190" s="1245"/>
    </row>
    <row r="14191" spans="8:9">
      <c r="H14191" s="1245"/>
      <c r="I14191" s="1245"/>
    </row>
    <row r="14192" spans="8:9">
      <c r="H14192" s="1245"/>
      <c r="I14192" s="1245"/>
    </row>
    <row r="14193" spans="8:9">
      <c r="H14193" s="1245"/>
      <c r="I14193" s="1245"/>
    </row>
    <row r="14194" spans="8:9">
      <c r="H14194" s="1245"/>
      <c r="I14194" s="1245"/>
    </row>
    <row r="14195" spans="8:9">
      <c r="H14195" s="1245"/>
      <c r="I14195" s="1245"/>
    </row>
    <row r="14196" spans="8:9">
      <c r="H14196" s="1245"/>
      <c r="I14196" s="1245"/>
    </row>
    <row r="14197" spans="8:9">
      <c r="H14197" s="1245"/>
      <c r="I14197" s="1245"/>
    </row>
    <row r="14198" spans="8:9">
      <c r="H14198" s="1245"/>
      <c r="I14198" s="1245"/>
    </row>
    <row r="14199" spans="8:9">
      <c r="H14199" s="1245"/>
      <c r="I14199" s="1245"/>
    </row>
    <row r="14200" spans="8:9">
      <c r="H14200" s="1245"/>
      <c r="I14200" s="1245"/>
    </row>
    <row r="14201" spans="8:9">
      <c r="H14201" s="1245"/>
      <c r="I14201" s="1245"/>
    </row>
    <row r="14202" spans="8:9">
      <c r="H14202" s="1245"/>
      <c r="I14202" s="1245"/>
    </row>
    <row r="14203" spans="8:9">
      <c r="H14203" s="1245"/>
      <c r="I14203" s="1245"/>
    </row>
    <row r="14204" spans="8:9">
      <c r="H14204" s="1245"/>
      <c r="I14204" s="1245"/>
    </row>
    <row r="14205" spans="8:9">
      <c r="H14205" s="1245"/>
      <c r="I14205" s="1245"/>
    </row>
    <row r="14206" spans="8:9">
      <c r="H14206" s="1245"/>
      <c r="I14206" s="1245"/>
    </row>
    <row r="14207" spans="8:9">
      <c r="H14207" s="1245"/>
      <c r="I14207" s="1245"/>
    </row>
    <row r="14208" spans="8:9">
      <c r="H14208" s="1245"/>
      <c r="I14208" s="1245"/>
    </row>
    <row r="14209" spans="8:9">
      <c r="H14209" s="1245"/>
      <c r="I14209" s="1245"/>
    </row>
    <row r="14210" spans="8:9">
      <c r="H14210" s="1245"/>
      <c r="I14210" s="1245"/>
    </row>
    <row r="14211" spans="8:9">
      <c r="H14211" s="1245"/>
      <c r="I14211" s="1245"/>
    </row>
    <row r="14212" spans="8:9">
      <c r="H14212" s="1245"/>
      <c r="I14212" s="1245"/>
    </row>
    <row r="14213" spans="8:9">
      <c r="H14213" s="1245"/>
      <c r="I14213" s="1245"/>
    </row>
    <row r="14214" spans="8:9">
      <c r="H14214" s="1245"/>
      <c r="I14214" s="1245"/>
    </row>
    <row r="14215" spans="8:9">
      <c r="H14215" s="1245"/>
      <c r="I14215" s="1245"/>
    </row>
    <row r="14216" spans="8:9">
      <c r="H14216" s="1245"/>
      <c r="I14216" s="1245"/>
    </row>
    <row r="14217" spans="8:9">
      <c r="H14217" s="1245"/>
      <c r="I14217" s="1245"/>
    </row>
    <row r="14218" spans="8:9">
      <c r="H14218" s="1245"/>
      <c r="I14218" s="1245"/>
    </row>
    <row r="14219" spans="8:9">
      <c r="H14219" s="1245"/>
      <c r="I14219" s="1245"/>
    </row>
    <row r="14220" spans="8:9">
      <c r="H14220" s="1245"/>
      <c r="I14220" s="1245"/>
    </row>
    <row r="14221" spans="8:9">
      <c r="H14221" s="1245"/>
      <c r="I14221" s="1245"/>
    </row>
    <row r="14222" spans="8:9">
      <c r="H14222" s="1245"/>
      <c r="I14222" s="1245"/>
    </row>
    <row r="14223" spans="8:9">
      <c r="H14223" s="1245"/>
      <c r="I14223" s="1245"/>
    </row>
    <row r="14224" spans="8:9">
      <c r="H14224" s="1245"/>
      <c r="I14224" s="1245"/>
    </row>
    <row r="14225" spans="8:9">
      <c r="H14225" s="1245"/>
      <c r="I14225" s="1245"/>
    </row>
    <row r="14226" spans="8:9">
      <c r="H14226" s="1245"/>
      <c r="I14226" s="1245"/>
    </row>
    <row r="14227" spans="8:9">
      <c r="H14227" s="1245"/>
      <c r="I14227" s="1245"/>
    </row>
    <row r="14228" spans="8:9">
      <c r="H14228" s="1245"/>
      <c r="I14228" s="1245"/>
    </row>
    <row r="14229" spans="8:9">
      <c r="H14229" s="1245"/>
      <c r="I14229" s="1245"/>
    </row>
    <row r="14230" spans="8:9">
      <c r="H14230" s="1245"/>
      <c r="I14230" s="1245"/>
    </row>
    <row r="14231" spans="8:9">
      <c r="H14231" s="1245"/>
      <c r="I14231" s="1245"/>
    </row>
    <row r="14232" spans="8:9">
      <c r="H14232" s="1245"/>
      <c r="I14232" s="1245"/>
    </row>
    <row r="14233" spans="8:9">
      <c r="H14233" s="1245"/>
      <c r="I14233" s="1245"/>
    </row>
    <row r="14234" spans="8:9">
      <c r="H14234" s="1245"/>
      <c r="I14234" s="1245"/>
    </row>
    <row r="14235" spans="8:9">
      <c r="H14235" s="1245"/>
      <c r="I14235" s="1245"/>
    </row>
    <row r="14236" spans="8:9">
      <c r="H14236" s="1245"/>
      <c r="I14236" s="1245"/>
    </row>
    <row r="14237" spans="8:9">
      <c r="H14237" s="1245"/>
      <c r="I14237" s="1245"/>
    </row>
    <row r="14238" spans="8:9">
      <c r="H14238" s="1245"/>
      <c r="I14238" s="1245"/>
    </row>
    <row r="14239" spans="8:9">
      <c r="H14239" s="1245"/>
      <c r="I14239" s="1245"/>
    </row>
    <row r="14240" spans="8:9">
      <c r="H14240" s="1245"/>
      <c r="I14240" s="1245"/>
    </row>
    <row r="14241" spans="8:9">
      <c r="H14241" s="1245"/>
      <c r="I14241" s="1245"/>
    </row>
    <row r="14242" spans="8:9">
      <c r="H14242" s="1245"/>
      <c r="I14242" s="1245"/>
    </row>
    <row r="14243" spans="8:9">
      <c r="H14243" s="1245"/>
      <c r="I14243" s="1245"/>
    </row>
    <row r="14244" spans="8:9">
      <c r="H14244" s="1245"/>
      <c r="I14244" s="1245"/>
    </row>
    <row r="14245" spans="8:9">
      <c r="H14245" s="1245"/>
      <c r="I14245" s="1245"/>
    </row>
    <row r="14246" spans="8:9">
      <c r="H14246" s="1245"/>
      <c r="I14246" s="1245"/>
    </row>
    <row r="14247" spans="8:9">
      <c r="H14247" s="1245"/>
      <c r="I14247" s="1245"/>
    </row>
    <row r="14248" spans="8:9">
      <c r="H14248" s="1245"/>
      <c r="I14248" s="1245"/>
    </row>
    <row r="14249" spans="8:9">
      <c r="H14249" s="1245"/>
      <c r="I14249" s="1245"/>
    </row>
    <row r="14250" spans="8:9">
      <c r="H14250" s="1245"/>
      <c r="I14250" s="1245"/>
    </row>
    <row r="14251" spans="8:9">
      <c r="H14251" s="1245"/>
      <c r="I14251" s="1245"/>
    </row>
    <row r="14252" spans="8:9">
      <c r="H14252" s="1245"/>
      <c r="I14252" s="1245"/>
    </row>
    <row r="14253" spans="8:9">
      <c r="H14253" s="1245"/>
      <c r="I14253" s="1245"/>
    </row>
    <row r="14254" spans="8:9">
      <c r="H14254" s="1245"/>
      <c r="I14254" s="1245"/>
    </row>
    <row r="14255" spans="8:9">
      <c r="H14255" s="1245"/>
      <c r="I14255" s="1245"/>
    </row>
    <row r="14256" spans="8:9">
      <c r="H14256" s="1245"/>
      <c r="I14256" s="1245"/>
    </row>
    <row r="14257" spans="8:9">
      <c r="H14257" s="1245"/>
      <c r="I14257" s="1245"/>
    </row>
    <row r="14258" spans="8:9">
      <c r="H14258" s="1245"/>
      <c r="I14258" s="1245"/>
    </row>
    <row r="14259" spans="8:9">
      <c r="H14259" s="1245"/>
      <c r="I14259" s="1245"/>
    </row>
    <row r="14260" spans="8:9">
      <c r="H14260" s="1245"/>
      <c r="I14260" s="1245"/>
    </row>
    <row r="14261" spans="8:9">
      <c r="H14261" s="1245"/>
      <c r="I14261" s="1245"/>
    </row>
    <row r="14262" spans="8:9">
      <c r="H14262" s="1245"/>
      <c r="I14262" s="1245"/>
    </row>
    <row r="14263" spans="8:9">
      <c r="H14263" s="1245"/>
      <c r="I14263" s="1245"/>
    </row>
    <row r="14264" spans="8:9">
      <c r="H14264" s="1245"/>
      <c r="I14264" s="1245"/>
    </row>
    <row r="14265" spans="8:9">
      <c r="H14265" s="1245"/>
      <c r="I14265" s="1245"/>
    </row>
    <row r="14266" spans="8:9">
      <c r="H14266" s="1245"/>
      <c r="I14266" s="1245"/>
    </row>
    <row r="14267" spans="8:9">
      <c r="H14267" s="1245"/>
      <c r="I14267" s="1245"/>
    </row>
    <row r="14268" spans="8:9">
      <c r="H14268" s="1245"/>
      <c r="I14268" s="1245"/>
    </row>
    <row r="14269" spans="8:9">
      <c r="H14269" s="1245"/>
      <c r="I14269" s="1245"/>
    </row>
    <row r="14270" spans="8:9">
      <c r="H14270" s="1245"/>
      <c r="I14270" s="1245"/>
    </row>
    <row r="14271" spans="8:9">
      <c r="H14271" s="1245"/>
      <c r="I14271" s="1245"/>
    </row>
    <row r="14272" spans="8:9">
      <c r="H14272" s="1245"/>
      <c r="I14272" s="1245"/>
    </row>
    <row r="14273" spans="8:9">
      <c r="H14273" s="1245"/>
      <c r="I14273" s="1245"/>
    </row>
    <row r="14274" spans="8:9">
      <c r="H14274" s="1245"/>
      <c r="I14274" s="1245"/>
    </row>
    <row r="14275" spans="8:9">
      <c r="H14275" s="1245"/>
      <c r="I14275" s="1245"/>
    </row>
    <row r="14276" spans="8:9">
      <c r="H14276" s="1245"/>
      <c r="I14276" s="1245"/>
    </row>
    <row r="14277" spans="8:9">
      <c r="H14277" s="1245"/>
      <c r="I14277" s="1245"/>
    </row>
    <row r="14278" spans="8:9">
      <c r="H14278" s="1245"/>
      <c r="I14278" s="1245"/>
    </row>
    <row r="14279" spans="8:9">
      <c r="H14279" s="1245"/>
      <c r="I14279" s="1245"/>
    </row>
    <row r="14280" spans="8:9">
      <c r="H14280" s="1245"/>
      <c r="I14280" s="1245"/>
    </row>
    <row r="14281" spans="8:9">
      <c r="H14281" s="1245"/>
      <c r="I14281" s="1245"/>
    </row>
    <row r="14282" spans="8:9">
      <c r="H14282" s="1245"/>
      <c r="I14282" s="1245"/>
    </row>
    <row r="14283" spans="8:9">
      <c r="H14283" s="1245"/>
      <c r="I14283" s="1245"/>
    </row>
    <row r="14284" spans="8:9">
      <c r="H14284" s="1245"/>
      <c r="I14284" s="1245"/>
    </row>
    <row r="14285" spans="8:9">
      <c r="H14285" s="1245"/>
      <c r="I14285" s="1245"/>
    </row>
    <row r="14286" spans="8:9">
      <c r="H14286" s="1245"/>
      <c r="I14286" s="1245"/>
    </row>
    <row r="14287" spans="8:9">
      <c r="H14287" s="1245"/>
      <c r="I14287" s="1245"/>
    </row>
    <row r="14288" spans="8:9">
      <c r="H14288" s="1245"/>
      <c r="I14288" s="1245"/>
    </row>
    <row r="14289" spans="8:9">
      <c r="H14289" s="1245"/>
      <c r="I14289" s="1245"/>
    </row>
    <row r="14290" spans="8:9">
      <c r="H14290" s="1245"/>
      <c r="I14290" s="1245"/>
    </row>
    <row r="14291" spans="8:9">
      <c r="H14291" s="1245"/>
      <c r="I14291" s="1245"/>
    </row>
    <row r="14292" spans="8:9">
      <c r="H14292" s="1245"/>
      <c r="I14292" s="1245"/>
    </row>
    <row r="14293" spans="8:9">
      <c r="H14293" s="1245"/>
      <c r="I14293" s="1245"/>
    </row>
    <row r="14294" spans="8:9">
      <c r="H14294" s="1245"/>
      <c r="I14294" s="1245"/>
    </row>
    <row r="14295" spans="8:9">
      <c r="H14295" s="1245"/>
      <c r="I14295" s="1245"/>
    </row>
    <row r="14296" spans="8:9">
      <c r="H14296" s="1245"/>
      <c r="I14296" s="1245"/>
    </row>
    <row r="14297" spans="8:9">
      <c r="H14297" s="1245"/>
      <c r="I14297" s="1245"/>
    </row>
    <row r="14298" spans="8:9">
      <c r="H14298" s="1245"/>
      <c r="I14298" s="1245"/>
    </row>
    <row r="14299" spans="8:9">
      <c r="H14299" s="1245"/>
      <c r="I14299" s="1245"/>
    </row>
    <row r="14300" spans="8:9">
      <c r="H14300" s="1245"/>
      <c r="I14300" s="1245"/>
    </row>
    <row r="14301" spans="8:9">
      <c r="H14301" s="1245"/>
      <c r="I14301" s="1245"/>
    </row>
    <row r="14302" spans="8:9">
      <c r="H14302" s="1245"/>
      <c r="I14302" s="1245"/>
    </row>
    <row r="14303" spans="8:9">
      <c r="H14303" s="1245"/>
      <c r="I14303" s="1245"/>
    </row>
    <row r="14304" spans="8:9">
      <c r="H14304" s="1245"/>
      <c r="I14304" s="1245"/>
    </row>
    <row r="14305" spans="8:9">
      <c r="H14305" s="1245"/>
      <c r="I14305" s="1245"/>
    </row>
    <row r="14306" spans="8:9">
      <c r="H14306" s="1245"/>
      <c r="I14306" s="1245"/>
    </row>
    <row r="14307" spans="8:9">
      <c r="H14307" s="1245"/>
      <c r="I14307" s="1245"/>
    </row>
    <row r="14308" spans="8:9">
      <c r="H14308" s="1245"/>
      <c r="I14308" s="1245"/>
    </row>
    <row r="14309" spans="8:9">
      <c r="H14309" s="1245"/>
      <c r="I14309" s="1245"/>
    </row>
    <row r="14310" spans="8:9">
      <c r="H14310" s="1245"/>
      <c r="I14310" s="1245"/>
    </row>
    <row r="14311" spans="8:9">
      <c r="H14311" s="1245"/>
      <c r="I14311" s="1245"/>
    </row>
    <row r="14312" spans="8:9">
      <c r="H14312" s="1245"/>
      <c r="I14312" s="1245"/>
    </row>
    <row r="14313" spans="8:9">
      <c r="H14313" s="1245"/>
      <c r="I14313" s="1245"/>
    </row>
    <row r="14314" spans="8:9">
      <c r="H14314" s="1245"/>
      <c r="I14314" s="1245"/>
    </row>
    <row r="14315" spans="8:9">
      <c r="H14315" s="1245"/>
      <c r="I14315" s="1245"/>
    </row>
    <row r="14316" spans="8:9">
      <c r="H14316" s="1245"/>
      <c r="I14316" s="1245"/>
    </row>
    <row r="14317" spans="8:9">
      <c r="H14317" s="1245"/>
      <c r="I14317" s="1245"/>
    </row>
    <row r="14318" spans="8:9">
      <c r="H14318" s="1245"/>
      <c r="I14318" s="1245"/>
    </row>
    <row r="14319" spans="8:9">
      <c r="H14319" s="1245"/>
      <c r="I14319" s="1245"/>
    </row>
    <row r="14320" spans="8:9">
      <c r="H14320" s="1245"/>
      <c r="I14320" s="1245"/>
    </row>
    <row r="14321" spans="8:9">
      <c r="H14321" s="1245"/>
      <c r="I14321" s="1245"/>
    </row>
    <row r="14322" spans="8:9">
      <c r="H14322" s="1245"/>
      <c r="I14322" s="1245"/>
    </row>
    <row r="14323" spans="8:9">
      <c r="H14323" s="1245"/>
      <c r="I14323" s="1245"/>
    </row>
    <row r="14324" spans="8:9">
      <c r="H14324" s="1245"/>
      <c r="I14324" s="1245"/>
    </row>
    <row r="14325" spans="8:9">
      <c r="H14325" s="1245"/>
      <c r="I14325" s="1245"/>
    </row>
    <row r="14326" spans="8:9">
      <c r="H14326" s="1245"/>
      <c r="I14326" s="1245"/>
    </row>
    <row r="14327" spans="8:9">
      <c r="H14327" s="1245"/>
      <c r="I14327" s="1245"/>
    </row>
    <row r="14328" spans="8:9">
      <c r="H14328" s="1245"/>
      <c r="I14328" s="1245"/>
    </row>
    <row r="14329" spans="8:9">
      <c r="H14329" s="1245"/>
      <c r="I14329" s="1245"/>
    </row>
    <row r="14330" spans="8:9">
      <c r="H14330" s="1245"/>
      <c r="I14330" s="1245"/>
    </row>
    <row r="14331" spans="8:9">
      <c r="H14331" s="1245"/>
      <c r="I14331" s="1245"/>
    </row>
    <row r="14332" spans="8:9">
      <c r="H14332" s="1245"/>
      <c r="I14332" s="1245"/>
    </row>
    <row r="14333" spans="8:9">
      <c r="H14333" s="1245"/>
      <c r="I14333" s="1245"/>
    </row>
    <row r="14334" spans="8:9">
      <c r="H14334" s="1245"/>
      <c r="I14334" s="1245"/>
    </row>
    <row r="14335" spans="8:9">
      <c r="H14335" s="1245"/>
      <c r="I14335" s="1245"/>
    </row>
    <row r="14336" spans="8:9">
      <c r="H14336" s="1245"/>
      <c r="I14336" s="1245"/>
    </row>
    <row r="14337" spans="8:9">
      <c r="H14337" s="1245"/>
      <c r="I14337" s="1245"/>
    </row>
    <row r="14338" spans="8:9">
      <c r="H14338" s="1245"/>
      <c r="I14338" s="1245"/>
    </row>
    <row r="14339" spans="8:9">
      <c r="H14339" s="1245"/>
      <c r="I14339" s="1245"/>
    </row>
    <row r="14340" spans="8:9">
      <c r="H14340" s="1245"/>
      <c r="I14340" s="1245"/>
    </row>
    <row r="14341" spans="8:9">
      <c r="H14341" s="1245"/>
      <c r="I14341" s="1245"/>
    </row>
    <row r="14342" spans="8:9">
      <c r="H14342" s="1245"/>
      <c r="I14342" s="1245"/>
    </row>
    <row r="14343" spans="8:9">
      <c r="H14343" s="1245"/>
      <c r="I14343" s="1245"/>
    </row>
    <row r="14344" spans="8:9">
      <c r="H14344" s="1245"/>
      <c r="I14344" s="1245"/>
    </row>
    <row r="14345" spans="8:9">
      <c r="H14345" s="1245"/>
      <c r="I14345" s="1245"/>
    </row>
    <row r="14346" spans="8:9">
      <c r="H14346" s="1245"/>
      <c r="I14346" s="1245"/>
    </row>
    <row r="14347" spans="8:9">
      <c r="H14347" s="1245"/>
      <c r="I14347" s="1245"/>
    </row>
    <row r="14348" spans="8:9">
      <c r="H14348" s="1245"/>
      <c r="I14348" s="1245"/>
    </row>
    <row r="14349" spans="8:9">
      <c r="H14349" s="1245"/>
      <c r="I14349" s="1245"/>
    </row>
    <row r="14350" spans="8:9">
      <c r="H14350" s="1245"/>
      <c r="I14350" s="1245"/>
    </row>
    <row r="14351" spans="8:9">
      <c r="H14351" s="1245"/>
      <c r="I14351" s="1245"/>
    </row>
    <row r="14352" spans="8:9">
      <c r="H14352" s="1245"/>
      <c r="I14352" s="1245"/>
    </row>
    <row r="14353" spans="8:9">
      <c r="H14353" s="1245"/>
      <c r="I14353" s="1245"/>
    </row>
    <row r="14354" spans="8:9">
      <c r="H14354" s="1245"/>
      <c r="I14354" s="1245"/>
    </row>
    <row r="14355" spans="8:9">
      <c r="H14355" s="1245"/>
      <c r="I14355" s="1245"/>
    </row>
    <row r="14356" spans="8:9">
      <c r="H14356" s="1245"/>
      <c r="I14356" s="1245"/>
    </row>
    <row r="14357" spans="8:9">
      <c r="H14357" s="1245"/>
      <c r="I14357" s="1245"/>
    </row>
    <row r="14358" spans="8:9">
      <c r="H14358" s="1245"/>
      <c r="I14358" s="1245"/>
    </row>
    <row r="14359" spans="8:9">
      <c r="H14359" s="1245"/>
      <c r="I14359" s="1245"/>
    </row>
    <row r="14360" spans="8:9">
      <c r="H14360" s="1245"/>
      <c r="I14360" s="1245"/>
    </row>
    <row r="14361" spans="8:9">
      <c r="H14361" s="1245"/>
      <c r="I14361" s="1245"/>
    </row>
    <row r="14362" spans="8:9">
      <c r="H14362" s="1245"/>
      <c r="I14362" s="1245"/>
    </row>
    <row r="14363" spans="8:9">
      <c r="H14363" s="1245"/>
      <c r="I14363" s="1245"/>
    </row>
    <row r="14364" spans="8:9">
      <c r="H14364" s="1245"/>
      <c r="I14364" s="1245"/>
    </row>
    <row r="14365" spans="8:9">
      <c r="H14365" s="1245"/>
      <c r="I14365" s="1245"/>
    </row>
    <row r="14366" spans="8:9">
      <c r="H14366" s="1245"/>
      <c r="I14366" s="1245"/>
    </row>
    <row r="14367" spans="8:9">
      <c r="H14367" s="1245"/>
      <c r="I14367" s="1245"/>
    </row>
    <row r="14368" spans="8:9">
      <c r="H14368" s="1245"/>
      <c r="I14368" s="1245"/>
    </row>
    <row r="14369" spans="8:9">
      <c r="H14369" s="1245"/>
      <c r="I14369" s="1245"/>
    </row>
    <row r="14370" spans="8:9">
      <c r="H14370" s="1245"/>
      <c r="I14370" s="1245"/>
    </row>
    <row r="14371" spans="8:9">
      <c r="H14371" s="1245"/>
      <c r="I14371" s="1245"/>
    </row>
    <row r="14372" spans="8:9">
      <c r="H14372" s="1245"/>
      <c r="I14372" s="1245"/>
    </row>
    <row r="14373" spans="8:9">
      <c r="H14373" s="1245"/>
      <c r="I14373" s="1245"/>
    </row>
    <row r="14374" spans="8:9">
      <c r="H14374" s="1245"/>
      <c r="I14374" s="1245"/>
    </row>
    <row r="14375" spans="8:9">
      <c r="H14375" s="1245"/>
      <c r="I14375" s="1245"/>
    </row>
    <row r="14376" spans="8:9">
      <c r="H14376" s="1245"/>
      <c r="I14376" s="1245"/>
    </row>
    <row r="14377" spans="8:9">
      <c r="H14377" s="1245"/>
      <c r="I14377" s="1245"/>
    </row>
    <row r="14378" spans="8:9">
      <c r="H14378" s="1245"/>
      <c r="I14378" s="1245"/>
    </row>
    <row r="14379" spans="8:9">
      <c r="H14379" s="1245"/>
      <c r="I14379" s="1245"/>
    </row>
    <row r="14380" spans="8:9">
      <c r="H14380" s="1245"/>
      <c r="I14380" s="1245"/>
    </row>
    <row r="14381" spans="8:9">
      <c r="H14381" s="1245"/>
      <c r="I14381" s="1245"/>
    </row>
    <row r="14382" spans="8:9">
      <c r="H14382" s="1245"/>
      <c r="I14382" s="1245"/>
    </row>
    <row r="14383" spans="8:9">
      <c r="H14383" s="1245"/>
      <c r="I14383" s="1245"/>
    </row>
    <row r="14384" spans="8:9">
      <c r="H14384" s="1245"/>
      <c r="I14384" s="1245"/>
    </row>
    <row r="14385" spans="8:9">
      <c r="H14385" s="1245"/>
      <c r="I14385" s="1245"/>
    </row>
    <row r="14386" spans="8:9">
      <c r="H14386" s="1245"/>
      <c r="I14386" s="1245"/>
    </row>
    <row r="14387" spans="8:9">
      <c r="H14387" s="1245"/>
      <c r="I14387" s="1245"/>
    </row>
    <row r="14388" spans="8:9">
      <c r="H14388" s="1245"/>
      <c r="I14388" s="1245"/>
    </row>
    <row r="14389" spans="8:9">
      <c r="H14389" s="1245"/>
      <c r="I14389" s="1245"/>
    </row>
    <row r="14390" spans="8:9">
      <c r="H14390" s="1245"/>
      <c r="I14390" s="1245"/>
    </row>
    <row r="14391" spans="8:9">
      <c r="H14391" s="1245"/>
      <c r="I14391" s="1245"/>
    </row>
    <row r="14392" spans="8:9">
      <c r="H14392" s="1245"/>
      <c r="I14392" s="1245"/>
    </row>
    <row r="14393" spans="8:9">
      <c r="H14393" s="1245"/>
      <c r="I14393" s="1245"/>
    </row>
    <row r="14394" spans="8:9">
      <c r="H14394" s="1245"/>
      <c r="I14394" s="1245"/>
    </row>
    <row r="14395" spans="8:9">
      <c r="H14395" s="1245"/>
      <c r="I14395" s="1245"/>
    </row>
    <row r="14396" spans="8:9">
      <c r="H14396" s="1245"/>
      <c r="I14396" s="1245"/>
    </row>
    <row r="14397" spans="8:9">
      <c r="H14397" s="1245"/>
      <c r="I14397" s="1245"/>
    </row>
    <row r="14398" spans="8:9">
      <c r="H14398" s="1245"/>
      <c r="I14398" s="1245"/>
    </row>
    <row r="14399" spans="8:9">
      <c r="H14399" s="1245"/>
      <c r="I14399" s="1245"/>
    </row>
    <row r="14400" spans="8:9">
      <c r="H14400" s="1245"/>
      <c r="I14400" s="1245"/>
    </row>
    <row r="14401" spans="8:9">
      <c r="H14401" s="1245"/>
      <c r="I14401" s="1245"/>
    </row>
    <row r="14402" spans="8:9">
      <c r="H14402" s="1245"/>
      <c r="I14402" s="1245"/>
    </row>
    <row r="14403" spans="8:9">
      <c r="H14403" s="1245"/>
      <c r="I14403" s="1245"/>
    </row>
    <row r="14404" spans="8:9">
      <c r="H14404" s="1245"/>
      <c r="I14404" s="1245"/>
    </row>
    <row r="14405" spans="8:9">
      <c r="H14405" s="1245"/>
      <c r="I14405" s="1245"/>
    </row>
    <row r="14406" spans="8:9">
      <c r="H14406" s="1245"/>
      <c r="I14406" s="1245"/>
    </row>
    <row r="14407" spans="8:9">
      <c r="H14407" s="1245"/>
      <c r="I14407" s="1245"/>
    </row>
    <row r="14408" spans="8:9">
      <c r="H14408" s="1245"/>
      <c r="I14408" s="1245"/>
    </row>
    <row r="14409" spans="8:9">
      <c r="H14409" s="1245"/>
      <c r="I14409" s="1245"/>
    </row>
    <row r="14410" spans="8:9">
      <c r="H14410" s="1245"/>
      <c r="I14410" s="1245"/>
    </row>
    <row r="14411" spans="8:9">
      <c r="H14411" s="1245"/>
      <c r="I14411" s="1245"/>
    </row>
    <row r="14412" spans="8:9">
      <c r="H14412" s="1245"/>
      <c r="I14412" s="1245"/>
    </row>
    <row r="14413" spans="8:9">
      <c r="H14413" s="1245"/>
      <c r="I14413" s="1245"/>
    </row>
    <row r="14414" spans="8:9">
      <c r="H14414" s="1245"/>
      <c r="I14414" s="1245"/>
    </row>
    <row r="14415" spans="8:9">
      <c r="H14415" s="1245"/>
      <c r="I14415" s="1245"/>
    </row>
    <row r="14416" spans="8:9">
      <c r="H14416" s="1245"/>
      <c r="I14416" s="1245"/>
    </row>
    <row r="14417" spans="8:9">
      <c r="H14417" s="1245"/>
      <c r="I14417" s="1245"/>
    </row>
    <row r="14418" spans="8:9">
      <c r="H14418" s="1245"/>
      <c r="I14418" s="1245"/>
    </row>
    <row r="14419" spans="8:9">
      <c r="H14419" s="1245"/>
      <c r="I14419" s="1245"/>
    </row>
    <row r="14420" spans="8:9">
      <c r="H14420" s="1245"/>
      <c r="I14420" s="1245"/>
    </row>
    <row r="14421" spans="8:9">
      <c r="H14421" s="1245"/>
      <c r="I14421" s="1245"/>
    </row>
    <row r="14422" spans="8:9">
      <c r="H14422" s="1245"/>
      <c r="I14422" s="1245"/>
    </row>
    <row r="14423" spans="8:9">
      <c r="H14423" s="1245"/>
      <c r="I14423" s="1245"/>
    </row>
    <row r="14424" spans="8:9">
      <c r="H14424" s="1245"/>
      <c r="I14424" s="1245"/>
    </row>
    <row r="14425" spans="8:9">
      <c r="H14425" s="1245"/>
      <c r="I14425" s="1245"/>
    </row>
    <row r="14426" spans="8:9">
      <c r="H14426" s="1245"/>
      <c r="I14426" s="1245"/>
    </row>
    <row r="14427" spans="8:9">
      <c r="H14427" s="1245"/>
      <c r="I14427" s="1245"/>
    </row>
    <row r="14428" spans="8:9">
      <c r="H14428" s="1245"/>
      <c r="I14428" s="1245"/>
    </row>
    <row r="14429" spans="8:9">
      <c r="H14429" s="1245"/>
      <c r="I14429" s="1245"/>
    </row>
    <row r="14430" spans="8:9">
      <c r="H14430" s="1245"/>
      <c r="I14430" s="1245"/>
    </row>
    <row r="14431" spans="8:9">
      <c r="H14431" s="1245"/>
      <c r="I14431" s="1245"/>
    </row>
    <row r="14432" spans="8:9">
      <c r="H14432" s="1245"/>
      <c r="I14432" s="1245"/>
    </row>
    <row r="14433" spans="8:9">
      <c r="H14433" s="1245"/>
      <c r="I14433" s="1245"/>
    </row>
    <row r="14434" spans="8:9">
      <c r="H14434" s="1245"/>
      <c r="I14434" s="1245"/>
    </row>
    <row r="14435" spans="8:9">
      <c r="H14435" s="1245"/>
      <c r="I14435" s="1245"/>
    </row>
    <row r="14436" spans="8:9">
      <c r="H14436" s="1245"/>
      <c r="I14436" s="1245"/>
    </row>
    <row r="14437" spans="8:9">
      <c r="H14437" s="1245"/>
      <c r="I14437" s="1245"/>
    </row>
    <row r="14438" spans="8:9">
      <c r="H14438" s="1245"/>
      <c r="I14438" s="1245"/>
    </row>
    <row r="14439" spans="8:9">
      <c r="H14439" s="1245"/>
      <c r="I14439" s="1245"/>
    </row>
    <row r="14440" spans="8:9">
      <c r="H14440" s="1245"/>
      <c r="I14440" s="1245"/>
    </row>
    <row r="14441" spans="8:9">
      <c r="H14441" s="1245"/>
      <c r="I14441" s="1245"/>
    </row>
    <row r="14442" spans="8:9">
      <c r="H14442" s="1245"/>
      <c r="I14442" s="1245"/>
    </row>
    <row r="14443" spans="8:9">
      <c r="H14443" s="1245"/>
      <c r="I14443" s="1245"/>
    </row>
    <row r="14444" spans="8:9">
      <c r="H14444" s="1245"/>
      <c r="I14444" s="1245"/>
    </row>
    <row r="14445" spans="8:9">
      <c r="H14445" s="1245"/>
      <c r="I14445" s="1245"/>
    </row>
    <row r="14446" spans="8:9">
      <c r="H14446" s="1245"/>
      <c r="I14446" s="1245"/>
    </row>
    <row r="14447" spans="8:9">
      <c r="H14447" s="1245"/>
      <c r="I14447" s="1245"/>
    </row>
    <row r="14448" spans="8:9">
      <c r="H14448" s="1245"/>
      <c r="I14448" s="1245"/>
    </row>
    <row r="14449" spans="8:9">
      <c r="H14449" s="1245"/>
      <c r="I14449" s="1245"/>
    </row>
    <row r="14450" spans="8:9">
      <c r="H14450" s="1245"/>
      <c r="I14450" s="1245"/>
    </row>
    <row r="14451" spans="8:9">
      <c r="H14451" s="1245"/>
      <c r="I14451" s="1245"/>
    </row>
    <row r="14452" spans="8:9">
      <c r="H14452" s="1245"/>
      <c r="I14452" s="1245"/>
    </row>
    <row r="14453" spans="8:9">
      <c r="H14453" s="1245"/>
      <c r="I14453" s="1245"/>
    </row>
    <row r="14454" spans="8:9">
      <c r="H14454" s="1245"/>
      <c r="I14454" s="1245"/>
    </row>
    <row r="14455" spans="8:9">
      <c r="H14455" s="1245"/>
      <c r="I14455" s="1245"/>
    </row>
    <row r="14456" spans="8:9">
      <c r="H14456" s="1245"/>
      <c r="I14456" s="1245"/>
    </row>
    <row r="14457" spans="8:9">
      <c r="H14457" s="1245"/>
      <c r="I14457" s="1245"/>
    </row>
    <row r="14458" spans="8:9">
      <c r="H14458" s="1245"/>
      <c r="I14458" s="1245"/>
    </row>
    <row r="14459" spans="8:9">
      <c r="H14459" s="1245"/>
      <c r="I14459" s="1245"/>
    </row>
    <row r="14460" spans="8:9">
      <c r="H14460" s="1245"/>
      <c r="I14460" s="1245"/>
    </row>
    <row r="14461" spans="8:9">
      <c r="H14461" s="1245"/>
      <c r="I14461" s="1245"/>
    </row>
    <row r="14462" spans="8:9">
      <c r="H14462" s="1245"/>
      <c r="I14462" s="1245"/>
    </row>
    <row r="14463" spans="8:9">
      <c r="H14463" s="1245"/>
      <c r="I14463" s="1245"/>
    </row>
    <row r="14464" spans="8:9">
      <c r="H14464" s="1245"/>
      <c r="I14464" s="1245"/>
    </row>
    <row r="14465" spans="8:9">
      <c r="H14465" s="1245"/>
      <c r="I14465" s="1245"/>
    </row>
    <row r="14466" spans="8:9">
      <c r="H14466" s="1245"/>
      <c r="I14466" s="1245"/>
    </row>
    <row r="14467" spans="8:9">
      <c r="H14467" s="1245"/>
      <c r="I14467" s="1245"/>
    </row>
    <row r="14468" spans="8:9">
      <c r="H14468" s="1245"/>
      <c r="I14468" s="1245"/>
    </row>
    <row r="14469" spans="8:9">
      <c r="H14469" s="1245"/>
      <c r="I14469" s="1245"/>
    </row>
    <row r="14470" spans="8:9">
      <c r="H14470" s="1245"/>
      <c r="I14470" s="1245"/>
    </row>
    <row r="14471" spans="8:9">
      <c r="H14471" s="1245"/>
      <c r="I14471" s="1245"/>
    </row>
    <row r="14472" spans="8:9">
      <c r="H14472" s="1245"/>
      <c r="I14472" s="1245"/>
    </row>
    <row r="14473" spans="8:9">
      <c r="H14473" s="1245"/>
      <c r="I14473" s="1245"/>
    </row>
    <row r="14474" spans="8:9">
      <c r="H14474" s="1245"/>
      <c r="I14474" s="1245"/>
    </row>
    <row r="14475" spans="8:9">
      <c r="H14475" s="1245"/>
      <c r="I14475" s="1245"/>
    </row>
    <row r="14476" spans="8:9">
      <c r="H14476" s="1245"/>
      <c r="I14476" s="1245"/>
    </row>
    <row r="14477" spans="8:9">
      <c r="H14477" s="1245"/>
      <c r="I14477" s="1245"/>
    </row>
    <row r="14478" spans="8:9">
      <c r="H14478" s="1245"/>
      <c r="I14478" s="1245"/>
    </row>
    <row r="14479" spans="8:9">
      <c r="H14479" s="1245"/>
      <c r="I14479" s="1245"/>
    </row>
    <row r="14480" spans="8:9">
      <c r="H14480" s="1245"/>
      <c r="I14480" s="1245"/>
    </row>
    <row r="14481" spans="8:9">
      <c r="H14481" s="1245"/>
      <c r="I14481" s="1245"/>
    </row>
    <row r="14482" spans="8:9">
      <c r="H14482" s="1245"/>
      <c r="I14482" s="1245"/>
    </row>
    <row r="14483" spans="8:9">
      <c r="H14483" s="1245"/>
      <c r="I14483" s="1245"/>
    </row>
    <row r="14484" spans="8:9">
      <c r="H14484" s="1245"/>
      <c r="I14484" s="1245"/>
    </row>
    <row r="14485" spans="8:9">
      <c r="H14485" s="1245"/>
      <c r="I14485" s="1245"/>
    </row>
    <row r="14486" spans="8:9">
      <c r="H14486" s="1245"/>
      <c r="I14486" s="1245"/>
    </row>
    <row r="14487" spans="8:9">
      <c r="H14487" s="1245"/>
      <c r="I14487" s="1245"/>
    </row>
    <row r="14488" spans="8:9">
      <c r="H14488" s="1245"/>
      <c r="I14488" s="1245"/>
    </row>
    <row r="14489" spans="8:9">
      <c r="H14489" s="1245"/>
      <c r="I14489" s="1245"/>
    </row>
    <row r="14490" spans="8:9">
      <c r="H14490" s="1245"/>
      <c r="I14490" s="1245"/>
    </row>
    <row r="14491" spans="8:9">
      <c r="H14491" s="1245"/>
      <c r="I14491" s="1245"/>
    </row>
    <row r="14492" spans="8:9">
      <c r="H14492" s="1245"/>
      <c r="I14492" s="1245"/>
    </row>
    <row r="14493" spans="8:9">
      <c r="H14493" s="1245"/>
      <c r="I14493" s="1245"/>
    </row>
    <row r="14494" spans="8:9">
      <c r="H14494" s="1245"/>
      <c r="I14494" s="1245"/>
    </row>
    <row r="14495" spans="8:9">
      <c r="H14495" s="1245"/>
      <c r="I14495" s="1245"/>
    </row>
    <row r="14496" spans="8:9">
      <c r="H14496" s="1245"/>
      <c r="I14496" s="1245"/>
    </row>
    <row r="14497" spans="8:9">
      <c r="H14497" s="1245"/>
      <c r="I14497" s="1245"/>
    </row>
    <row r="14498" spans="8:9">
      <c r="H14498" s="1245"/>
      <c r="I14498" s="1245"/>
    </row>
    <row r="14499" spans="8:9">
      <c r="H14499" s="1245"/>
      <c r="I14499" s="1245"/>
    </row>
    <row r="14500" spans="8:9">
      <c r="H14500" s="1245"/>
      <c r="I14500" s="1245"/>
    </row>
    <row r="14501" spans="8:9">
      <c r="H14501" s="1245"/>
      <c r="I14501" s="1245"/>
    </row>
    <row r="14502" spans="8:9">
      <c r="H14502" s="1245"/>
      <c r="I14502" s="1245"/>
    </row>
    <row r="14503" spans="8:9">
      <c r="H14503" s="1245"/>
      <c r="I14503" s="1245"/>
    </row>
    <row r="14504" spans="8:9">
      <c r="H14504" s="1245"/>
      <c r="I14504" s="1245"/>
    </row>
    <row r="14505" spans="8:9">
      <c r="H14505" s="1245"/>
      <c r="I14505" s="1245"/>
    </row>
    <row r="14506" spans="8:9">
      <c r="H14506" s="1245"/>
      <c r="I14506" s="1245"/>
    </row>
    <row r="14507" spans="8:9">
      <c r="H14507" s="1245"/>
      <c r="I14507" s="1245"/>
    </row>
    <row r="14508" spans="8:9">
      <c r="H14508" s="1245"/>
      <c r="I14508" s="1245"/>
    </row>
    <row r="14509" spans="8:9">
      <c r="H14509" s="1245"/>
      <c r="I14509" s="1245"/>
    </row>
    <row r="14510" spans="8:9">
      <c r="H14510" s="1245"/>
      <c r="I14510" s="1245"/>
    </row>
    <row r="14511" spans="8:9">
      <c r="H14511" s="1245"/>
      <c r="I14511" s="1245"/>
    </row>
    <row r="14512" spans="8:9">
      <c r="H14512" s="1245"/>
      <c r="I14512" s="1245"/>
    </row>
    <row r="14513" spans="8:9">
      <c r="H14513" s="1245"/>
      <c r="I14513" s="1245"/>
    </row>
    <row r="14514" spans="8:9">
      <c r="H14514" s="1245"/>
      <c r="I14514" s="1245"/>
    </row>
    <row r="14515" spans="8:9">
      <c r="H14515" s="1245"/>
      <c r="I14515" s="1245"/>
    </row>
    <row r="14516" spans="8:9">
      <c r="H14516" s="1245"/>
      <c r="I14516" s="1245"/>
    </row>
    <row r="14517" spans="8:9">
      <c r="H14517" s="1245"/>
      <c r="I14517" s="1245"/>
    </row>
    <row r="14518" spans="8:9">
      <c r="H14518" s="1245"/>
      <c r="I14518" s="1245"/>
    </row>
    <row r="14519" spans="8:9">
      <c r="H14519" s="1245"/>
      <c r="I14519" s="1245"/>
    </row>
    <row r="14520" spans="8:9">
      <c r="H14520" s="1245"/>
      <c r="I14520" s="1245"/>
    </row>
    <row r="14521" spans="8:9">
      <c r="H14521" s="1245"/>
      <c r="I14521" s="1245"/>
    </row>
    <row r="14522" spans="8:9">
      <c r="H14522" s="1245"/>
      <c r="I14522" s="1245"/>
    </row>
    <row r="14523" spans="8:9">
      <c r="H14523" s="1245"/>
      <c r="I14523" s="1245"/>
    </row>
    <row r="14524" spans="8:9">
      <c r="H14524" s="1245"/>
      <c r="I14524" s="1245"/>
    </row>
    <row r="14525" spans="8:9">
      <c r="H14525" s="1245"/>
      <c r="I14525" s="1245"/>
    </row>
    <row r="14526" spans="8:9">
      <c r="H14526" s="1245"/>
      <c r="I14526" s="1245"/>
    </row>
    <row r="14527" spans="8:9">
      <c r="H14527" s="1245"/>
      <c r="I14527" s="1245"/>
    </row>
    <row r="14528" spans="8:9">
      <c r="H14528" s="1245"/>
      <c r="I14528" s="1245"/>
    </row>
    <row r="14529" spans="8:9">
      <c r="H14529" s="1245"/>
      <c r="I14529" s="1245"/>
    </row>
    <row r="14530" spans="8:9">
      <c r="H14530" s="1245"/>
      <c r="I14530" s="1245"/>
    </row>
    <row r="14531" spans="8:9">
      <c r="H14531" s="1245"/>
      <c r="I14531" s="1245"/>
    </row>
    <row r="14532" spans="8:9">
      <c r="H14532" s="1245"/>
      <c r="I14532" s="1245"/>
    </row>
    <row r="14533" spans="8:9">
      <c r="H14533" s="1245"/>
      <c r="I14533" s="1245"/>
    </row>
    <row r="14534" spans="8:9">
      <c r="H14534" s="1245"/>
      <c r="I14534" s="1245"/>
    </row>
    <row r="14535" spans="8:9">
      <c r="H14535" s="1245"/>
      <c r="I14535" s="1245"/>
    </row>
    <row r="14536" spans="8:9">
      <c r="H14536" s="1245"/>
      <c r="I14536" s="1245"/>
    </row>
    <row r="14537" spans="8:9">
      <c r="H14537" s="1245"/>
      <c r="I14537" s="1245"/>
    </row>
    <row r="14538" spans="8:9">
      <c r="H14538" s="1245"/>
      <c r="I14538" s="1245"/>
    </row>
    <row r="14539" spans="8:9">
      <c r="H14539" s="1245"/>
      <c r="I14539" s="1245"/>
    </row>
    <row r="14540" spans="8:9">
      <c r="H14540" s="1245"/>
      <c r="I14540" s="1245"/>
    </row>
    <row r="14541" spans="8:9">
      <c r="H14541" s="1245"/>
      <c r="I14541" s="1245"/>
    </row>
    <row r="14542" spans="8:9">
      <c r="H14542" s="1245"/>
      <c r="I14542" s="1245"/>
    </row>
    <row r="14543" spans="8:9">
      <c r="H14543" s="1245"/>
      <c r="I14543" s="1245"/>
    </row>
    <row r="14544" spans="8:9">
      <c r="H14544" s="1245"/>
      <c r="I14544" s="1245"/>
    </row>
    <row r="14545" spans="8:9">
      <c r="H14545" s="1245"/>
      <c r="I14545" s="1245"/>
    </row>
    <row r="14546" spans="8:9">
      <c r="H14546" s="1245"/>
      <c r="I14546" s="1245"/>
    </row>
    <row r="14547" spans="8:9">
      <c r="H14547" s="1245"/>
      <c r="I14547" s="1245"/>
    </row>
    <row r="14548" spans="8:9">
      <c r="H14548" s="1245"/>
      <c r="I14548" s="1245"/>
    </row>
    <row r="14549" spans="8:9">
      <c r="H14549" s="1245"/>
      <c r="I14549" s="1245"/>
    </row>
    <row r="14550" spans="8:9">
      <c r="H14550" s="1245"/>
      <c r="I14550" s="1245"/>
    </row>
    <row r="14551" spans="8:9">
      <c r="H14551" s="1245"/>
      <c r="I14551" s="1245"/>
    </row>
    <row r="14552" spans="8:9">
      <c r="H14552" s="1245"/>
      <c r="I14552" s="1245"/>
    </row>
    <row r="14553" spans="8:9">
      <c r="H14553" s="1245"/>
      <c r="I14553" s="1245"/>
    </row>
    <row r="14554" spans="8:9">
      <c r="H14554" s="1245"/>
      <c r="I14554" s="1245"/>
    </row>
    <row r="14555" spans="8:9">
      <c r="H14555" s="1245"/>
      <c r="I14555" s="1245"/>
    </row>
    <row r="14556" spans="8:9">
      <c r="H14556" s="1245"/>
      <c r="I14556" s="1245"/>
    </row>
    <row r="14557" spans="8:9">
      <c r="H14557" s="1245"/>
      <c r="I14557" s="1245"/>
    </row>
    <row r="14558" spans="8:9">
      <c r="H14558" s="1245"/>
      <c r="I14558" s="1245"/>
    </row>
    <row r="14559" spans="8:9">
      <c r="H14559" s="1245"/>
      <c r="I14559" s="1245"/>
    </row>
    <row r="14560" spans="8:9">
      <c r="H14560" s="1245"/>
      <c r="I14560" s="1245"/>
    </row>
    <row r="14561" spans="8:9">
      <c r="H14561" s="1245"/>
      <c r="I14561" s="1245"/>
    </row>
    <row r="14562" spans="8:9">
      <c r="H14562" s="1245"/>
      <c r="I14562" s="1245"/>
    </row>
    <row r="14563" spans="8:9">
      <c r="H14563" s="1245"/>
      <c r="I14563" s="1245"/>
    </row>
    <row r="14564" spans="8:9">
      <c r="H14564" s="1245"/>
      <c r="I14564" s="1245"/>
    </row>
    <row r="14565" spans="8:9">
      <c r="H14565" s="1245"/>
      <c r="I14565" s="1245"/>
    </row>
    <row r="14566" spans="8:9">
      <c r="H14566" s="1245"/>
      <c r="I14566" s="1245"/>
    </row>
    <row r="14567" spans="8:9">
      <c r="H14567" s="1245"/>
      <c r="I14567" s="1245"/>
    </row>
    <row r="14568" spans="8:9">
      <c r="H14568" s="1245"/>
      <c r="I14568" s="1245"/>
    </row>
    <row r="14569" spans="8:9">
      <c r="H14569" s="1245"/>
      <c r="I14569" s="1245"/>
    </row>
    <row r="14570" spans="8:9">
      <c r="H14570" s="1245"/>
      <c r="I14570" s="1245"/>
    </row>
    <row r="14571" spans="8:9">
      <c r="H14571" s="1245"/>
      <c r="I14571" s="1245"/>
    </row>
    <row r="14572" spans="8:9">
      <c r="H14572" s="1245"/>
      <c r="I14572" s="1245"/>
    </row>
    <row r="14573" spans="8:9">
      <c r="H14573" s="1245"/>
      <c r="I14573" s="1245"/>
    </row>
    <row r="14574" spans="8:9">
      <c r="H14574" s="1245"/>
      <c r="I14574" s="1245"/>
    </row>
    <row r="14575" spans="8:9">
      <c r="H14575" s="1245"/>
      <c r="I14575" s="1245"/>
    </row>
    <row r="14576" spans="8:9">
      <c r="H14576" s="1245"/>
      <c r="I14576" s="1245"/>
    </row>
    <row r="14577" spans="8:9">
      <c r="H14577" s="1245"/>
      <c r="I14577" s="1245"/>
    </row>
    <row r="14578" spans="8:9">
      <c r="H14578" s="1245"/>
      <c r="I14578" s="1245"/>
    </row>
    <row r="14579" spans="8:9">
      <c r="H14579" s="1245"/>
      <c r="I14579" s="1245"/>
    </row>
    <row r="14580" spans="8:9">
      <c r="H14580" s="1245"/>
      <c r="I14580" s="1245"/>
    </row>
    <row r="14581" spans="8:9">
      <c r="H14581" s="1245"/>
      <c r="I14581" s="1245"/>
    </row>
    <row r="14582" spans="8:9">
      <c r="H14582" s="1245"/>
      <c r="I14582" s="1245"/>
    </row>
    <row r="14583" spans="8:9">
      <c r="H14583" s="1245"/>
      <c r="I14583" s="1245"/>
    </row>
    <row r="14584" spans="8:9">
      <c r="H14584" s="1245"/>
      <c r="I14584" s="1245"/>
    </row>
    <row r="14585" spans="8:9">
      <c r="H14585" s="1245"/>
      <c r="I14585" s="1245"/>
    </row>
    <row r="14586" spans="8:9">
      <c r="H14586" s="1245"/>
      <c r="I14586" s="1245"/>
    </row>
    <row r="14587" spans="8:9">
      <c r="H14587" s="1245"/>
      <c r="I14587" s="1245"/>
    </row>
    <row r="14588" spans="8:9">
      <c r="H14588" s="1245"/>
      <c r="I14588" s="1245"/>
    </row>
    <row r="14589" spans="8:9">
      <c r="H14589" s="1245"/>
      <c r="I14589" s="1245"/>
    </row>
    <row r="14590" spans="8:9">
      <c r="H14590" s="1245"/>
      <c r="I14590" s="1245"/>
    </row>
    <row r="14591" spans="8:9">
      <c r="H14591" s="1245"/>
      <c r="I14591" s="1245"/>
    </row>
    <row r="14592" spans="8:9">
      <c r="H14592" s="1245"/>
      <c r="I14592" s="1245"/>
    </row>
    <row r="14593" spans="8:9">
      <c r="H14593" s="1245"/>
      <c r="I14593" s="1245"/>
    </row>
    <row r="14594" spans="8:9">
      <c r="H14594" s="1245"/>
      <c r="I14594" s="1245"/>
    </row>
    <row r="14595" spans="8:9">
      <c r="H14595" s="1245"/>
      <c r="I14595" s="1245"/>
    </row>
    <row r="14596" spans="8:9">
      <c r="H14596" s="1245"/>
      <c r="I14596" s="1245"/>
    </row>
    <row r="14597" spans="8:9">
      <c r="H14597" s="1245"/>
      <c r="I14597" s="1245"/>
    </row>
    <row r="14598" spans="8:9">
      <c r="H14598" s="1245"/>
      <c r="I14598" s="1245"/>
    </row>
    <row r="14599" spans="8:9">
      <c r="H14599" s="1245"/>
      <c r="I14599" s="1245"/>
    </row>
    <row r="14600" spans="8:9">
      <c r="H14600" s="1245"/>
      <c r="I14600" s="1245"/>
    </row>
    <row r="14601" spans="8:9">
      <c r="H14601" s="1245"/>
      <c r="I14601" s="1245"/>
    </row>
    <row r="14602" spans="8:9">
      <c r="H14602" s="1245"/>
      <c r="I14602" s="1245"/>
    </row>
    <row r="14603" spans="8:9">
      <c r="H14603" s="1245"/>
      <c r="I14603" s="1245"/>
    </row>
    <row r="14604" spans="8:9">
      <c r="H14604" s="1245"/>
      <c r="I14604" s="1245"/>
    </row>
    <row r="14605" spans="8:9">
      <c r="H14605" s="1245"/>
      <c r="I14605" s="1245"/>
    </row>
    <row r="14606" spans="8:9">
      <c r="H14606" s="1245"/>
      <c r="I14606" s="1245"/>
    </row>
    <row r="14607" spans="8:9">
      <c r="H14607" s="1245"/>
      <c r="I14607" s="1245"/>
    </row>
    <row r="14608" spans="8:9">
      <c r="H14608" s="1245"/>
      <c r="I14608" s="1245"/>
    </row>
    <row r="14609" spans="8:9">
      <c r="H14609" s="1245"/>
      <c r="I14609" s="1245"/>
    </row>
    <row r="14610" spans="8:9">
      <c r="H14610" s="1245"/>
      <c r="I14610" s="1245"/>
    </row>
    <row r="14611" spans="8:9">
      <c r="H14611" s="1245"/>
      <c r="I14611" s="1245"/>
    </row>
    <row r="14612" spans="8:9">
      <c r="H14612" s="1245"/>
      <c r="I14612" s="1245"/>
    </row>
    <row r="14613" spans="8:9">
      <c r="H14613" s="1245"/>
      <c r="I14613" s="1245"/>
    </row>
    <row r="14614" spans="8:9">
      <c r="H14614" s="1245"/>
      <c r="I14614" s="1245"/>
    </row>
    <row r="14615" spans="8:9">
      <c r="H14615" s="1245"/>
      <c r="I14615" s="1245"/>
    </row>
    <row r="14616" spans="8:9">
      <c r="H14616" s="1245"/>
      <c r="I14616" s="1245"/>
    </row>
    <row r="14617" spans="8:9">
      <c r="H14617" s="1245"/>
      <c r="I14617" s="1245"/>
    </row>
    <row r="14618" spans="8:9">
      <c r="H14618" s="1245"/>
      <c r="I14618" s="1245"/>
    </row>
    <row r="14619" spans="8:9">
      <c r="H14619" s="1245"/>
      <c r="I14619" s="1245"/>
    </row>
    <row r="14620" spans="8:9">
      <c r="H14620" s="1245"/>
      <c r="I14620" s="1245"/>
    </row>
    <row r="14621" spans="8:9">
      <c r="H14621" s="1245"/>
      <c r="I14621" s="1245"/>
    </row>
    <row r="14622" spans="8:9">
      <c r="H14622" s="1245"/>
      <c r="I14622" s="1245"/>
    </row>
    <row r="14623" spans="8:9">
      <c r="H14623" s="1245"/>
      <c r="I14623" s="1245"/>
    </row>
    <row r="14624" spans="8:9">
      <c r="H14624" s="1245"/>
      <c r="I14624" s="1245"/>
    </row>
    <row r="14625" spans="8:9">
      <c r="H14625" s="1245"/>
      <c r="I14625" s="1245"/>
    </row>
    <row r="14626" spans="8:9">
      <c r="H14626" s="1245"/>
      <c r="I14626" s="1245"/>
    </row>
    <row r="14627" spans="8:9">
      <c r="H14627" s="1245"/>
      <c r="I14627" s="1245"/>
    </row>
    <row r="14628" spans="8:9">
      <c r="H14628" s="1245"/>
      <c r="I14628" s="1245"/>
    </row>
    <row r="14629" spans="8:9">
      <c r="H14629" s="1245"/>
      <c r="I14629" s="1245"/>
    </row>
    <row r="14630" spans="8:9">
      <c r="H14630" s="1245"/>
      <c r="I14630" s="1245"/>
    </row>
    <row r="14631" spans="8:9">
      <c r="H14631" s="1245"/>
      <c r="I14631" s="1245"/>
    </row>
    <row r="14632" spans="8:9">
      <c r="H14632" s="1245"/>
      <c r="I14632" s="1245"/>
    </row>
    <row r="14633" spans="8:9">
      <c r="H14633" s="1245"/>
      <c r="I14633" s="1245"/>
    </row>
    <row r="14634" spans="8:9">
      <c r="H14634" s="1245"/>
      <c r="I14634" s="1245"/>
    </row>
    <row r="14635" spans="8:9">
      <c r="H14635" s="1245"/>
      <c r="I14635" s="1245"/>
    </row>
    <row r="14636" spans="8:9">
      <c r="H14636" s="1245"/>
      <c r="I14636" s="1245"/>
    </row>
    <row r="14637" spans="8:9">
      <c r="H14637" s="1245"/>
      <c r="I14637" s="1245"/>
    </row>
    <row r="14638" spans="8:9">
      <c r="H14638" s="1245"/>
      <c r="I14638" s="1245"/>
    </row>
    <row r="14639" spans="8:9">
      <c r="H14639" s="1245"/>
      <c r="I14639" s="1245"/>
    </row>
    <row r="14640" spans="8:9">
      <c r="H14640" s="1245"/>
      <c r="I14640" s="1245"/>
    </row>
    <row r="14641" spans="8:9">
      <c r="H14641" s="1245"/>
      <c r="I14641" s="1245"/>
    </row>
    <row r="14642" spans="8:9">
      <c r="H14642" s="1245"/>
      <c r="I14642" s="1245"/>
    </row>
    <row r="14643" spans="8:9">
      <c r="H14643" s="1245"/>
      <c r="I14643" s="1245"/>
    </row>
    <row r="14644" spans="8:9">
      <c r="H14644" s="1245"/>
      <c r="I14644" s="1245"/>
    </row>
    <row r="14645" spans="8:9">
      <c r="H14645" s="1245"/>
      <c r="I14645" s="1245"/>
    </row>
    <row r="14646" spans="8:9">
      <c r="H14646" s="1245"/>
      <c r="I14646" s="1245"/>
    </row>
    <row r="14647" spans="8:9">
      <c r="H14647" s="1245"/>
      <c r="I14647" s="1245"/>
    </row>
    <row r="14648" spans="8:9">
      <c r="H14648" s="1245"/>
      <c r="I14648" s="1245"/>
    </row>
    <row r="14649" spans="8:9">
      <c r="H14649" s="1245"/>
      <c r="I14649" s="1245"/>
    </row>
    <row r="14650" spans="8:9">
      <c r="H14650" s="1245"/>
      <c r="I14650" s="1245"/>
    </row>
    <row r="14651" spans="8:9">
      <c r="H14651" s="1245"/>
      <c r="I14651" s="1245"/>
    </row>
    <row r="14652" spans="8:9">
      <c r="H14652" s="1245"/>
      <c r="I14652" s="1245"/>
    </row>
    <row r="14653" spans="8:9">
      <c r="H14653" s="1245"/>
      <c r="I14653" s="1245"/>
    </row>
    <row r="14654" spans="8:9">
      <c r="H14654" s="1245"/>
      <c r="I14654" s="1245"/>
    </row>
    <row r="14655" spans="8:9">
      <c r="H14655" s="1245"/>
      <c r="I14655" s="1245"/>
    </row>
    <row r="14656" spans="8:9">
      <c r="H14656" s="1245"/>
      <c r="I14656" s="1245"/>
    </row>
    <row r="14657" spans="8:9">
      <c r="H14657" s="1245"/>
      <c r="I14657" s="1245"/>
    </row>
    <row r="14658" spans="8:9">
      <c r="H14658" s="1245"/>
      <c r="I14658" s="1245"/>
    </row>
    <row r="14659" spans="8:9">
      <c r="H14659" s="1245"/>
      <c r="I14659" s="1245"/>
    </row>
    <row r="14660" spans="8:9">
      <c r="H14660" s="1245"/>
      <c r="I14660" s="1245"/>
    </row>
    <row r="14661" spans="8:9">
      <c r="H14661" s="1245"/>
      <c r="I14661" s="1245"/>
    </row>
    <row r="14662" spans="8:9">
      <c r="H14662" s="1245"/>
      <c r="I14662" s="1245"/>
    </row>
    <row r="14663" spans="8:9">
      <c r="H14663" s="1245"/>
      <c r="I14663" s="1245"/>
    </row>
    <row r="14664" spans="8:9">
      <c r="H14664" s="1245"/>
      <c r="I14664" s="1245"/>
    </row>
    <row r="14665" spans="8:9">
      <c r="H14665" s="1245"/>
      <c r="I14665" s="1245"/>
    </row>
    <row r="14666" spans="8:9">
      <c r="H14666" s="1245"/>
      <c r="I14666" s="1245"/>
    </row>
    <row r="14667" spans="8:9">
      <c r="H14667" s="1245"/>
      <c r="I14667" s="1245"/>
    </row>
    <row r="14668" spans="8:9">
      <c r="H14668" s="1245"/>
      <c r="I14668" s="1245"/>
    </row>
    <row r="14669" spans="8:9">
      <c r="H14669" s="1245"/>
      <c r="I14669" s="1245"/>
    </row>
    <row r="14670" spans="8:9">
      <c r="H14670" s="1245"/>
      <c r="I14670" s="1245"/>
    </row>
    <row r="14671" spans="8:9">
      <c r="H14671" s="1245"/>
      <c r="I14671" s="1245"/>
    </row>
    <row r="14672" spans="8:9">
      <c r="H14672" s="1245"/>
      <c r="I14672" s="1245"/>
    </row>
    <row r="14673" spans="8:9">
      <c r="H14673" s="1245"/>
      <c r="I14673" s="1245"/>
    </row>
    <row r="14674" spans="8:9">
      <c r="H14674" s="1245"/>
      <c r="I14674" s="1245"/>
    </row>
    <row r="14675" spans="8:9">
      <c r="H14675" s="1245"/>
      <c r="I14675" s="1245"/>
    </row>
    <row r="14676" spans="8:9">
      <c r="H14676" s="1245"/>
      <c r="I14676" s="1245"/>
    </row>
    <row r="14677" spans="8:9">
      <c r="H14677" s="1245"/>
      <c r="I14677" s="1245"/>
    </row>
    <row r="14678" spans="8:9">
      <c r="H14678" s="1245"/>
      <c r="I14678" s="1245"/>
    </row>
    <row r="14679" spans="8:9">
      <c r="H14679" s="1245"/>
      <c r="I14679" s="1245"/>
    </row>
    <row r="14680" spans="8:9">
      <c r="H14680" s="1245"/>
      <c r="I14680" s="1245"/>
    </row>
    <row r="14681" spans="8:9">
      <c r="H14681" s="1245"/>
      <c r="I14681" s="1245"/>
    </row>
    <row r="14682" spans="8:9">
      <c r="H14682" s="1245"/>
      <c r="I14682" s="1245"/>
    </row>
    <row r="14683" spans="8:9">
      <c r="H14683" s="1245"/>
      <c r="I14683" s="1245"/>
    </row>
    <row r="14684" spans="8:9">
      <c r="H14684" s="1245"/>
      <c r="I14684" s="1245"/>
    </row>
    <row r="14685" spans="8:9">
      <c r="H14685" s="1245"/>
      <c r="I14685" s="1245"/>
    </row>
    <row r="14686" spans="8:9">
      <c r="H14686" s="1245"/>
      <c r="I14686" s="1245"/>
    </row>
    <row r="14687" spans="8:9">
      <c r="H14687" s="1245"/>
      <c r="I14687" s="1245"/>
    </row>
    <row r="14688" spans="8:9">
      <c r="H14688" s="1245"/>
      <c r="I14688" s="1245"/>
    </row>
    <row r="14689" spans="8:9">
      <c r="H14689" s="1245"/>
      <c r="I14689" s="1245"/>
    </row>
    <row r="14690" spans="8:9">
      <c r="H14690" s="1245"/>
      <c r="I14690" s="1245"/>
    </row>
    <row r="14691" spans="8:9">
      <c r="H14691" s="1245"/>
      <c r="I14691" s="1245"/>
    </row>
    <row r="14692" spans="8:9">
      <c r="H14692" s="1245"/>
      <c r="I14692" s="1245"/>
    </row>
    <row r="14693" spans="8:9">
      <c r="H14693" s="1245"/>
      <c r="I14693" s="1245"/>
    </row>
    <row r="14694" spans="8:9">
      <c r="H14694" s="1245"/>
      <c r="I14694" s="1245"/>
    </row>
    <row r="14695" spans="8:9">
      <c r="H14695" s="1245"/>
      <c r="I14695" s="1245"/>
    </row>
    <row r="14696" spans="8:9">
      <c r="H14696" s="1245"/>
      <c r="I14696" s="1245"/>
    </row>
    <row r="14697" spans="8:9">
      <c r="H14697" s="1245"/>
      <c r="I14697" s="1245"/>
    </row>
    <row r="14698" spans="8:9">
      <c r="H14698" s="1245"/>
      <c r="I14698" s="1245"/>
    </row>
    <row r="14699" spans="8:9">
      <c r="H14699" s="1245"/>
      <c r="I14699" s="1245"/>
    </row>
    <row r="14700" spans="8:9">
      <c r="H14700" s="1245"/>
      <c r="I14700" s="1245"/>
    </row>
    <row r="14701" spans="8:9">
      <c r="H14701" s="1245"/>
      <c r="I14701" s="1245"/>
    </row>
    <row r="14702" spans="8:9">
      <c r="H14702" s="1245"/>
      <c r="I14702" s="1245"/>
    </row>
    <row r="14703" spans="8:9">
      <c r="H14703" s="1245"/>
      <c r="I14703" s="1245"/>
    </row>
    <row r="14704" spans="8:9">
      <c r="H14704" s="1245"/>
      <c r="I14704" s="1245"/>
    </row>
    <row r="14705" spans="8:9">
      <c r="H14705" s="1245"/>
      <c r="I14705" s="1245"/>
    </row>
    <row r="14706" spans="8:9">
      <c r="H14706" s="1245"/>
      <c r="I14706" s="1245"/>
    </row>
    <row r="14707" spans="8:9">
      <c r="H14707" s="1245"/>
      <c r="I14707" s="1245"/>
    </row>
    <row r="14708" spans="8:9">
      <c r="H14708" s="1245"/>
      <c r="I14708" s="1245"/>
    </row>
    <row r="14709" spans="8:9">
      <c r="H14709" s="1245"/>
      <c r="I14709" s="1245"/>
    </row>
    <row r="14710" spans="8:9">
      <c r="H14710" s="1245"/>
      <c r="I14710" s="1245"/>
    </row>
    <row r="14711" spans="8:9">
      <c r="H14711" s="1245"/>
      <c r="I14711" s="1245"/>
    </row>
    <row r="14712" spans="8:9">
      <c r="H14712" s="1245"/>
      <c r="I14712" s="1245"/>
    </row>
    <row r="14713" spans="8:9">
      <c r="H14713" s="1245"/>
      <c r="I14713" s="1245"/>
    </row>
    <row r="14714" spans="8:9">
      <c r="H14714" s="1245"/>
      <c r="I14714" s="1245"/>
    </row>
    <row r="14715" spans="8:9">
      <c r="H14715" s="1245"/>
      <c r="I14715" s="1245"/>
    </row>
    <row r="14716" spans="8:9">
      <c r="H14716" s="1245"/>
      <c r="I14716" s="1245"/>
    </row>
    <row r="14717" spans="8:9">
      <c r="H14717" s="1245"/>
      <c r="I14717" s="1245"/>
    </row>
    <row r="14718" spans="8:9">
      <c r="H14718" s="1245"/>
      <c r="I14718" s="1245"/>
    </row>
    <row r="14719" spans="8:9">
      <c r="H14719" s="1245"/>
      <c r="I14719" s="1245"/>
    </row>
    <row r="14720" spans="8:9">
      <c r="H14720" s="1245"/>
      <c r="I14720" s="1245"/>
    </row>
    <row r="14721" spans="8:9">
      <c r="H14721" s="1245"/>
      <c r="I14721" s="1245"/>
    </row>
    <row r="14722" spans="8:9">
      <c r="H14722" s="1245"/>
      <c r="I14722" s="1245"/>
    </row>
    <row r="14723" spans="8:9">
      <c r="H14723" s="1245"/>
      <c r="I14723" s="1245"/>
    </row>
    <row r="14724" spans="8:9">
      <c r="H14724" s="1245"/>
      <c r="I14724" s="1245"/>
    </row>
    <row r="14725" spans="8:9">
      <c r="H14725" s="1245"/>
      <c r="I14725" s="1245"/>
    </row>
    <row r="14726" spans="8:9">
      <c r="H14726" s="1245"/>
      <c r="I14726" s="1245"/>
    </row>
    <row r="14727" spans="8:9">
      <c r="H14727" s="1245"/>
      <c r="I14727" s="1245"/>
    </row>
    <row r="14728" spans="8:9">
      <c r="H14728" s="1245"/>
      <c r="I14728" s="1245"/>
    </row>
    <row r="14729" spans="8:9">
      <c r="H14729" s="1245"/>
      <c r="I14729" s="1245"/>
    </row>
    <row r="14730" spans="8:9">
      <c r="H14730" s="1245"/>
      <c r="I14730" s="1245"/>
    </row>
    <row r="14731" spans="8:9">
      <c r="H14731" s="1245"/>
      <c r="I14731" s="1245"/>
    </row>
    <row r="14732" spans="8:9">
      <c r="H14732" s="1245"/>
      <c r="I14732" s="1245"/>
    </row>
    <row r="14733" spans="8:9">
      <c r="H14733" s="1245"/>
      <c r="I14733" s="1245"/>
    </row>
    <row r="14734" spans="8:9">
      <c r="H14734" s="1245"/>
      <c r="I14734" s="1245"/>
    </row>
    <row r="14735" spans="8:9">
      <c r="H14735" s="1245"/>
      <c r="I14735" s="1245"/>
    </row>
    <row r="14736" spans="8:9">
      <c r="H14736" s="1245"/>
      <c r="I14736" s="1245"/>
    </row>
    <row r="14737" spans="8:9">
      <c r="H14737" s="1245"/>
      <c r="I14737" s="1245"/>
    </row>
    <row r="14738" spans="8:9">
      <c r="H14738" s="1245"/>
      <c r="I14738" s="1245"/>
    </row>
    <row r="14739" spans="8:9">
      <c r="H14739" s="1245"/>
      <c r="I14739" s="1245"/>
    </row>
    <row r="14740" spans="8:9">
      <c r="H14740" s="1245"/>
      <c r="I14740" s="1245"/>
    </row>
    <row r="14741" spans="8:9">
      <c r="H14741" s="1245"/>
      <c r="I14741" s="1245"/>
    </row>
    <row r="14742" spans="8:9">
      <c r="H14742" s="1245"/>
      <c r="I14742" s="1245"/>
    </row>
    <row r="14743" spans="8:9">
      <c r="H14743" s="1245"/>
      <c r="I14743" s="1245"/>
    </row>
    <row r="14744" spans="8:9">
      <c r="H14744" s="1245"/>
      <c r="I14744" s="1245"/>
    </row>
    <row r="14745" spans="8:9">
      <c r="H14745" s="1245"/>
      <c r="I14745" s="1245"/>
    </row>
    <row r="14746" spans="8:9">
      <c r="H14746" s="1245"/>
      <c r="I14746" s="1245"/>
    </row>
    <row r="14747" spans="8:9">
      <c r="H14747" s="1245"/>
      <c r="I14747" s="1245"/>
    </row>
    <row r="14748" spans="8:9">
      <c r="H14748" s="1245"/>
      <c r="I14748" s="1245"/>
    </row>
    <row r="14749" spans="8:9">
      <c r="H14749" s="1245"/>
      <c r="I14749" s="1245"/>
    </row>
    <row r="14750" spans="8:9">
      <c r="H14750" s="1245"/>
      <c r="I14750" s="1245"/>
    </row>
    <row r="14751" spans="8:9">
      <c r="H14751" s="1245"/>
      <c r="I14751" s="1245"/>
    </row>
    <row r="14752" spans="8:9">
      <c r="H14752" s="1245"/>
      <c r="I14752" s="1245"/>
    </row>
    <row r="14753" spans="8:9">
      <c r="H14753" s="1245"/>
      <c r="I14753" s="1245"/>
    </row>
    <row r="14754" spans="8:9">
      <c r="H14754" s="1245"/>
      <c r="I14754" s="1245"/>
    </row>
    <row r="14755" spans="8:9">
      <c r="H14755" s="1245"/>
      <c r="I14755" s="1245"/>
    </row>
    <row r="14756" spans="8:9">
      <c r="H14756" s="1245"/>
      <c r="I14756" s="1245"/>
    </row>
    <row r="14757" spans="8:9">
      <c r="H14757" s="1245"/>
      <c r="I14757" s="1245"/>
    </row>
    <row r="14758" spans="8:9">
      <c r="H14758" s="1245"/>
      <c r="I14758" s="1245"/>
    </row>
    <row r="14759" spans="8:9">
      <c r="H14759" s="1245"/>
      <c r="I14759" s="1245"/>
    </row>
    <row r="14760" spans="8:9">
      <c r="H14760" s="1245"/>
      <c r="I14760" s="1245"/>
    </row>
    <row r="14761" spans="8:9">
      <c r="H14761" s="1245"/>
      <c r="I14761" s="1245"/>
    </row>
    <row r="14762" spans="8:9">
      <c r="H14762" s="1245"/>
      <c r="I14762" s="1245"/>
    </row>
    <row r="14763" spans="8:9">
      <c r="H14763" s="1245"/>
      <c r="I14763" s="1245"/>
    </row>
    <row r="14764" spans="8:9">
      <c r="H14764" s="1245"/>
      <c r="I14764" s="1245"/>
    </row>
    <row r="14765" spans="8:9">
      <c r="H14765" s="1245"/>
      <c r="I14765" s="1245"/>
    </row>
    <row r="14766" spans="8:9">
      <c r="H14766" s="1245"/>
      <c r="I14766" s="1245"/>
    </row>
    <row r="14767" spans="8:9">
      <c r="H14767" s="1245"/>
      <c r="I14767" s="1245"/>
    </row>
    <row r="14768" spans="8:9">
      <c r="H14768" s="1245"/>
      <c r="I14768" s="1245"/>
    </row>
    <row r="14769" spans="8:9">
      <c r="H14769" s="1245"/>
      <c r="I14769" s="1245"/>
    </row>
    <row r="14770" spans="8:9">
      <c r="H14770" s="1245"/>
      <c r="I14770" s="1245"/>
    </row>
    <row r="14771" spans="8:9">
      <c r="H14771" s="1245"/>
      <c r="I14771" s="1245"/>
    </row>
    <row r="14772" spans="8:9">
      <c r="H14772" s="1245"/>
      <c r="I14772" s="1245"/>
    </row>
    <row r="14773" spans="8:9">
      <c r="H14773" s="1245"/>
      <c r="I14773" s="1245"/>
    </row>
    <row r="14774" spans="8:9">
      <c r="H14774" s="1245"/>
      <c r="I14774" s="1245"/>
    </row>
    <row r="14775" spans="8:9">
      <c r="H14775" s="1245"/>
      <c r="I14775" s="1245"/>
    </row>
    <row r="14776" spans="8:9">
      <c r="H14776" s="1245"/>
      <c r="I14776" s="1245"/>
    </row>
    <row r="14777" spans="8:9">
      <c r="H14777" s="1245"/>
      <c r="I14777" s="1245"/>
    </row>
    <row r="14778" spans="8:9">
      <c r="H14778" s="1245"/>
      <c r="I14778" s="1245"/>
    </row>
    <row r="14779" spans="8:9">
      <c r="H14779" s="1245"/>
      <c r="I14779" s="1245"/>
    </row>
    <row r="14780" spans="8:9">
      <c r="H14780" s="1245"/>
      <c r="I14780" s="1245"/>
    </row>
    <row r="14781" spans="8:9">
      <c r="H14781" s="1245"/>
      <c r="I14781" s="1245"/>
    </row>
    <row r="14782" spans="8:9">
      <c r="H14782" s="1245"/>
      <c r="I14782" s="1245"/>
    </row>
    <row r="14783" spans="8:9">
      <c r="H14783" s="1245"/>
      <c r="I14783" s="1245"/>
    </row>
    <row r="14784" spans="8:9">
      <c r="H14784" s="1245"/>
      <c r="I14784" s="1245"/>
    </row>
    <row r="14785" spans="8:9">
      <c r="H14785" s="1245"/>
      <c r="I14785" s="1245"/>
    </row>
    <row r="14786" spans="8:9">
      <c r="H14786" s="1245"/>
      <c r="I14786" s="1245"/>
    </row>
    <row r="14787" spans="8:9">
      <c r="H14787" s="1245"/>
      <c r="I14787" s="1245"/>
    </row>
    <row r="14788" spans="8:9">
      <c r="H14788" s="1245"/>
      <c r="I14788" s="1245"/>
    </row>
    <row r="14789" spans="8:9">
      <c r="H14789" s="1245"/>
      <c r="I14789" s="1245"/>
    </row>
    <row r="14790" spans="8:9">
      <c r="H14790" s="1245"/>
      <c r="I14790" s="1245"/>
    </row>
    <row r="14791" spans="8:9">
      <c r="H14791" s="1245"/>
      <c r="I14791" s="1245"/>
    </row>
    <row r="14792" spans="8:9">
      <c r="H14792" s="1245"/>
      <c r="I14792" s="1245"/>
    </row>
    <row r="14793" spans="8:9">
      <c r="H14793" s="1245"/>
      <c r="I14793" s="1245"/>
    </row>
    <row r="14794" spans="8:9">
      <c r="H14794" s="1245"/>
      <c r="I14794" s="1245"/>
    </row>
    <row r="14795" spans="8:9">
      <c r="H14795" s="1245"/>
      <c r="I14795" s="1245"/>
    </row>
    <row r="14796" spans="8:9">
      <c r="H14796" s="1245"/>
      <c r="I14796" s="1245"/>
    </row>
    <row r="14797" spans="8:9">
      <c r="H14797" s="1245"/>
      <c r="I14797" s="1245"/>
    </row>
    <row r="14798" spans="8:9">
      <c r="H14798" s="1245"/>
      <c r="I14798" s="1245"/>
    </row>
    <row r="14799" spans="8:9">
      <c r="H14799" s="1245"/>
      <c r="I14799" s="1245"/>
    </row>
    <row r="14800" spans="8:9">
      <c r="H14800" s="1245"/>
      <c r="I14800" s="1245"/>
    </row>
    <row r="14801" spans="8:9">
      <c r="H14801" s="1245"/>
      <c r="I14801" s="1245"/>
    </row>
    <row r="14802" spans="8:9">
      <c r="H14802" s="1245"/>
      <c r="I14802" s="1245"/>
    </row>
    <row r="14803" spans="8:9">
      <c r="H14803" s="1245"/>
      <c r="I14803" s="1245"/>
    </row>
    <row r="14804" spans="8:9">
      <c r="H14804" s="1245"/>
      <c r="I14804" s="1245"/>
    </row>
    <row r="14805" spans="8:9">
      <c r="H14805" s="1245"/>
      <c r="I14805" s="1245"/>
    </row>
    <row r="14806" spans="8:9">
      <c r="H14806" s="1245"/>
      <c r="I14806" s="1245"/>
    </row>
    <row r="14807" spans="8:9">
      <c r="H14807" s="1245"/>
      <c r="I14807" s="1245"/>
    </row>
    <row r="14808" spans="8:9">
      <c r="H14808" s="1245"/>
      <c r="I14808" s="1245"/>
    </row>
    <row r="14809" spans="8:9">
      <c r="H14809" s="1245"/>
      <c r="I14809" s="1245"/>
    </row>
    <row r="14810" spans="8:9">
      <c r="H14810" s="1245"/>
      <c r="I14810" s="1245"/>
    </row>
    <row r="14811" spans="8:9">
      <c r="H14811" s="1245"/>
      <c r="I14811" s="1245"/>
    </row>
    <row r="14812" spans="8:9">
      <c r="H14812" s="1245"/>
      <c r="I14812" s="1245"/>
    </row>
    <row r="14813" spans="8:9">
      <c r="H14813" s="1245"/>
      <c r="I14813" s="1245"/>
    </row>
    <row r="14814" spans="8:9">
      <c r="H14814" s="1245"/>
      <c r="I14814" s="1245"/>
    </row>
    <row r="14815" spans="8:9">
      <c r="H14815" s="1245"/>
      <c r="I14815" s="1245"/>
    </row>
    <row r="14816" spans="8:9">
      <c r="H14816" s="1245"/>
      <c r="I14816" s="1245"/>
    </row>
    <row r="14817" spans="8:9">
      <c r="H14817" s="1245"/>
      <c r="I14817" s="1245"/>
    </row>
    <row r="14818" spans="8:9">
      <c r="H14818" s="1245"/>
      <c r="I14818" s="1245"/>
    </row>
    <row r="14819" spans="8:9">
      <c r="H14819" s="1245"/>
      <c r="I14819" s="1245"/>
    </row>
    <row r="14820" spans="8:9">
      <c r="H14820" s="1245"/>
      <c r="I14820" s="1245"/>
    </row>
    <row r="14821" spans="8:9">
      <c r="H14821" s="1245"/>
      <c r="I14821" s="1245"/>
    </row>
    <row r="14822" spans="8:9">
      <c r="H14822" s="1245"/>
      <c r="I14822" s="1245"/>
    </row>
    <row r="14823" spans="8:9">
      <c r="H14823" s="1245"/>
      <c r="I14823" s="1245"/>
    </row>
    <row r="14824" spans="8:9">
      <c r="H14824" s="1245"/>
      <c r="I14824" s="1245"/>
    </row>
    <row r="14825" spans="8:9">
      <c r="H14825" s="1245"/>
      <c r="I14825" s="1245"/>
    </row>
    <row r="14826" spans="8:9">
      <c r="H14826" s="1245"/>
      <c r="I14826" s="1245"/>
    </row>
    <row r="14827" spans="8:9">
      <c r="H14827" s="1245"/>
      <c r="I14827" s="1245"/>
    </row>
    <row r="14828" spans="8:9">
      <c r="H14828" s="1245"/>
      <c r="I14828" s="1245"/>
    </row>
    <row r="14829" spans="8:9">
      <c r="H14829" s="1245"/>
      <c r="I14829" s="1245"/>
    </row>
    <row r="14830" spans="8:9">
      <c r="H14830" s="1245"/>
      <c r="I14830" s="1245"/>
    </row>
    <row r="14831" spans="8:9">
      <c r="H14831" s="1245"/>
      <c r="I14831" s="1245"/>
    </row>
    <row r="14832" spans="8:9">
      <c r="H14832" s="1245"/>
      <c r="I14832" s="1245"/>
    </row>
    <row r="14833" spans="8:9">
      <c r="H14833" s="1245"/>
      <c r="I14833" s="1245"/>
    </row>
    <row r="14834" spans="8:9">
      <c r="H14834" s="1245"/>
      <c r="I14834" s="1245"/>
    </row>
    <row r="14835" spans="8:9">
      <c r="H14835" s="1245"/>
      <c r="I14835" s="1245"/>
    </row>
    <row r="14836" spans="8:9">
      <c r="H14836" s="1245"/>
      <c r="I14836" s="1245"/>
    </row>
    <row r="14837" spans="8:9">
      <c r="H14837" s="1245"/>
      <c r="I14837" s="1245"/>
    </row>
    <row r="14838" spans="8:9">
      <c r="H14838" s="1245"/>
      <c r="I14838" s="1245"/>
    </row>
    <row r="14839" spans="8:9">
      <c r="H14839" s="1245"/>
      <c r="I14839" s="1245"/>
    </row>
    <row r="14840" spans="8:9">
      <c r="H14840" s="1245"/>
      <c r="I14840" s="1245"/>
    </row>
    <row r="14841" spans="8:9">
      <c r="H14841" s="1245"/>
      <c r="I14841" s="1245"/>
    </row>
    <row r="14842" spans="8:9">
      <c r="H14842" s="1245"/>
      <c r="I14842" s="1245"/>
    </row>
    <row r="14843" spans="8:9">
      <c r="H14843" s="1245"/>
      <c r="I14843" s="1245"/>
    </row>
    <row r="14844" spans="8:9">
      <c r="H14844" s="1245"/>
      <c r="I14844" s="1245"/>
    </row>
    <row r="14845" spans="8:9">
      <c r="H14845" s="1245"/>
      <c r="I14845" s="1245"/>
    </row>
    <row r="14846" spans="8:9">
      <c r="H14846" s="1245"/>
      <c r="I14846" s="1245"/>
    </row>
    <row r="14847" spans="8:9">
      <c r="H14847" s="1245"/>
      <c r="I14847" s="1245"/>
    </row>
    <row r="14848" spans="8:9">
      <c r="H14848" s="1245"/>
      <c r="I14848" s="1245"/>
    </row>
    <row r="14849" spans="8:9">
      <c r="H14849" s="1245"/>
      <c r="I14849" s="1245"/>
    </row>
    <row r="14850" spans="8:9">
      <c r="H14850" s="1245"/>
      <c r="I14850" s="1245"/>
    </row>
    <row r="14851" spans="8:9">
      <c r="H14851" s="1245"/>
      <c r="I14851" s="1245"/>
    </row>
    <row r="14852" spans="8:9">
      <c r="H14852" s="1245"/>
      <c r="I14852" s="1245"/>
    </row>
    <row r="14853" spans="8:9">
      <c r="H14853" s="1245"/>
      <c r="I14853" s="1245"/>
    </row>
    <row r="14854" spans="8:9">
      <c r="H14854" s="1245"/>
      <c r="I14854" s="1245"/>
    </row>
    <row r="14855" spans="8:9">
      <c r="H14855" s="1245"/>
      <c r="I14855" s="1245"/>
    </row>
    <row r="14856" spans="8:9">
      <c r="H14856" s="1245"/>
      <c r="I14856" s="1245"/>
    </row>
    <row r="14857" spans="8:9">
      <c r="H14857" s="1245"/>
      <c r="I14857" s="1245"/>
    </row>
    <row r="14858" spans="8:9">
      <c r="H14858" s="1245"/>
      <c r="I14858" s="1245"/>
    </row>
    <row r="14859" spans="8:9">
      <c r="H14859" s="1245"/>
      <c r="I14859" s="1245"/>
    </row>
    <row r="14860" spans="8:9">
      <c r="H14860" s="1245"/>
      <c r="I14860" s="1245"/>
    </row>
    <row r="14861" spans="8:9">
      <c r="H14861" s="1245"/>
      <c r="I14861" s="1245"/>
    </row>
    <row r="14862" spans="8:9">
      <c r="H14862" s="1245"/>
      <c r="I14862" s="1245"/>
    </row>
    <row r="14863" spans="8:9">
      <c r="H14863" s="1245"/>
      <c r="I14863" s="1245"/>
    </row>
    <row r="14864" spans="8:9">
      <c r="H14864" s="1245"/>
      <c r="I14864" s="1245"/>
    </row>
    <row r="14865" spans="8:9">
      <c r="H14865" s="1245"/>
      <c r="I14865" s="1245"/>
    </row>
    <row r="14866" spans="8:9">
      <c r="H14866" s="1245"/>
      <c r="I14866" s="1245"/>
    </row>
    <row r="14867" spans="8:9">
      <c r="H14867" s="1245"/>
      <c r="I14867" s="1245"/>
    </row>
    <row r="14868" spans="8:9">
      <c r="H14868" s="1245"/>
      <c r="I14868" s="1245"/>
    </row>
    <row r="14869" spans="8:9">
      <c r="H14869" s="1245"/>
      <c r="I14869" s="1245"/>
    </row>
    <row r="14870" spans="8:9">
      <c r="H14870" s="1245"/>
      <c r="I14870" s="1245"/>
    </row>
    <row r="14871" spans="8:9">
      <c r="H14871" s="1245"/>
      <c r="I14871" s="1245"/>
    </row>
    <row r="14872" spans="8:9">
      <c r="H14872" s="1245"/>
      <c r="I14872" s="1245"/>
    </row>
    <row r="14873" spans="8:9">
      <c r="H14873" s="1245"/>
      <c r="I14873" s="1245"/>
    </row>
    <row r="14874" spans="8:9">
      <c r="H14874" s="1245"/>
      <c r="I14874" s="1245"/>
    </row>
    <row r="14875" spans="8:9">
      <c r="H14875" s="1245"/>
      <c r="I14875" s="1245"/>
    </row>
    <row r="14876" spans="8:9">
      <c r="H14876" s="1245"/>
      <c r="I14876" s="1245"/>
    </row>
    <row r="14877" spans="8:9">
      <c r="H14877" s="1245"/>
      <c r="I14877" s="1245"/>
    </row>
    <row r="14878" spans="8:9">
      <c r="H14878" s="1245"/>
      <c r="I14878" s="1245"/>
    </row>
    <row r="14879" spans="8:9">
      <c r="H14879" s="1245"/>
      <c r="I14879" s="1245"/>
    </row>
    <row r="14880" spans="8:9">
      <c r="H14880" s="1245"/>
      <c r="I14880" s="1245"/>
    </row>
    <row r="14881" spans="8:9">
      <c r="H14881" s="1245"/>
      <c r="I14881" s="1245"/>
    </row>
    <row r="14882" spans="8:9">
      <c r="H14882" s="1245"/>
      <c r="I14882" s="1245"/>
    </row>
    <row r="14883" spans="8:9">
      <c r="H14883" s="1245"/>
      <c r="I14883" s="1245"/>
    </row>
    <row r="14884" spans="8:9">
      <c r="H14884" s="1245"/>
      <c r="I14884" s="1245"/>
    </row>
    <row r="14885" spans="8:9">
      <c r="H14885" s="1245"/>
      <c r="I14885" s="1245"/>
    </row>
    <row r="14886" spans="8:9">
      <c r="H14886" s="1245"/>
      <c r="I14886" s="1245"/>
    </row>
    <row r="14887" spans="8:9">
      <c r="H14887" s="1245"/>
      <c r="I14887" s="1245"/>
    </row>
    <row r="14888" spans="8:9">
      <c r="H14888" s="1245"/>
      <c r="I14888" s="1245"/>
    </row>
    <row r="14889" spans="8:9">
      <c r="H14889" s="1245"/>
      <c r="I14889" s="1245"/>
    </row>
    <row r="14890" spans="8:9">
      <c r="H14890" s="1245"/>
      <c r="I14890" s="1245"/>
    </row>
    <row r="14891" spans="8:9">
      <c r="H14891" s="1245"/>
      <c r="I14891" s="1245"/>
    </row>
    <row r="14892" spans="8:9">
      <c r="H14892" s="1245"/>
      <c r="I14892" s="1245"/>
    </row>
    <row r="14893" spans="8:9">
      <c r="H14893" s="1245"/>
      <c r="I14893" s="1245"/>
    </row>
    <row r="14894" spans="8:9">
      <c r="H14894" s="1245"/>
      <c r="I14894" s="1245"/>
    </row>
    <row r="14895" spans="8:9">
      <c r="H14895" s="1245"/>
      <c r="I14895" s="1245"/>
    </row>
    <row r="14896" spans="8:9">
      <c r="H14896" s="1245"/>
      <c r="I14896" s="1245"/>
    </row>
    <row r="14897" spans="8:9">
      <c r="H14897" s="1245"/>
      <c r="I14897" s="1245"/>
    </row>
    <row r="14898" spans="8:9">
      <c r="H14898" s="1245"/>
      <c r="I14898" s="1245"/>
    </row>
    <row r="14899" spans="8:9">
      <c r="H14899" s="1245"/>
      <c r="I14899" s="1245"/>
    </row>
    <row r="14900" spans="8:9">
      <c r="H14900" s="1245"/>
      <c r="I14900" s="1245"/>
    </row>
    <row r="14901" spans="8:9">
      <c r="H14901" s="1245"/>
      <c r="I14901" s="1245"/>
    </row>
    <row r="14902" spans="8:9">
      <c r="H14902" s="1245"/>
      <c r="I14902" s="1245"/>
    </row>
    <row r="14903" spans="8:9">
      <c r="H14903" s="1245"/>
      <c r="I14903" s="1245"/>
    </row>
    <row r="14904" spans="8:9">
      <c r="H14904" s="1245"/>
      <c r="I14904" s="1245"/>
    </row>
    <row r="14905" spans="8:9">
      <c r="H14905" s="1245"/>
      <c r="I14905" s="1245"/>
    </row>
    <row r="14906" spans="8:9">
      <c r="H14906" s="1245"/>
      <c r="I14906" s="1245"/>
    </row>
    <row r="14907" spans="8:9">
      <c r="H14907" s="1245"/>
      <c r="I14907" s="1245"/>
    </row>
    <row r="14908" spans="8:9">
      <c r="H14908" s="1245"/>
      <c r="I14908" s="1245"/>
    </row>
    <row r="14909" spans="8:9">
      <c r="H14909" s="1245"/>
      <c r="I14909" s="1245"/>
    </row>
    <row r="14910" spans="8:9">
      <c r="H14910" s="1245"/>
      <c r="I14910" s="1245"/>
    </row>
    <row r="14911" spans="8:9">
      <c r="H14911" s="1245"/>
      <c r="I14911" s="1245"/>
    </row>
    <row r="14912" spans="8:9">
      <c r="H14912" s="1245"/>
      <c r="I14912" s="1245"/>
    </row>
    <row r="14913" spans="8:9">
      <c r="H14913" s="1245"/>
      <c r="I14913" s="1245"/>
    </row>
    <row r="14914" spans="8:9">
      <c r="H14914" s="1245"/>
      <c r="I14914" s="1245"/>
    </row>
    <row r="14915" spans="8:9">
      <c r="H14915" s="1245"/>
      <c r="I14915" s="1245"/>
    </row>
    <row r="14916" spans="8:9">
      <c r="H14916" s="1245"/>
      <c r="I14916" s="1245"/>
    </row>
    <row r="14917" spans="8:9">
      <c r="H14917" s="1245"/>
      <c r="I14917" s="1245"/>
    </row>
    <row r="14918" spans="8:9">
      <c r="H14918" s="1245"/>
      <c r="I14918" s="1245"/>
    </row>
    <row r="14919" spans="8:9">
      <c r="H14919" s="1245"/>
      <c r="I14919" s="1245"/>
    </row>
    <row r="14920" spans="8:9">
      <c r="H14920" s="1245"/>
      <c r="I14920" s="1245"/>
    </row>
    <row r="14921" spans="8:9">
      <c r="H14921" s="1245"/>
      <c r="I14921" s="1245"/>
    </row>
    <row r="14922" spans="8:9">
      <c r="H14922" s="1245"/>
      <c r="I14922" s="1245"/>
    </row>
    <row r="14923" spans="8:9">
      <c r="H14923" s="1245"/>
      <c r="I14923" s="1245"/>
    </row>
    <row r="14924" spans="8:9">
      <c r="H14924" s="1245"/>
      <c r="I14924" s="1245"/>
    </row>
    <row r="14925" spans="8:9">
      <c r="H14925" s="1245"/>
      <c r="I14925" s="1245"/>
    </row>
    <row r="14926" spans="8:9">
      <c r="H14926" s="1245"/>
      <c r="I14926" s="1245"/>
    </row>
    <row r="14927" spans="8:9">
      <c r="H14927" s="1245"/>
      <c r="I14927" s="1245"/>
    </row>
    <row r="14928" spans="8:9">
      <c r="H14928" s="1245"/>
      <c r="I14928" s="1245"/>
    </row>
    <row r="14929" spans="8:9">
      <c r="H14929" s="1245"/>
      <c r="I14929" s="1245"/>
    </row>
    <row r="14930" spans="8:9">
      <c r="H14930" s="1245"/>
      <c r="I14930" s="1245"/>
    </row>
    <row r="14931" spans="8:9">
      <c r="H14931" s="1245"/>
      <c r="I14931" s="1245"/>
    </row>
    <row r="14932" spans="8:9">
      <c r="H14932" s="1245"/>
      <c r="I14932" s="1245"/>
    </row>
    <row r="14933" spans="8:9">
      <c r="H14933" s="1245"/>
      <c r="I14933" s="1245"/>
    </row>
    <row r="14934" spans="8:9">
      <c r="H14934" s="1245"/>
      <c r="I14934" s="1245"/>
    </row>
    <row r="14935" spans="8:9">
      <c r="H14935" s="1245"/>
      <c r="I14935" s="1245"/>
    </row>
    <row r="14936" spans="8:9">
      <c r="H14936" s="1245"/>
      <c r="I14936" s="1245"/>
    </row>
    <row r="14937" spans="8:9">
      <c r="H14937" s="1245"/>
      <c r="I14937" s="1245"/>
    </row>
    <row r="14938" spans="8:9">
      <c r="H14938" s="1245"/>
      <c r="I14938" s="1245"/>
    </row>
    <row r="14939" spans="8:9">
      <c r="H14939" s="1245"/>
      <c r="I14939" s="1245"/>
    </row>
    <row r="14940" spans="8:9">
      <c r="H14940" s="1245"/>
      <c r="I14940" s="1245"/>
    </row>
    <row r="14941" spans="8:9">
      <c r="H14941" s="1245"/>
      <c r="I14941" s="1245"/>
    </row>
    <row r="14942" spans="8:9">
      <c r="H14942" s="1245"/>
      <c r="I14942" s="1245"/>
    </row>
    <row r="14943" spans="8:9">
      <c r="H14943" s="1245"/>
      <c r="I14943" s="1245"/>
    </row>
    <row r="14944" spans="8:9">
      <c r="H14944" s="1245"/>
      <c r="I14944" s="1245"/>
    </row>
    <row r="14945" spans="8:9">
      <c r="H14945" s="1245"/>
      <c r="I14945" s="1245"/>
    </row>
    <row r="14946" spans="8:9">
      <c r="H14946" s="1245"/>
      <c r="I14946" s="1245"/>
    </row>
    <row r="14947" spans="8:9">
      <c r="H14947" s="1245"/>
      <c r="I14947" s="1245"/>
    </row>
    <row r="14948" spans="8:9">
      <c r="H14948" s="1245"/>
      <c r="I14948" s="1245"/>
    </row>
    <row r="14949" spans="8:9">
      <c r="H14949" s="1245"/>
      <c r="I14949" s="1245"/>
    </row>
    <row r="14950" spans="8:9">
      <c r="H14950" s="1245"/>
      <c r="I14950" s="1245"/>
    </row>
    <row r="14951" spans="8:9">
      <c r="H14951" s="1245"/>
      <c r="I14951" s="1245"/>
    </row>
    <row r="14952" spans="8:9">
      <c r="H14952" s="1245"/>
      <c r="I14952" s="1245"/>
    </row>
    <row r="14953" spans="8:9">
      <c r="H14953" s="1245"/>
      <c r="I14953" s="1245"/>
    </row>
    <row r="14954" spans="8:9">
      <c r="H14954" s="1245"/>
      <c r="I14954" s="1245"/>
    </row>
    <row r="14955" spans="8:9">
      <c r="H14955" s="1245"/>
      <c r="I14955" s="1245"/>
    </row>
    <row r="14956" spans="8:9">
      <c r="H14956" s="1245"/>
      <c r="I14956" s="1245"/>
    </row>
    <row r="14957" spans="8:9">
      <c r="H14957" s="1245"/>
      <c r="I14957" s="1245"/>
    </row>
    <row r="14958" spans="8:9">
      <c r="H14958" s="1245"/>
      <c r="I14958" s="1245"/>
    </row>
    <row r="14959" spans="8:9">
      <c r="H14959" s="1245"/>
      <c r="I14959" s="1245"/>
    </row>
    <row r="14960" spans="8:9">
      <c r="H14960" s="1245"/>
      <c r="I14960" s="1245"/>
    </row>
    <row r="14961" spans="8:9">
      <c r="H14961" s="1245"/>
      <c r="I14961" s="1245"/>
    </row>
    <row r="14962" spans="8:9">
      <c r="H14962" s="1245"/>
      <c r="I14962" s="1245"/>
    </row>
    <row r="14963" spans="8:9">
      <c r="H14963" s="1245"/>
      <c r="I14963" s="1245"/>
    </row>
    <row r="14964" spans="8:9">
      <c r="H14964" s="1245"/>
      <c r="I14964" s="1245"/>
    </row>
    <row r="14965" spans="8:9">
      <c r="H14965" s="1245"/>
      <c r="I14965" s="1245"/>
    </row>
    <row r="14966" spans="8:9">
      <c r="H14966" s="1245"/>
      <c r="I14966" s="1245"/>
    </row>
    <row r="14967" spans="8:9">
      <c r="H14967" s="1245"/>
      <c r="I14967" s="1245"/>
    </row>
    <row r="14968" spans="8:9">
      <c r="H14968" s="1245"/>
      <c r="I14968" s="1245"/>
    </row>
    <row r="14969" spans="8:9">
      <c r="H14969" s="1245"/>
      <c r="I14969" s="1245"/>
    </row>
    <row r="14970" spans="8:9">
      <c r="H14970" s="1245"/>
      <c r="I14970" s="1245"/>
    </row>
    <row r="14971" spans="8:9">
      <c r="H14971" s="1245"/>
      <c r="I14971" s="1245"/>
    </row>
    <row r="14972" spans="8:9">
      <c r="H14972" s="1245"/>
      <c r="I14972" s="1245"/>
    </row>
    <row r="14973" spans="8:9">
      <c r="H14973" s="1245"/>
      <c r="I14973" s="1245"/>
    </row>
    <row r="14974" spans="8:9">
      <c r="H14974" s="1245"/>
      <c r="I14974" s="1245"/>
    </row>
    <row r="14975" spans="8:9">
      <c r="H14975" s="1245"/>
      <c r="I14975" s="1245"/>
    </row>
    <row r="14976" spans="8:9">
      <c r="H14976" s="1245"/>
      <c r="I14976" s="1245"/>
    </row>
    <row r="14977" spans="8:9">
      <c r="H14977" s="1245"/>
      <c r="I14977" s="1245"/>
    </row>
    <row r="14978" spans="8:9">
      <c r="H14978" s="1245"/>
      <c r="I14978" s="1245"/>
    </row>
    <row r="14979" spans="8:9">
      <c r="H14979" s="1245"/>
      <c r="I14979" s="1245"/>
    </row>
    <row r="14980" spans="8:9">
      <c r="H14980" s="1245"/>
      <c r="I14980" s="1245"/>
    </row>
    <row r="14981" spans="8:9">
      <c r="H14981" s="1245"/>
      <c r="I14981" s="1245"/>
    </row>
    <row r="14982" spans="8:9">
      <c r="H14982" s="1245"/>
      <c r="I14982" s="1245"/>
    </row>
    <row r="14983" spans="8:9">
      <c r="H14983" s="1245"/>
      <c r="I14983" s="1245"/>
    </row>
    <row r="14984" spans="8:9">
      <c r="H14984" s="1245"/>
      <c r="I14984" s="1245"/>
    </row>
    <row r="14985" spans="8:9">
      <c r="H14985" s="1245"/>
      <c r="I14985" s="1245"/>
    </row>
    <row r="14986" spans="8:9">
      <c r="H14986" s="1245"/>
      <c r="I14986" s="1245"/>
    </row>
    <row r="14987" spans="8:9">
      <c r="H14987" s="1245"/>
      <c r="I14987" s="1245"/>
    </row>
    <row r="14988" spans="8:9">
      <c r="H14988" s="1245"/>
      <c r="I14988" s="1245"/>
    </row>
    <row r="14989" spans="8:9">
      <c r="H14989" s="1245"/>
      <c r="I14989" s="1245"/>
    </row>
    <row r="14990" spans="8:9">
      <c r="H14990" s="1245"/>
      <c r="I14990" s="1245"/>
    </row>
    <row r="14991" spans="8:9">
      <c r="H14991" s="1245"/>
      <c r="I14991" s="1245"/>
    </row>
    <row r="14992" spans="8:9">
      <c r="H14992" s="1245"/>
      <c r="I14992" s="1245"/>
    </row>
    <row r="14993" spans="8:9">
      <c r="H14993" s="1245"/>
      <c r="I14993" s="1245"/>
    </row>
    <row r="14994" spans="8:9">
      <c r="H14994" s="1245"/>
      <c r="I14994" s="1245"/>
    </row>
    <row r="14995" spans="8:9">
      <c r="H14995" s="1245"/>
      <c r="I14995" s="1245"/>
    </row>
    <row r="14996" spans="8:9">
      <c r="H14996" s="1245"/>
      <c r="I14996" s="1245"/>
    </row>
    <row r="14997" spans="8:9">
      <c r="H14997" s="1245"/>
      <c r="I14997" s="1245"/>
    </row>
    <row r="14998" spans="8:9">
      <c r="H14998" s="1245"/>
      <c r="I14998" s="1245"/>
    </row>
    <row r="14999" spans="8:9">
      <c r="H14999" s="1245"/>
      <c r="I14999" s="1245"/>
    </row>
    <row r="15000" spans="8:9">
      <c r="H15000" s="1245"/>
      <c r="I15000" s="1245"/>
    </row>
    <row r="15001" spans="8:9">
      <c r="H15001" s="1245"/>
      <c r="I15001" s="1245"/>
    </row>
    <row r="15002" spans="8:9">
      <c r="H15002" s="1245"/>
      <c r="I15002" s="1245"/>
    </row>
    <row r="15003" spans="8:9">
      <c r="H15003" s="1245"/>
      <c r="I15003" s="1245"/>
    </row>
    <row r="15004" spans="8:9">
      <c r="H15004" s="1245"/>
      <c r="I15004" s="1245"/>
    </row>
    <row r="15005" spans="8:9">
      <c r="H15005" s="1245"/>
      <c r="I15005" s="1245"/>
    </row>
    <row r="15006" spans="8:9">
      <c r="H15006" s="1245"/>
      <c r="I15006" s="1245"/>
    </row>
    <row r="15007" spans="8:9">
      <c r="H15007" s="1245"/>
      <c r="I15007" s="1245"/>
    </row>
    <row r="15008" spans="8:9">
      <c r="H15008" s="1245"/>
      <c r="I15008" s="1245"/>
    </row>
    <row r="15009" spans="8:9">
      <c r="H15009" s="1245"/>
      <c r="I15009" s="1245"/>
    </row>
    <row r="15010" spans="8:9">
      <c r="H15010" s="1245"/>
      <c r="I15010" s="1245"/>
    </row>
    <row r="15011" spans="8:9">
      <c r="H15011" s="1245"/>
      <c r="I15011" s="1245"/>
    </row>
    <row r="15012" spans="8:9">
      <c r="H15012" s="1245"/>
      <c r="I15012" s="1245"/>
    </row>
    <row r="15013" spans="8:9">
      <c r="H15013" s="1245"/>
      <c r="I15013" s="1245"/>
    </row>
    <row r="15014" spans="8:9">
      <c r="H15014" s="1245"/>
      <c r="I15014" s="1245"/>
    </row>
    <row r="15015" spans="8:9">
      <c r="H15015" s="1245"/>
      <c r="I15015" s="1245"/>
    </row>
    <row r="15016" spans="8:9">
      <c r="H15016" s="1245"/>
      <c r="I15016" s="1245"/>
    </row>
    <row r="15017" spans="8:9">
      <c r="H15017" s="1245"/>
      <c r="I15017" s="1245"/>
    </row>
    <row r="15018" spans="8:9">
      <c r="H15018" s="1245"/>
      <c r="I15018" s="1245"/>
    </row>
    <row r="15019" spans="8:9">
      <c r="H15019" s="1245"/>
      <c r="I15019" s="1245"/>
    </row>
    <row r="15020" spans="8:9">
      <c r="H15020" s="1245"/>
      <c r="I15020" s="1245"/>
    </row>
    <row r="15021" spans="8:9">
      <c r="H15021" s="1245"/>
      <c r="I15021" s="1245"/>
    </row>
    <row r="15022" spans="8:9">
      <c r="H15022" s="1245"/>
      <c r="I15022" s="1245"/>
    </row>
    <row r="15023" spans="8:9">
      <c r="H15023" s="1245"/>
      <c r="I15023" s="1245"/>
    </row>
    <row r="15024" spans="8:9">
      <c r="H15024" s="1245"/>
      <c r="I15024" s="1245"/>
    </row>
    <row r="15025" spans="8:9">
      <c r="H15025" s="1245"/>
      <c r="I15025" s="1245"/>
    </row>
    <row r="15026" spans="8:9">
      <c r="H15026" s="1245"/>
      <c r="I15026" s="1245"/>
    </row>
    <row r="15027" spans="8:9">
      <c r="H15027" s="1245"/>
      <c r="I15027" s="1245"/>
    </row>
    <row r="15028" spans="8:9">
      <c r="H15028" s="1245"/>
      <c r="I15028" s="1245"/>
    </row>
    <row r="15029" spans="8:9">
      <c r="H15029" s="1245"/>
      <c r="I15029" s="1245"/>
    </row>
    <row r="15030" spans="8:9">
      <c r="H15030" s="1245"/>
      <c r="I15030" s="1245"/>
    </row>
    <row r="15031" spans="8:9">
      <c r="H15031" s="1245"/>
      <c r="I15031" s="1245"/>
    </row>
    <row r="15032" spans="8:9">
      <c r="H15032" s="1245"/>
      <c r="I15032" s="1245"/>
    </row>
    <row r="15033" spans="8:9">
      <c r="H15033" s="1245"/>
      <c r="I15033" s="1245"/>
    </row>
    <row r="15034" spans="8:9">
      <c r="H15034" s="1245"/>
      <c r="I15034" s="1245"/>
    </row>
    <row r="15035" spans="8:9">
      <c r="H15035" s="1245"/>
      <c r="I15035" s="1245"/>
    </row>
    <row r="15036" spans="8:9">
      <c r="H15036" s="1245"/>
      <c r="I15036" s="1245"/>
    </row>
    <row r="15037" spans="8:9">
      <c r="H15037" s="1245"/>
      <c r="I15037" s="1245"/>
    </row>
    <row r="15038" spans="8:9">
      <c r="H15038" s="1245"/>
      <c r="I15038" s="1245"/>
    </row>
    <row r="15039" spans="8:9">
      <c r="H15039" s="1245"/>
      <c r="I15039" s="1245"/>
    </row>
    <row r="15040" spans="8:9">
      <c r="H15040" s="1245"/>
      <c r="I15040" s="1245"/>
    </row>
    <row r="15041" spans="8:9">
      <c r="H15041" s="1245"/>
      <c r="I15041" s="1245"/>
    </row>
    <row r="15042" spans="8:9">
      <c r="H15042" s="1245"/>
      <c r="I15042" s="1245"/>
    </row>
    <row r="15043" spans="8:9">
      <c r="H15043" s="1245"/>
      <c r="I15043" s="1245"/>
    </row>
    <row r="15044" spans="8:9">
      <c r="H15044" s="1245"/>
      <c r="I15044" s="1245"/>
    </row>
    <row r="15045" spans="8:9">
      <c r="H15045" s="1245"/>
      <c r="I15045" s="1245"/>
    </row>
    <row r="15046" spans="8:9">
      <c r="H15046" s="1245"/>
      <c r="I15046" s="1245"/>
    </row>
    <row r="15047" spans="8:9">
      <c r="H15047" s="1245"/>
      <c r="I15047" s="1245"/>
    </row>
    <row r="15048" spans="8:9">
      <c r="H15048" s="1245"/>
      <c r="I15048" s="1245"/>
    </row>
    <row r="15049" spans="8:9">
      <c r="H15049" s="1245"/>
      <c r="I15049" s="1245"/>
    </row>
    <row r="15050" spans="8:9">
      <c r="H15050" s="1245"/>
      <c r="I15050" s="1245"/>
    </row>
    <row r="15051" spans="8:9">
      <c r="H15051" s="1245"/>
      <c r="I15051" s="1245"/>
    </row>
    <row r="15052" spans="8:9">
      <c r="H15052" s="1245"/>
      <c r="I15052" s="1245"/>
    </row>
    <row r="15053" spans="8:9">
      <c r="H15053" s="1245"/>
      <c r="I15053" s="1245"/>
    </row>
    <row r="15054" spans="8:9">
      <c r="H15054" s="1245"/>
      <c r="I15054" s="1245"/>
    </row>
    <row r="15055" spans="8:9">
      <c r="H15055" s="1245"/>
      <c r="I15055" s="1245"/>
    </row>
    <row r="15056" spans="8:9">
      <c r="H15056" s="1245"/>
      <c r="I15056" s="1245"/>
    </row>
    <row r="15057" spans="8:9">
      <c r="H15057" s="1245"/>
      <c r="I15057" s="1245"/>
    </row>
    <row r="15058" spans="8:9">
      <c r="H15058" s="1245"/>
      <c r="I15058" s="1245"/>
    </row>
    <row r="15059" spans="8:9">
      <c r="H15059" s="1245"/>
      <c r="I15059" s="1245"/>
    </row>
    <row r="15060" spans="8:9">
      <c r="H15060" s="1245"/>
      <c r="I15060" s="1245"/>
    </row>
    <row r="15061" spans="8:9">
      <c r="H15061" s="1245"/>
      <c r="I15061" s="1245"/>
    </row>
    <row r="15062" spans="8:9">
      <c r="H15062" s="1245"/>
      <c r="I15062" s="1245"/>
    </row>
    <row r="15063" spans="8:9">
      <c r="H15063" s="1245"/>
      <c r="I15063" s="1245"/>
    </row>
    <row r="15064" spans="8:9">
      <c r="H15064" s="1245"/>
      <c r="I15064" s="1245"/>
    </row>
    <row r="15065" spans="8:9">
      <c r="H15065" s="1245"/>
      <c r="I15065" s="1245"/>
    </row>
    <row r="15066" spans="8:9">
      <c r="H15066" s="1245"/>
      <c r="I15066" s="1245"/>
    </row>
    <row r="15067" spans="8:9">
      <c r="H15067" s="1245"/>
      <c r="I15067" s="1245"/>
    </row>
    <row r="15068" spans="8:9">
      <c r="H15068" s="1245"/>
      <c r="I15068" s="1245"/>
    </row>
    <row r="15069" spans="8:9">
      <c r="H15069" s="1245"/>
      <c r="I15069" s="1245"/>
    </row>
    <row r="15070" spans="8:9">
      <c r="H15070" s="1245"/>
      <c r="I15070" s="1245"/>
    </row>
    <row r="15071" spans="8:9">
      <c r="H15071" s="1245"/>
      <c r="I15071" s="1245"/>
    </row>
    <row r="15072" spans="8:9">
      <c r="H15072" s="1245"/>
      <c r="I15072" s="1245"/>
    </row>
    <row r="15073" spans="8:9">
      <c r="H15073" s="1245"/>
      <c r="I15073" s="1245"/>
    </row>
    <row r="15074" spans="8:9">
      <c r="H15074" s="1245"/>
      <c r="I15074" s="1245"/>
    </row>
    <row r="15075" spans="8:9">
      <c r="H15075" s="1245"/>
      <c r="I15075" s="1245"/>
    </row>
    <row r="15076" spans="8:9">
      <c r="H15076" s="1245"/>
      <c r="I15076" s="1245"/>
    </row>
    <row r="15077" spans="8:9">
      <c r="H15077" s="1245"/>
      <c r="I15077" s="1245"/>
    </row>
    <row r="15078" spans="8:9">
      <c r="H15078" s="1245"/>
      <c r="I15078" s="1245"/>
    </row>
    <row r="15079" spans="8:9">
      <c r="H15079" s="1245"/>
      <c r="I15079" s="1245"/>
    </row>
    <row r="15080" spans="8:9">
      <c r="H15080" s="1245"/>
      <c r="I15080" s="1245"/>
    </row>
    <row r="15081" spans="8:9">
      <c r="H15081" s="1245"/>
      <c r="I15081" s="1245"/>
    </row>
    <row r="15082" spans="8:9">
      <c r="H15082" s="1245"/>
      <c r="I15082" s="1245"/>
    </row>
    <row r="15083" spans="8:9">
      <c r="H15083" s="1245"/>
      <c r="I15083" s="1245"/>
    </row>
    <row r="15084" spans="8:9">
      <c r="H15084" s="1245"/>
      <c r="I15084" s="1245"/>
    </row>
    <row r="15085" spans="8:9">
      <c r="H15085" s="1245"/>
      <c r="I15085" s="1245"/>
    </row>
    <row r="15086" spans="8:9">
      <c r="H15086" s="1245"/>
      <c r="I15086" s="1245"/>
    </row>
    <row r="15087" spans="8:9">
      <c r="H15087" s="1245"/>
      <c r="I15087" s="1245"/>
    </row>
    <row r="15088" spans="8:9">
      <c r="H15088" s="1245"/>
      <c r="I15088" s="1245"/>
    </row>
    <row r="15089" spans="8:9">
      <c r="H15089" s="1245"/>
      <c r="I15089" s="1245"/>
    </row>
    <row r="15090" spans="8:9">
      <c r="H15090" s="1245"/>
      <c r="I15090" s="1245"/>
    </row>
    <row r="15091" spans="8:9">
      <c r="H15091" s="1245"/>
      <c r="I15091" s="1245"/>
    </row>
    <row r="15092" spans="8:9">
      <c r="H15092" s="1245"/>
      <c r="I15092" s="1245"/>
    </row>
    <row r="15093" spans="8:9">
      <c r="H15093" s="1245"/>
      <c r="I15093" s="1245"/>
    </row>
    <row r="15094" spans="8:9">
      <c r="H15094" s="1245"/>
      <c r="I15094" s="1245"/>
    </row>
    <row r="15095" spans="8:9">
      <c r="H15095" s="1245"/>
      <c r="I15095" s="1245"/>
    </row>
    <row r="15096" spans="8:9">
      <c r="H15096" s="1245"/>
      <c r="I15096" s="1245"/>
    </row>
    <row r="15097" spans="8:9">
      <c r="H15097" s="1245"/>
      <c r="I15097" s="1245"/>
    </row>
    <row r="15098" spans="8:9">
      <c r="H15098" s="1245"/>
      <c r="I15098" s="1245"/>
    </row>
    <row r="15099" spans="8:9">
      <c r="H15099" s="1245"/>
      <c r="I15099" s="1245"/>
    </row>
    <row r="15100" spans="8:9">
      <c r="H15100" s="1245"/>
      <c r="I15100" s="1245"/>
    </row>
    <row r="15101" spans="8:9">
      <c r="H15101" s="1245"/>
      <c r="I15101" s="1245"/>
    </row>
    <row r="15102" spans="8:9">
      <c r="H15102" s="1245"/>
      <c r="I15102" s="1245"/>
    </row>
    <row r="15103" spans="8:9">
      <c r="H15103" s="1245"/>
      <c r="I15103" s="1245"/>
    </row>
    <row r="15104" spans="8:9">
      <c r="H15104" s="1245"/>
      <c r="I15104" s="1245"/>
    </row>
    <row r="15105" spans="8:9">
      <c r="H15105" s="1245"/>
      <c r="I15105" s="1245"/>
    </row>
    <row r="15106" spans="8:9">
      <c r="H15106" s="1245"/>
      <c r="I15106" s="1245"/>
    </row>
    <row r="15107" spans="8:9">
      <c r="H15107" s="1245"/>
      <c r="I15107" s="1245"/>
    </row>
    <row r="15108" spans="8:9">
      <c r="H15108" s="1245"/>
      <c r="I15108" s="1245"/>
    </row>
    <row r="15109" spans="8:9">
      <c r="H15109" s="1245"/>
      <c r="I15109" s="1245"/>
    </row>
    <row r="15110" spans="8:9">
      <c r="H15110" s="1245"/>
      <c r="I15110" s="1245"/>
    </row>
    <row r="15111" spans="8:9">
      <c r="H15111" s="1245"/>
      <c r="I15111" s="1245"/>
    </row>
    <row r="15112" spans="8:9">
      <c r="H15112" s="1245"/>
      <c r="I15112" s="1245"/>
    </row>
    <row r="15113" spans="8:9">
      <c r="H15113" s="1245"/>
      <c r="I15113" s="1245"/>
    </row>
    <row r="15114" spans="8:9">
      <c r="H15114" s="1245"/>
      <c r="I15114" s="1245"/>
    </row>
    <row r="15115" spans="8:9">
      <c r="H15115" s="1245"/>
      <c r="I15115" s="1245"/>
    </row>
    <row r="15116" spans="8:9">
      <c r="H15116" s="1245"/>
      <c r="I15116" s="1245"/>
    </row>
    <row r="15117" spans="8:9">
      <c r="H15117" s="1245"/>
      <c r="I15117" s="1245"/>
    </row>
    <row r="15118" spans="8:9">
      <c r="H15118" s="1245"/>
      <c r="I15118" s="1245"/>
    </row>
    <row r="15119" spans="8:9">
      <c r="H15119" s="1245"/>
      <c r="I15119" s="1245"/>
    </row>
    <row r="15120" spans="8:9">
      <c r="H15120" s="1245"/>
      <c r="I15120" s="1245"/>
    </row>
    <row r="15121" spans="8:9">
      <c r="H15121" s="1245"/>
      <c r="I15121" s="1245"/>
    </row>
    <row r="15122" spans="8:9">
      <c r="H15122" s="1245"/>
      <c r="I15122" s="1245"/>
    </row>
    <row r="15123" spans="8:9">
      <c r="H15123" s="1245"/>
      <c r="I15123" s="1245"/>
    </row>
    <row r="15124" spans="8:9">
      <c r="H15124" s="1245"/>
      <c r="I15124" s="1245"/>
    </row>
    <row r="15125" spans="8:9">
      <c r="H15125" s="1245"/>
      <c r="I15125" s="1245"/>
    </row>
    <row r="15126" spans="8:9">
      <c r="H15126" s="1245"/>
      <c r="I15126" s="1245"/>
    </row>
    <row r="15127" spans="8:9">
      <c r="H15127" s="1245"/>
      <c r="I15127" s="1245"/>
    </row>
    <row r="15128" spans="8:9">
      <c r="H15128" s="1245"/>
      <c r="I15128" s="1245"/>
    </row>
    <row r="15129" spans="8:9">
      <c r="H15129" s="1245"/>
      <c r="I15129" s="1245"/>
    </row>
    <row r="15130" spans="8:9">
      <c r="H15130" s="1245"/>
      <c r="I15130" s="1245"/>
    </row>
    <row r="15131" spans="8:9">
      <c r="H15131" s="1245"/>
      <c r="I15131" s="1245"/>
    </row>
    <row r="15132" spans="8:9">
      <c r="H15132" s="1245"/>
      <c r="I15132" s="1245"/>
    </row>
    <row r="15133" spans="8:9">
      <c r="H15133" s="1245"/>
      <c r="I15133" s="1245"/>
    </row>
    <row r="15134" spans="8:9">
      <c r="H15134" s="1245"/>
      <c r="I15134" s="1245"/>
    </row>
    <row r="15135" spans="8:9">
      <c r="H15135" s="1245"/>
      <c r="I15135" s="1245"/>
    </row>
    <row r="15136" spans="8:9">
      <c r="H15136" s="1245"/>
      <c r="I15136" s="1245"/>
    </row>
    <row r="15137" spans="8:9">
      <c r="H15137" s="1245"/>
      <c r="I15137" s="1245"/>
    </row>
    <row r="15138" spans="8:9">
      <c r="H15138" s="1245"/>
      <c r="I15138" s="1245"/>
    </row>
    <row r="15139" spans="8:9">
      <c r="H15139" s="1245"/>
      <c r="I15139" s="1245"/>
    </row>
    <row r="15140" spans="8:9">
      <c r="H15140" s="1245"/>
      <c r="I15140" s="1245"/>
    </row>
    <row r="15141" spans="8:9">
      <c r="H15141" s="1245"/>
      <c r="I15141" s="1245"/>
    </row>
    <row r="15142" spans="8:9">
      <c r="H15142" s="1245"/>
      <c r="I15142" s="1245"/>
    </row>
    <row r="15143" spans="8:9">
      <c r="H15143" s="1245"/>
      <c r="I15143" s="1245"/>
    </row>
    <row r="15144" spans="8:9">
      <c r="H15144" s="1245"/>
      <c r="I15144" s="1245"/>
    </row>
    <row r="15145" spans="8:9">
      <c r="H15145" s="1245"/>
      <c r="I15145" s="1245"/>
    </row>
    <row r="15146" spans="8:9">
      <c r="H15146" s="1245"/>
      <c r="I15146" s="1245"/>
    </row>
    <row r="15147" spans="8:9">
      <c r="H15147" s="1245"/>
      <c r="I15147" s="1245"/>
    </row>
    <row r="15148" spans="8:9">
      <c r="H15148" s="1245"/>
      <c r="I15148" s="1245"/>
    </row>
    <row r="15149" spans="8:9">
      <c r="H15149" s="1245"/>
      <c r="I15149" s="1245"/>
    </row>
    <row r="15150" spans="8:9">
      <c r="H15150" s="1245"/>
      <c r="I15150" s="1245"/>
    </row>
    <row r="15151" spans="8:9">
      <c r="H15151" s="1245"/>
      <c r="I15151" s="1245"/>
    </row>
    <row r="15152" spans="8:9">
      <c r="H15152" s="1245"/>
      <c r="I15152" s="1245"/>
    </row>
    <row r="15153" spans="8:9">
      <c r="H15153" s="1245"/>
      <c r="I15153" s="1245"/>
    </row>
    <row r="15154" spans="8:9">
      <c r="H15154" s="1245"/>
      <c r="I15154" s="1245"/>
    </row>
    <row r="15155" spans="8:9">
      <c r="H15155" s="1245"/>
      <c r="I15155" s="1245"/>
    </row>
    <row r="15156" spans="8:9">
      <c r="H15156" s="1245"/>
      <c r="I15156" s="1245"/>
    </row>
    <row r="15157" spans="8:9">
      <c r="H15157" s="1245"/>
      <c r="I15157" s="1245"/>
    </row>
    <row r="15158" spans="8:9">
      <c r="H15158" s="1245"/>
      <c r="I15158" s="1245"/>
    </row>
    <row r="15159" spans="8:9">
      <c r="H15159" s="1245"/>
      <c r="I15159" s="1245"/>
    </row>
    <row r="15160" spans="8:9">
      <c r="H15160" s="1245"/>
      <c r="I15160" s="1245"/>
    </row>
    <row r="15161" spans="8:9">
      <c r="H15161" s="1245"/>
      <c r="I15161" s="1245"/>
    </row>
    <row r="15162" spans="8:9">
      <c r="H15162" s="1245"/>
      <c r="I15162" s="1245"/>
    </row>
    <row r="15163" spans="8:9">
      <c r="H15163" s="1245"/>
      <c r="I15163" s="1245"/>
    </row>
    <row r="15164" spans="8:9">
      <c r="H15164" s="1245"/>
      <c r="I15164" s="1245"/>
    </row>
    <row r="15165" spans="8:9">
      <c r="H15165" s="1245"/>
      <c r="I15165" s="1245"/>
    </row>
    <row r="15166" spans="8:9">
      <c r="H15166" s="1245"/>
      <c r="I15166" s="1245"/>
    </row>
    <row r="15167" spans="8:9">
      <c r="H15167" s="1245"/>
      <c r="I15167" s="1245"/>
    </row>
    <row r="15168" spans="8:9">
      <c r="H15168" s="1245"/>
      <c r="I15168" s="1245"/>
    </row>
    <row r="15169" spans="8:9">
      <c r="H15169" s="1245"/>
      <c r="I15169" s="1245"/>
    </row>
    <row r="15170" spans="8:9">
      <c r="H15170" s="1245"/>
      <c r="I15170" s="1245"/>
    </row>
    <row r="15171" spans="8:9">
      <c r="H15171" s="1245"/>
      <c r="I15171" s="1245"/>
    </row>
    <row r="15172" spans="8:9">
      <c r="H15172" s="1245"/>
      <c r="I15172" s="1245"/>
    </row>
    <row r="15173" spans="8:9">
      <c r="H15173" s="1245"/>
      <c r="I15173" s="1245"/>
    </row>
    <row r="15174" spans="8:9">
      <c r="H15174" s="1245"/>
      <c r="I15174" s="1245"/>
    </row>
    <row r="15175" spans="8:9">
      <c r="H15175" s="1245"/>
      <c r="I15175" s="1245"/>
    </row>
    <row r="15176" spans="8:9">
      <c r="H15176" s="1245"/>
      <c r="I15176" s="1245"/>
    </row>
    <row r="15177" spans="8:9">
      <c r="H15177" s="1245"/>
      <c r="I15177" s="1245"/>
    </row>
    <row r="15178" spans="8:9">
      <c r="H15178" s="1245"/>
      <c r="I15178" s="1245"/>
    </row>
    <row r="15179" spans="8:9">
      <c r="H15179" s="1245"/>
      <c r="I15179" s="1245"/>
    </row>
    <row r="15180" spans="8:9">
      <c r="H15180" s="1245"/>
      <c r="I15180" s="1245"/>
    </row>
    <row r="15181" spans="8:9">
      <c r="H15181" s="1245"/>
      <c r="I15181" s="1245"/>
    </row>
    <row r="15182" spans="8:9">
      <c r="H15182" s="1245"/>
      <c r="I15182" s="1245"/>
    </row>
    <row r="15183" spans="8:9">
      <c r="H15183" s="1245"/>
      <c r="I15183" s="1245"/>
    </row>
    <row r="15184" spans="8:9">
      <c r="H15184" s="1245"/>
      <c r="I15184" s="1245"/>
    </row>
    <row r="15185" spans="8:9">
      <c r="H15185" s="1245"/>
      <c r="I15185" s="1245"/>
    </row>
    <row r="15186" spans="8:9">
      <c r="H15186" s="1245"/>
      <c r="I15186" s="1245"/>
    </row>
    <row r="15187" spans="8:9">
      <c r="H15187" s="1245"/>
      <c r="I15187" s="1245"/>
    </row>
    <row r="15188" spans="8:9">
      <c r="H15188" s="1245"/>
      <c r="I15188" s="1245"/>
    </row>
    <row r="15189" spans="8:9">
      <c r="H15189" s="1245"/>
      <c r="I15189" s="1245"/>
    </row>
    <row r="15190" spans="8:9">
      <c r="H15190" s="1245"/>
      <c r="I15190" s="1245"/>
    </row>
    <row r="15191" spans="8:9">
      <c r="H15191" s="1245"/>
      <c r="I15191" s="1245"/>
    </row>
    <row r="15192" spans="8:9">
      <c r="H15192" s="1245"/>
      <c r="I15192" s="1245"/>
    </row>
    <row r="15193" spans="8:9">
      <c r="H15193" s="1245"/>
      <c r="I15193" s="1245"/>
    </row>
    <row r="15194" spans="8:9">
      <c r="H15194" s="1245"/>
      <c r="I15194" s="1245"/>
    </row>
    <row r="15195" spans="8:9">
      <c r="H15195" s="1245"/>
      <c r="I15195" s="1245"/>
    </row>
    <row r="15196" spans="8:9">
      <c r="H15196" s="1245"/>
      <c r="I15196" s="1245"/>
    </row>
    <row r="15197" spans="8:9">
      <c r="H15197" s="1245"/>
      <c r="I15197" s="1245"/>
    </row>
    <row r="15198" spans="8:9">
      <c r="H15198" s="1245"/>
      <c r="I15198" s="1245"/>
    </row>
    <row r="15199" spans="8:9">
      <c r="H15199" s="1245"/>
      <c r="I15199" s="1245"/>
    </row>
    <row r="15200" spans="8:9">
      <c r="H15200" s="1245"/>
      <c r="I15200" s="1245"/>
    </row>
    <row r="15201" spans="8:9">
      <c r="H15201" s="1245"/>
      <c r="I15201" s="1245"/>
    </row>
    <row r="15202" spans="8:9">
      <c r="H15202" s="1245"/>
      <c r="I15202" s="1245"/>
    </row>
    <row r="15203" spans="8:9">
      <c r="H15203" s="1245"/>
      <c r="I15203" s="1245"/>
    </row>
    <row r="15204" spans="8:9">
      <c r="H15204" s="1245"/>
      <c r="I15204" s="1245"/>
    </row>
    <row r="15205" spans="8:9">
      <c r="H15205" s="1245"/>
      <c r="I15205" s="1245"/>
    </row>
    <row r="15206" spans="8:9">
      <c r="H15206" s="1245"/>
      <c r="I15206" s="1245"/>
    </row>
    <row r="15207" spans="8:9">
      <c r="H15207" s="1245"/>
      <c r="I15207" s="1245"/>
    </row>
    <row r="15208" spans="8:9">
      <c r="H15208" s="1245"/>
      <c r="I15208" s="1245"/>
    </row>
    <row r="15209" spans="8:9">
      <c r="H15209" s="1245"/>
      <c r="I15209" s="1245"/>
    </row>
    <row r="15210" spans="8:9">
      <c r="H15210" s="1245"/>
      <c r="I15210" s="1245"/>
    </row>
    <row r="15211" spans="8:9">
      <c r="H15211" s="1245"/>
      <c r="I15211" s="1245"/>
    </row>
    <row r="15212" spans="8:9">
      <c r="H15212" s="1245"/>
      <c r="I15212" s="1245"/>
    </row>
    <row r="15213" spans="8:9">
      <c r="H15213" s="1245"/>
      <c r="I15213" s="1245"/>
    </row>
    <row r="15214" spans="8:9">
      <c r="H15214" s="1245"/>
      <c r="I15214" s="1245"/>
    </row>
    <row r="15215" spans="8:9">
      <c r="H15215" s="1245"/>
      <c r="I15215" s="1245"/>
    </row>
    <row r="15216" spans="8:9">
      <c r="H15216" s="1245"/>
      <c r="I15216" s="1245"/>
    </row>
    <row r="15217" spans="8:9">
      <c r="H15217" s="1245"/>
      <c r="I15217" s="1245"/>
    </row>
    <row r="15218" spans="8:9">
      <c r="H15218" s="1245"/>
      <c r="I15218" s="1245"/>
    </row>
    <row r="15219" spans="8:9">
      <c r="H15219" s="1245"/>
      <c r="I15219" s="1245"/>
    </row>
    <row r="15220" spans="8:9">
      <c r="H15220" s="1245"/>
      <c r="I15220" s="1245"/>
    </row>
    <row r="15221" spans="8:9">
      <c r="H15221" s="1245"/>
      <c r="I15221" s="1245"/>
    </row>
    <row r="15222" spans="8:9">
      <c r="H15222" s="1245"/>
      <c r="I15222" s="1245"/>
    </row>
    <row r="15223" spans="8:9">
      <c r="H15223" s="1245"/>
      <c r="I15223" s="1245"/>
    </row>
    <row r="15224" spans="8:9">
      <c r="H15224" s="1245"/>
      <c r="I15224" s="1245"/>
    </row>
    <row r="15225" spans="8:9">
      <c r="H15225" s="1245"/>
      <c r="I15225" s="1245"/>
    </row>
    <row r="15226" spans="8:9">
      <c r="H15226" s="1245"/>
      <c r="I15226" s="1245"/>
    </row>
    <row r="15227" spans="8:9">
      <c r="H15227" s="1245"/>
      <c r="I15227" s="1245"/>
    </row>
    <row r="15228" spans="8:9">
      <c r="H15228" s="1245"/>
      <c r="I15228" s="1245"/>
    </row>
    <row r="15229" spans="8:9">
      <c r="H15229" s="1245"/>
      <c r="I15229" s="1245"/>
    </row>
    <row r="15230" spans="8:9">
      <c r="H15230" s="1245"/>
      <c r="I15230" s="1245"/>
    </row>
    <row r="15231" spans="8:9">
      <c r="H15231" s="1245"/>
      <c r="I15231" s="1245"/>
    </row>
    <row r="15232" spans="8:9">
      <c r="H15232" s="1245"/>
      <c r="I15232" s="1245"/>
    </row>
    <row r="15233" spans="8:9">
      <c r="H15233" s="1245"/>
      <c r="I15233" s="1245"/>
    </row>
    <row r="15234" spans="8:9">
      <c r="H15234" s="1245"/>
      <c r="I15234" s="1245"/>
    </row>
    <row r="15235" spans="8:9">
      <c r="H15235" s="1245"/>
      <c r="I15235" s="1245"/>
    </row>
    <row r="15236" spans="8:9">
      <c r="H15236" s="1245"/>
      <c r="I15236" s="1245"/>
    </row>
    <row r="15237" spans="8:9">
      <c r="H15237" s="1245"/>
      <c r="I15237" s="1245"/>
    </row>
    <row r="15238" spans="8:9">
      <c r="H15238" s="1245"/>
      <c r="I15238" s="1245"/>
    </row>
    <row r="15239" spans="8:9">
      <c r="H15239" s="1245"/>
      <c r="I15239" s="1245"/>
    </row>
    <row r="15240" spans="8:9">
      <c r="H15240" s="1245"/>
      <c r="I15240" s="1245"/>
    </row>
    <row r="15241" spans="8:9">
      <c r="H15241" s="1245"/>
      <c r="I15241" s="1245"/>
    </row>
    <row r="15242" spans="8:9">
      <c r="H15242" s="1245"/>
      <c r="I15242" s="1245"/>
    </row>
    <row r="15243" spans="8:9">
      <c r="H15243" s="1245"/>
      <c r="I15243" s="1245"/>
    </row>
    <row r="15244" spans="8:9">
      <c r="H15244" s="1245"/>
      <c r="I15244" s="1245"/>
    </row>
    <row r="15245" spans="8:9">
      <c r="H15245" s="1245"/>
      <c r="I15245" s="1245"/>
    </row>
    <row r="15246" spans="8:9">
      <c r="H15246" s="1245"/>
      <c r="I15246" s="1245"/>
    </row>
    <row r="15247" spans="8:9">
      <c r="H15247" s="1245"/>
      <c r="I15247" s="1245"/>
    </row>
    <row r="15248" spans="8:9">
      <c r="H15248" s="1245"/>
      <c r="I15248" s="1245"/>
    </row>
    <row r="15249" spans="8:9">
      <c r="H15249" s="1245"/>
      <c r="I15249" s="1245"/>
    </row>
    <row r="15250" spans="8:9">
      <c r="H15250" s="1245"/>
      <c r="I15250" s="1245"/>
    </row>
    <row r="15251" spans="8:9">
      <c r="H15251" s="1245"/>
      <c r="I15251" s="1245"/>
    </row>
    <row r="15252" spans="8:9">
      <c r="H15252" s="1245"/>
      <c r="I15252" s="1245"/>
    </row>
    <row r="15253" spans="8:9">
      <c r="H15253" s="1245"/>
      <c r="I15253" s="1245"/>
    </row>
    <row r="15254" spans="8:9">
      <c r="H15254" s="1245"/>
      <c r="I15254" s="1245"/>
    </row>
    <row r="15255" spans="8:9">
      <c r="H15255" s="1245"/>
      <c r="I15255" s="1245"/>
    </row>
    <row r="15256" spans="8:9">
      <c r="H15256" s="1245"/>
      <c r="I15256" s="1245"/>
    </row>
    <row r="15257" spans="8:9">
      <c r="H15257" s="1245"/>
      <c r="I15257" s="1245"/>
    </row>
    <row r="15258" spans="8:9">
      <c r="H15258" s="1245"/>
      <c r="I15258" s="1245"/>
    </row>
    <row r="15259" spans="8:9">
      <c r="H15259" s="1245"/>
      <c r="I15259" s="1245"/>
    </row>
    <row r="15260" spans="8:9">
      <c r="H15260" s="1245"/>
      <c r="I15260" s="1245"/>
    </row>
    <row r="15261" spans="8:9">
      <c r="H15261" s="1245"/>
      <c r="I15261" s="1245"/>
    </row>
    <row r="15262" spans="8:9">
      <c r="H15262" s="1245"/>
      <c r="I15262" s="1245"/>
    </row>
    <row r="15263" spans="8:9">
      <c r="H15263" s="1245"/>
      <c r="I15263" s="1245"/>
    </row>
    <row r="15264" spans="8:9">
      <c r="H15264" s="1245"/>
      <c r="I15264" s="1245"/>
    </row>
    <row r="15265" spans="8:9">
      <c r="H15265" s="1245"/>
      <c r="I15265" s="1245"/>
    </row>
    <row r="15266" spans="8:9">
      <c r="H15266" s="1245"/>
      <c r="I15266" s="1245"/>
    </row>
    <row r="15267" spans="8:9">
      <c r="H15267" s="1245"/>
      <c r="I15267" s="1245"/>
    </row>
    <row r="15268" spans="8:9">
      <c r="H15268" s="1245"/>
      <c r="I15268" s="1245"/>
    </row>
    <row r="15269" spans="8:9">
      <c r="H15269" s="1245"/>
      <c r="I15269" s="1245"/>
    </row>
    <row r="15270" spans="8:9">
      <c r="H15270" s="1245"/>
      <c r="I15270" s="1245"/>
    </row>
    <row r="15271" spans="8:9">
      <c r="H15271" s="1245"/>
      <c r="I15271" s="1245"/>
    </row>
    <row r="15272" spans="8:9">
      <c r="H15272" s="1245"/>
      <c r="I15272" s="1245"/>
    </row>
    <row r="15273" spans="8:9">
      <c r="H15273" s="1245"/>
      <c r="I15273" s="1245"/>
    </row>
    <row r="15274" spans="8:9">
      <c r="H15274" s="1245"/>
      <c r="I15274" s="1245"/>
    </row>
    <row r="15275" spans="8:9">
      <c r="H15275" s="1245"/>
      <c r="I15275" s="1245"/>
    </row>
    <row r="15276" spans="8:9">
      <c r="H15276" s="1245"/>
      <c r="I15276" s="1245"/>
    </row>
    <row r="15277" spans="8:9">
      <c r="H15277" s="1245"/>
      <c r="I15277" s="1245"/>
    </row>
    <row r="15278" spans="8:9">
      <c r="H15278" s="1245"/>
      <c r="I15278" s="1245"/>
    </row>
    <row r="15279" spans="8:9">
      <c r="H15279" s="1245"/>
      <c r="I15279" s="1245"/>
    </row>
    <row r="15280" spans="8:9">
      <c r="H15280" s="1245"/>
      <c r="I15280" s="1245"/>
    </row>
    <row r="15281" spans="8:9">
      <c r="H15281" s="1245"/>
      <c r="I15281" s="1245"/>
    </row>
    <row r="15282" spans="8:9">
      <c r="H15282" s="1245"/>
      <c r="I15282" s="1245"/>
    </row>
    <row r="15283" spans="8:9">
      <c r="H15283" s="1245"/>
      <c r="I15283" s="1245"/>
    </row>
    <row r="15284" spans="8:9">
      <c r="H15284" s="1245"/>
      <c r="I15284" s="1245"/>
    </row>
    <row r="15285" spans="8:9">
      <c r="H15285" s="1245"/>
      <c r="I15285" s="1245"/>
    </row>
    <row r="15286" spans="8:9">
      <c r="H15286" s="1245"/>
      <c r="I15286" s="1245"/>
    </row>
    <row r="15287" spans="8:9">
      <c r="H15287" s="1245"/>
      <c r="I15287" s="1245"/>
    </row>
    <row r="15288" spans="8:9">
      <c r="H15288" s="1245"/>
      <c r="I15288" s="1245"/>
    </row>
    <row r="15289" spans="8:9">
      <c r="H15289" s="1245"/>
      <c r="I15289" s="1245"/>
    </row>
    <row r="15290" spans="8:9">
      <c r="H15290" s="1245"/>
      <c r="I15290" s="1245"/>
    </row>
    <row r="15291" spans="8:9">
      <c r="H15291" s="1245"/>
      <c r="I15291" s="1245"/>
    </row>
    <row r="15292" spans="8:9">
      <c r="H15292" s="1245"/>
      <c r="I15292" s="1245"/>
    </row>
    <row r="15293" spans="8:9">
      <c r="H15293" s="1245"/>
      <c r="I15293" s="1245"/>
    </row>
    <row r="15294" spans="8:9">
      <c r="H15294" s="1245"/>
      <c r="I15294" s="1245"/>
    </row>
    <row r="15295" spans="8:9">
      <c r="H15295" s="1245"/>
      <c r="I15295" s="1245"/>
    </row>
    <row r="15296" spans="8:9">
      <c r="H15296" s="1245"/>
      <c r="I15296" s="1245"/>
    </row>
    <row r="15297" spans="8:9">
      <c r="H15297" s="1245"/>
      <c r="I15297" s="1245"/>
    </row>
    <row r="15298" spans="8:9">
      <c r="H15298" s="1245"/>
      <c r="I15298" s="1245"/>
    </row>
    <row r="15299" spans="8:9">
      <c r="H15299" s="1245"/>
      <c r="I15299" s="1245"/>
    </row>
    <row r="15300" spans="8:9">
      <c r="H15300" s="1245"/>
      <c r="I15300" s="1245"/>
    </row>
    <row r="15301" spans="8:9">
      <c r="H15301" s="1245"/>
      <c r="I15301" s="1245"/>
    </row>
    <row r="15302" spans="8:9">
      <c r="H15302" s="1245"/>
      <c r="I15302" s="1245"/>
    </row>
    <row r="15303" spans="8:9">
      <c r="H15303" s="1245"/>
      <c r="I15303" s="1245"/>
    </row>
    <row r="15304" spans="8:9">
      <c r="H15304" s="1245"/>
      <c r="I15304" s="1245"/>
    </row>
    <row r="15305" spans="8:9">
      <c r="H15305" s="1245"/>
      <c r="I15305" s="1245"/>
    </row>
    <row r="15306" spans="8:9">
      <c r="H15306" s="1245"/>
      <c r="I15306" s="1245"/>
    </row>
    <row r="15307" spans="8:9">
      <c r="H15307" s="1245"/>
      <c r="I15307" s="1245"/>
    </row>
    <row r="15308" spans="8:9">
      <c r="H15308" s="1245"/>
      <c r="I15308" s="1245"/>
    </row>
    <row r="15309" spans="8:9">
      <c r="H15309" s="1245"/>
      <c r="I15309" s="1245"/>
    </row>
    <row r="15310" spans="8:9">
      <c r="H15310" s="1245"/>
      <c r="I15310" s="1245"/>
    </row>
    <row r="15311" spans="8:9">
      <c r="H15311" s="1245"/>
      <c r="I15311" s="1245"/>
    </row>
    <row r="15312" spans="8:9">
      <c r="H15312" s="1245"/>
      <c r="I15312" s="1245"/>
    </row>
    <row r="15313" spans="8:9">
      <c r="H15313" s="1245"/>
      <c r="I15313" s="1245"/>
    </row>
    <row r="15314" spans="8:9">
      <c r="H15314" s="1245"/>
      <c r="I15314" s="1245"/>
    </row>
    <row r="15315" spans="8:9">
      <c r="H15315" s="1245"/>
      <c r="I15315" s="1245"/>
    </row>
    <row r="15316" spans="8:9">
      <c r="H15316" s="1245"/>
      <c r="I15316" s="1245"/>
    </row>
    <row r="15317" spans="8:9">
      <c r="H15317" s="1245"/>
      <c r="I15317" s="1245"/>
    </row>
    <row r="15318" spans="8:9">
      <c r="H15318" s="1245"/>
      <c r="I15318" s="1245"/>
    </row>
    <row r="15319" spans="8:9">
      <c r="H15319" s="1245"/>
      <c r="I15319" s="1245"/>
    </row>
    <row r="15320" spans="8:9">
      <c r="H15320" s="1245"/>
      <c r="I15320" s="1245"/>
    </row>
    <row r="15321" spans="8:9">
      <c r="H15321" s="1245"/>
      <c r="I15321" s="1245"/>
    </row>
    <row r="15322" spans="8:9">
      <c r="H15322" s="1245"/>
      <c r="I15322" s="1245"/>
    </row>
    <row r="15323" spans="8:9">
      <c r="H15323" s="1245"/>
      <c r="I15323" s="1245"/>
    </row>
    <row r="15324" spans="8:9">
      <c r="H15324" s="1245"/>
      <c r="I15324" s="1245"/>
    </row>
    <row r="15325" spans="8:9">
      <c r="H15325" s="1245"/>
      <c r="I15325" s="1245"/>
    </row>
    <row r="15326" spans="8:9">
      <c r="H15326" s="1245"/>
      <c r="I15326" s="1245"/>
    </row>
    <row r="15327" spans="8:9">
      <c r="H15327" s="1245"/>
      <c r="I15327" s="1245"/>
    </row>
    <row r="15328" spans="8:9">
      <c r="H15328" s="1245"/>
      <c r="I15328" s="1245"/>
    </row>
    <row r="15329" spans="8:9">
      <c r="H15329" s="1245"/>
      <c r="I15329" s="1245"/>
    </row>
    <row r="15330" spans="8:9">
      <c r="H15330" s="1245"/>
      <c r="I15330" s="1245"/>
    </row>
    <row r="15331" spans="8:9">
      <c r="H15331" s="1245"/>
      <c r="I15331" s="1245"/>
    </row>
    <row r="15332" spans="8:9">
      <c r="H15332" s="1245"/>
      <c r="I15332" s="1245"/>
    </row>
    <row r="15333" spans="8:9">
      <c r="H15333" s="1245"/>
      <c r="I15333" s="1245"/>
    </row>
    <row r="15334" spans="8:9">
      <c r="H15334" s="1245"/>
      <c r="I15334" s="1245"/>
    </row>
    <row r="15335" spans="8:9">
      <c r="H15335" s="1245"/>
      <c r="I15335" s="1245"/>
    </row>
    <row r="15336" spans="8:9">
      <c r="H15336" s="1245"/>
      <c r="I15336" s="1245"/>
    </row>
    <row r="15337" spans="8:9">
      <c r="H15337" s="1245"/>
      <c r="I15337" s="1245"/>
    </row>
    <row r="15338" spans="8:9">
      <c r="H15338" s="1245"/>
      <c r="I15338" s="1245"/>
    </row>
    <row r="15339" spans="8:9">
      <c r="H15339" s="1245"/>
      <c r="I15339" s="1245"/>
    </row>
    <row r="15340" spans="8:9">
      <c r="H15340" s="1245"/>
      <c r="I15340" s="1245"/>
    </row>
    <row r="15341" spans="8:9">
      <c r="H15341" s="1245"/>
      <c r="I15341" s="1245"/>
    </row>
    <row r="15342" spans="8:9">
      <c r="H15342" s="1245"/>
      <c r="I15342" s="1245"/>
    </row>
    <row r="15343" spans="8:9">
      <c r="H15343" s="1245"/>
      <c r="I15343" s="1245"/>
    </row>
    <row r="15344" spans="8:9">
      <c r="H15344" s="1245"/>
      <c r="I15344" s="1245"/>
    </row>
    <row r="15345" spans="8:9">
      <c r="H15345" s="1245"/>
      <c r="I15345" s="1245"/>
    </row>
    <row r="15346" spans="8:9">
      <c r="H15346" s="1245"/>
      <c r="I15346" s="1245"/>
    </row>
    <row r="15347" spans="8:9">
      <c r="H15347" s="1245"/>
      <c r="I15347" s="1245"/>
    </row>
    <row r="15348" spans="8:9">
      <c r="H15348" s="1245"/>
      <c r="I15348" s="1245"/>
    </row>
    <row r="15349" spans="8:9">
      <c r="H15349" s="1245"/>
      <c r="I15349" s="1245"/>
    </row>
    <row r="15350" spans="8:9">
      <c r="H15350" s="1245"/>
      <c r="I15350" s="1245"/>
    </row>
    <row r="15351" spans="8:9">
      <c r="H15351" s="1245"/>
      <c r="I15351" s="1245"/>
    </row>
    <row r="15352" spans="8:9">
      <c r="H15352" s="1245"/>
      <c r="I15352" s="1245"/>
    </row>
    <row r="15353" spans="8:9">
      <c r="H15353" s="1245"/>
      <c r="I15353" s="1245"/>
    </row>
    <row r="15354" spans="8:9">
      <c r="H15354" s="1245"/>
      <c r="I15354" s="1245"/>
    </row>
    <row r="15355" spans="8:9">
      <c r="H15355" s="1245"/>
      <c r="I15355" s="1245"/>
    </row>
    <row r="15356" spans="8:9">
      <c r="H15356" s="1245"/>
      <c r="I15356" s="1245"/>
    </row>
    <row r="15357" spans="8:9">
      <c r="H15357" s="1245"/>
      <c r="I15357" s="1245"/>
    </row>
    <row r="15358" spans="8:9">
      <c r="H15358" s="1245"/>
      <c r="I15358" s="1245"/>
    </row>
    <row r="15359" spans="8:9">
      <c r="H15359" s="1245"/>
      <c r="I15359" s="1245"/>
    </row>
    <row r="15360" spans="8:9">
      <c r="H15360" s="1245"/>
      <c r="I15360" s="1245"/>
    </row>
    <row r="15361" spans="8:9">
      <c r="H15361" s="1245"/>
      <c r="I15361" s="1245"/>
    </row>
    <row r="15362" spans="8:9">
      <c r="H15362" s="1245"/>
      <c r="I15362" s="1245"/>
    </row>
    <row r="15363" spans="8:9">
      <c r="H15363" s="1245"/>
      <c r="I15363" s="1245"/>
    </row>
    <row r="15364" spans="8:9">
      <c r="H15364" s="1245"/>
      <c r="I15364" s="1245"/>
    </row>
    <row r="15365" spans="8:9">
      <c r="H15365" s="1245"/>
      <c r="I15365" s="1245"/>
    </row>
    <row r="15366" spans="8:9">
      <c r="H15366" s="1245"/>
      <c r="I15366" s="1245"/>
    </row>
    <row r="15367" spans="8:9">
      <c r="H15367" s="1245"/>
      <c r="I15367" s="1245"/>
    </row>
    <row r="15368" spans="8:9">
      <c r="H15368" s="1245"/>
      <c r="I15368" s="1245"/>
    </row>
    <row r="15369" spans="8:9">
      <c r="H15369" s="1245"/>
      <c r="I15369" s="1245"/>
    </row>
    <row r="15370" spans="8:9">
      <c r="H15370" s="1245"/>
      <c r="I15370" s="1245"/>
    </row>
    <row r="15371" spans="8:9">
      <c r="H15371" s="1245"/>
      <c r="I15371" s="1245"/>
    </row>
    <row r="15372" spans="8:9">
      <c r="H15372" s="1245"/>
      <c r="I15372" s="1245"/>
    </row>
    <row r="15373" spans="8:9">
      <c r="H15373" s="1245"/>
      <c r="I15373" s="1245"/>
    </row>
    <row r="15374" spans="8:9">
      <c r="H15374" s="1245"/>
      <c r="I15374" s="1245"/>
    </row>
    <row r="15375" spans="8:9">
      <c r="H15375" s="1245"/>
      <c r="I15375" s="1245"/>
    </row>
    <row r="15376" spans="8:9">
      <c r="H15376" s="1245"/>
      <c r="I15376" s="1245"/>
    </row>
    <row r="15377" spans="8:9">
      <c r="H15377" s="1245"/>
      <c r="I15377" s="1245"/>
    </row>
    <row r="15378" spans="8:9">
      <c r="H15378" s="1245"/>
      <c r="I15378" s="1245"/>
    </row>
    <row r="15379" spans="8:9">
      <c r="H15379" s="1245"/>
      <c r="I15379" s="1245"/>
    </row>
    <row r="15380" spans="8:9">
      <c r="H15380" s="1245"/>
      <c r="I15380" s="1245"/>
    </row>
    <row r="15381" spans="8:9">
      <c r="H15381" s="1245"/>
      <c r="I15381" s="1245"/>
    </row>
    <row r="15382" spans="8:9">
      <c r="H15382" s="1245"/>
      <c r="I15382" s="1245"/>
    </row>
    <row r="15383" spans="8:9">
      <c r="H15383" s="1245"/>
      <c r="I15383" s="1245"/>
    </row>
    <row r="15384" spans="8:9">
      <c r="H15384" s="1245"/>
      <c r="I15384" s="1245"/>
    </row>
    <row r="15385" spans="8:9">
      <c r="H15385" s="1245"/>
      <c r="I15385" s="1245"/>
    </row>
    <row r="15386" spans="8:9">
      <c r="H15386" s="1245"/>
      <c r="I15386" s="1245"/>
    </row>
    <row r="15387" spans="8:9">
      <c r="H15387" s="1245"/>
      <c r="I15387" s="1245"/>
    </row>
    <row r="15388" spans="8:9">
      <c r="H15388" s="1245"/>
      <c r="I15388" s="1245"/>
    </row>
    <row r="15389" spans="8:9">
      <c r="H15389" s="1245"/>
      <c r="I15389" s="1245"/>
    </row>
    <row r="15390" spans="8:9">
      <c r="H15390" s="1245"/>
      <c r="I15390" s="1245"/>
    </row>
    <row r="15391" spans="8:9">
      <c r="H15391" s="1245"/>
      <c r="I15391" s="1245"/>
    </row>
    <row r="15392" spans="8:9">
      <c r="H15392" s="1245"/>
      <c r="I15392" s="1245"/>
    </row>
    <row r="15393" spans="8:9">
      <c r="H15393" s="1245"/>
      <c r="I15393" s="1245"/>
    </row>
    <row r="15394" spans="8:9">
      <c r="H15394" s="1245"/>
      <c r="I15394" s="1245"/>
    </row>
    <row r="15395" spans="8:9">
      <c r="H15395" s="1245"/>
      <c r="I15395" s="1245"/>
    </row>
    <row r="15396" spans="8:9">
      <c r="H15396" s="1245"/>
      <c r="I15396" s="1245"/>
    </row>
    <row r="15397" spans="8:9">
      <c r="H15397" s="1245"/>
      <c r="I15397" s="1245"/>
    </row>
    <row r="15398" spans="8:9">
      <c r="H15398" s="1245"/>
      <c r="I15398" s="1245"/>
    </row>
    <row r="15399" spans="8:9">
      <c r="H15399" s="1245"/>
      <c r="I15399" s="1245"/>
    </row>
    <row r="15400" spans="8:9">
      <c r="H15400" s="1245"/>
      <c r="I15400" s="1245"/>
    </row>
    <row r="15401" spans="8:9">
      <c r="H15401" s="1245"/>
      <c r="I15401" s="1245"/>
    </row>
    <row r="15402" spans="8:9">
      <c r="H15402" s="1245"/>
      <c r="I15402" s="1245"/>
    </row>
    <row r="15403" spans="8:9">
      <c r="H15403" s="1245"/>
      <c r="I15403" s="1245"/>
    </row>
    <row r="15404" spans="8:9">
      <c r="H15404" s="1245"/>
      <c r="I15404" s="1245"/>
    </row>
    <row r="15405" spans="8:9">
      <c r="H15405" s="1245"/>
      <c r="I15405" s="1245"/>
    </row>
    <row r="15406" spans="8:9">
      <c r="H15406" s="1245"/>
      <c r="I15406" s="1245"/>
    </row>
    <row r="15407" spans="8:9">
      <c r="H15407" s="1245"/>
      <c r="I15407" s="1245"/>
    </row>
    <row r="15408" spans="8:9">
      <c r="H15408" s="1245"/>
      <c r="I15408" s="1245"/>
    </row>
    <row r="15409" spans="8:9">
      <c r="H15409" s="1245"/>
      <c r="I15409" s="1245"/>
    </row>
    <row r="15410" spans="8:9">
      <c r="H15410" s="1245"/>
      <c r="I15410" s="1245"/>
    </row>
    <row r="15411" spans="8:9">
      <c r="H15411" s="1245"/>
      <c r="I15411" s="1245"/>
    </row>
    <row r="15412" spans="8:9">
      <c r="H15412" s="1245"/>
      <c r="I15412" s="1245"/>
    </row>
    <row r="15413" spans="8:9">
      <c r="H15413" s="1245"/>
      <c r="I15413" s="1245"/>
    </row>
    <row r="15414" spans="8:9">
      <c r="H15414" s="1245"/>
      <c r="I15414" s="1245"/>
    </row>
    <row r="15415" spans="8:9">
      <c r="H15415" s="1245"/>
      <c r="I15415" s="1245"/>
    </row>
    <row r="15416" spans="8:9">
      <c r="H15416" s="1245"/>
      <c r="I15416" s="1245"/>
    </row>
    <row r="15417" spans="8:9">
      <c r="H15417" s="1245"/>
      <c r="I15417" s="1245"/>
    </row>
    <row r="15418" spans="8:9">
      <c r="H15418" s="1245"/>
      <c r="I15418" s="1245"/>
    </row>
    <row r="15419" spans="8:9">
      <c r="H15419" s="1245"/>
      <c r="I15419" s="1245"/>
    </row>
    <row r="15420" spans="8:9">
      <c r="H15420" s="1245"/>
      <c r="I15420" s="1245"/>
    </row>
    <row r="15421" spans="8:9">
      <c r="H15421" s="1245"/>
      <c r="I15421" s="1245"/>
    </row>
    <row r="15422" spans="8:9">
      <c r="H15422" s="1245"/>
      <c r="I15422" s="1245"/>
    </row>
    <row r="15423" spans="8:9">
      <c r="H15423" s="1245"/>
      <c r="I15423" s="1245"/>
    </row>
    <row r="15424" spans="8:9">
      <c r="H15424" s="1245"/>
      <c r="I15424" s="1245"/>
    </row>
    <row r="15425" spans="8:9">
      <c r="H15425" s="1245"/>
      <c r="I15425" s="1245"/>
    </row>
    <row r="15426" spans="8:9">
      <c r="H15426" s="1245"/>
      <c r="I15426" s="1245"/>
    </row>
    <row r="15427" spans="8:9">
      <c r="H15427" s="1245"/>
      <c r="I15427" s="1245"/>
    </row>
    <row r="15428" spans="8:9">
      <c r="H15428" s="1245"/>
      <c r="I15428" s="1245"/>
    </row>
    <row r="15429" spans="8:9">
      <c r="H15429" s="1245"/>
      <c r="I15429" s="1245"/>
    </row>
    <row r="15430" spans="8:9">
      <c r="H15430" s="1245"/>
      <c r="I15430" s="1245"/>
    </row>
    <row r="15431" spans="8:9">
      <c r="H15431" s="1245"/>
      <c r="I15431" s="1245"/>
    </row>
    <row r="15432" spans="8:9">
      <c r="H15432" s="1245"/>
      <c r="I15432" s="1245"/>
    </row>
    <row r="15433" spans="8:9">
      <c r="H15433" s="1245"/>
      <c r="I15433" s="1245"/>
    </row>
    <row r="15434" spans="8:9">
      <c r="H15434" s="1245"/>
      <c r="I15434" s="1245"/>
    </row>
    <row r="15435" spans="8:9">
      <c r="H15435" s="1245"/>
      <c r="I15435" s="1245"/>
    </row>
    <row r="15436" spans="8:9">
      <c r="H15436" s="1245"/>
      <c r="I15436" s="1245"/>
    </row>
    <row r="15437" spans="8:9">
      <c r="H15437" s="1245"/>
      <c r="I15437" s="1245"/>
    </row>
    <row r="15438" spans="8:9">
      <c r="H15438" s="1245"/>
      <c r="I15438" s="1245"/>
    </row>
    <row r="15439" spans="8:9">
      <c r="H15439" s="1245"/>
      <c r="I15439" s="1245"/>
    </row>
    <row r="15440" spans="8:9">
      <c r="H15440" s="1245"/>
      <c r="I15440" s="1245"/>
    </row>
    <row r="15441" spans="8:9">
      <c r="H15441" s="1245"/>
      <c r="I15441" s="1245"/>
    </row>
    <row r="15442" spans="8:9">
      <c r="H15442" s="1245"/>
      <c r="I15442" s="1245"/>
    </row>
    <row r="15443" spans="8:9">
      <c r="H15443" s="1245"/>
      <c r="I15443" s="1245"/>
    </row>
    <row r="15444" spans="8:9">
      <c r="H15444" s="1245"/>
      <c r="I15444" s="1245"/>
    </row>
    <row r="15445" spans="8:9">
      <c r="H15445" s="1245"/>
      <c r="I15445" s="1245"/>
    </row>
    <row r="15446" spans="8:9">
      <c r="H15446" s="1245"/>
      <c r="I15446" s="1245"/>
    </row>
    <row r="15447" spans="8:9">
      <c r="H15447" s="1245"/>
      <c r="I15447" s="1245"/>
    </row>
    <row r="15448" spans="8:9">
      <c r="H15448" s="1245"/>
      <c r="I15448" s="1245"/>
    </row>
    <row r="15449" spans="8:9">
      <c r="H15449" s="1245"/>
      <c r="I15449" s="1245"/>
    </row>
    <row r="15450" spans="8:9">
      <c r="H15450" s="1245"/>
      <c r="I15450" s="1245"/>
    </row>
    <row r="15451" spans="8:9">
      <c r="H15451" s="1245"/>
      <c r="I15451" s="1245"/>
    </row>
    <row r="15452" spans="8:9">
      <c r="H15452" s="1245"/>
      <c r="I15452" s="1245"/>
    </row>
    <row r="15453" spans="8:9">
      <c r="H15453" s="1245"/>
      <c r="I15453" s="1245"/>
    </row>
    <row r="15454" spans="8:9">
      <c r="H15454" s="1245"/>
      <c r="I15454" s="1245"/>
    </row>
    <row r="15455" spans="8:9">
      <c r="H15455" s="1245"/>
      <c r="I15455" s="1245"/>
    </row>
    <row r="15456" spans="8:9">
      <c r="H15456" s="1245"/>
      <c r="I15456" s="1245"/>
    </row>
    <row r="15457" spans="8:9">
      <c r="H15457" s="1245"/>
      <c r="I15457" s="1245"/>
    </row>
    <row r="15458" spans="8:9">
      <c r="H15458" s="1245"/>
      <c r="I15458" s="1245"/>
    </row>
    <row r="15459" spans="8:9">
      <c r="H15459" s="1245"/>
      <c r="I15459" s="1245"/>
    </row>
    <row r="15460" spans="8:9">
      <c r="H15460" s="1245"/>
      <c r="I15460" s="1245"/>
    </row>
    <row r="15461" spans="8:9">
      <c r="H15461" s="1245"/>
      <c r="I15461" s="1245"/>
    </row>
    <row r="15462" spans="8:9">
      <c r="H15462" s="1245"/>
      <c r="I15462" s="1245"/>
    </row>
    <row r="15463" spans="8:9">
      <c r="H15463" s="1245"/>
      <c r="I15463" s="1245"/>
    </row>
    <row r="15464" spans="8:9">
      <c r="H15464" s="1245"/>
      <c r="I15464" s="1245"/>
    </row>
    <row r="15465" spans="8:9">
      <c r="H15465" s="1245"/>
      <c r="I15465" s="1245"/>
    </row>
    <row r="15466" spans="8:9">
      <c r="H15466" s="1245"/>
      <c r="I15466" s="1245"/>
    </row>
    <row r="15467" spans="8:9">
      <c r="H15467" s="1245"/>
      <c r="I15467" s="1245"/>
    </row>
    <row r="15468" spans="8:9">
      <c r="H15468" s="1245"/>
      <c r="I15468" s="1245"/>
    </row>
    <row r="15469" spans="8:9">
      <c r="H15469" s="1245"/>
      <c r="I15469" s="1245"/>
    </row>
    <row r="15470" spans="8:9">
      <c r="H15470" s="1245"/>
      <c r="I15470" s="1245"/>
    </row>
    <row r="15471" spans="8:9">
      <c r="H15471" s="1245"/>
      <c r="I15471" s="1245"/>
    </row>
    <row r="15472" spans="8:9">
      <c r="H15472" s="1245"/>
      <c r="I15472" s="1245"/>
    </row>
    <row r="15473" spans="8:9">
      <c r="H15473" s="1245"/>
      <c r="I15473" s="1245"/>
    </row>
    <row r="15474" spans="8:9">
      <c r="H15474" s="1245"/>
      <c r="I15474" s="1245"/>
    </row>
    <row r="15475" spans="8:9">
      <c r="H15475" s="1245"/>
      <c r="I15475" s="1245"/>
    </row>
    <row r="15476" spans="8:9">
      <c r="H15476" s="1245"/>
      <c r="I15476" s="1245"/>
    </row>
    <row r="15477" spans="8:9">
      <c r="H15477" s="1245"/>
      <c r="I15477" s="1245"/>
    </row>
    <row r="15478" spans="8:9">
      <c r="H15478" s="1245"/>
      <c r="I15478" s="1245"/>
    </row>
    <row r="15479" spans="8:9">
      <c r="H15479" s="1245"/>
      <c r="I15479" s="1245"/>
    </row>
    <row r="15480" spans="8:9">
      <c r="H15480" s="1245"/>
      <c r="I15480" s="1245"/>
    </row>
    <row r="15481" spans="8:9">
      <c r="H15481" s="1245"/>
      <c r="I15481" s="1245"/>
    </row>
    <row r="15482" spans="8:9">
      <c r="H15482" s="1245"/>
      <c r="I15482" s="1245"/>
    </row>
    <row r="15483" spans="8:9">
      <c r="H15483" s="1245"/>
      <c r="I15483" s="1245"/>
    </row>
    <row r="15484" spans="8:9">
      <c r="H15484" s="1245"/>
      <c r="I15484" s="1245"/>
    </row>
    <row r="15485" spans="8:9">
      <c r="H15485" s="1245"/>
      <c r="I15485" s="1245"/>
    </row>
    <row r="15486" spans="8:9">
      <c r="H15486" s="1245"/>
      <c r="I15486" s="1245"/>
    </row>
    <row r="15487" spans="8:9">
      <c r="H15487" s="1245"/>
      <c r="I15487" s="1245"/>
    </row>
    <row r="15488" spans="8:9">
      <c r="H15488" s="1245"/>
      <c r="I15488" s="1245"/>
    </row>
    <row r="15489" spans="8:9">
      <c r="H15489" s="1245"/>
      <c r="I15489" s="1245"/>
    </row>
    <row r="15490" spans="8:9">
      <c r="H15490" s="1245"/>
      <c r="I15490" s="1245"/>
    </row>
    <row r="15491" spans="8:9">
      <c r="H15491" s="1245"/>
      <c r="I15491" s="1245"/>
    </row>
    <row r="15492" spans="8:9">
      <c r="H15492" s="1245"/>
      <c r="I15492" s="1245"/>
    </row>
    <row r="15493" spans="8:9">
      <c r="H15493" s="1245"/>
      <c r="I15493" s="1245"/>
    </row>
    <row r="15494" spans="8:9">
      <c r="H15494" s="1245"/>
      <c r="I15494" s="1245"/>
    </row>
    <row r="15495" spans="8:9">
      <c r="H15495" s="1245"/>
      <c r="I15495" s="1245"/>
    </row>
    <row r="15496" spans="8:9">
      <c r="H15496" s="1245"/>
      <c r="I15496" s="1245"/>
    </row>
    <row r="15497" spans="8:9">
      <c r="H15497" s="1245"/>
      <c r="I15497" s="1245"/>
    </row>
    <row r="15498" spans="8:9">
      <c r="H15498" s="1245"/>
      <c r="I15498" s="1245"/>
    </row>
    <row r="15499" spans="8:9">
      <c r="H15499" s="1245"/>
      <c r="I15499" s="1245"/>
    </row>
    <row r="15500" spans="8:9">
      <c r="H15500" s="1245"/>
      <c r="I15500" s="1245"/>
    </row>
    <row r="15501" spans="8:9">
      <c r="H15501" s="1245"/>
      <c r="I15501" s="1245"/>
    </row>
    <row r="15502" spans="8:9">
      <c r="H15502" s="1245"/>
      <c r="I15502" s="1245"/>
    </row>
    <row r="15503" spans="8:9">
      <c r="H15503" s="1245"/>
      <c r="I15503" s="1245"/>
    </row>
    <row r="15504" spans="8:9">
      <c r="H15504" s="1245"/>
      <c r="I15504" s="1245"/>
    </row>
    <row r="15505" spans="8:9">
      <c r="H15505" s="1245"/>
      <c r="I15505" s="1245"/>
    </row>
    <row r="15506" spans="8:9">
      <c r="H15506" s="1245"/>
      <c r="I15506" s="1245"/>
    </row>
    <row r="15507" spans="8:9">
      <c r="H15507" s="1245"/>
      <c r="I15507" s="1245"/>
    </row>
    <row r="15508" spans="8:9">
      <c r="H15508" s="1245"/>
      <c r="I15508" s="1245"/>
    </row>
    <row r="15509" spans="8:9">
      <c r="H15509" s="1245"/>
      <c r="I15509" s="1245"/>
    </row>
    <row r="15510" spans="8:9">
      <c r="H15510" s="1245"/>
      <c r="I15510" s="1245"/>
    </row>
    <row r="15511" spans="8:9">
      <c r="H15511" s="1245"/>
      <c r="I15511" s="1245"/>
    </row>
    <row r="15512" spans="8:9">
      <c r="H15512" s="1245"/>
      <c r="I15512" s="1245"/>
    </row>
    <row r="15513" spans="8:9">
      <c r="H15513" s="1245"/>
      <c r="I15513" s="1245"/>
    </row>
    <row r="15514" spans="8:9">
      <c r="H15514" s="1245"/>
      <c r="I15514" s="1245"/>
    </row>
    <row r="15515" spans="8:9">
      <c r="H15515" s="1245"/>
      <c r="I15515" s="1245"/>
    </row>
    <row r="15516" spans="8:9">
      <c r="H15516" s="1245"/>
      <c r="I15516" s="1245"/>
    </row>
    <row r="15517" spans="8:9">
      <c r="H15517" s="1245"/>
      <c r="I15517" s="1245"/>
    </row>
    <row r="15518" spans="8:9">
      <c r="H15518" s="1245"/>
      <c r="I15518" s="1245"/>
    </row>
    <row r="15519" spans="8:9">
      <c r="H15519" s="1245"/>
      <c r="I15519" s="1245"/>
    </row>
    <row r="15520" spans="8:9">
      <c r="H15520" s="1245"/>
      <c r="I15520" s="1245"/>
    </row>
    <row r="15521" spans="8:9">
      <c r="H15521" s="1245"/>
      <c r="I15521" s="1245"/>
    </row>
    <row r="15522" spans="8:9">
      <c r="H15522" s="1245"/>
      <c r="I15522" s="1245"/>
    </row>
    <row r="15523" spans="8:9">
      <c r="H15523" s="1245"/>
      <c r="I15523" s="1245"/>
    </row>
    <row r="15524" spans="8:9">
      <c r="H15524" s="1245"/>
      <c r="I15524" s="1245"/>
    </row>
    <row r="15525" spans="8:9">
      <c r="H15525" s="1245"/>
      <c r="I15525" s="1245"/>
    </row>
    <row r="15526" spans="8:9">
      <c r="H15526" s="1245"/>
      <c r="I15526" s="1245"/>
    </row>
    <row r="15527" spans="8:9">
      <c r="H15527" s="1245"/>
      <c r="I15527" s="1245"/>
    </row>
    <row r="15528" spans="8:9">
      <c r="H15528" s="1245"/>
      <c r="I15528" s="1245"/>
    </row>
    <row r="15529" spans="8:9">
      <c r="H15529" s="1245"/>
      <c r="I15529" s="1245"/>
    </row>
    <row r="15530" spans="8:9">
      <c r="H15530" s="1245"/>
      <c r="I15530" s="1245"/>
    </row>
    <row r="15531" spans="8:9">
      <c r="H15531" s="1245"/>
      <c r="I15531" s="1245"/>
    </row>
    <row r="15532" spans="8:9">
      <c r="H15532" s="1245"/>
      <c r="I15532" s="1245"/>
    </row>
    <row r="15533" spans="8:9">
      <c r="H15533" s="1245"/>
      <c r="I15533" s="1245"/>
    </row>
    <row r="15534" spans="8:9">
      <c r="H15534" s="1245"/>
      <c r="I15534" s="1245"/>
    </row>
    <row r="15535" spans="8:9">
      <c r="H15535" s="1245"/>
      <c r="I15535" s="1245"/>
    </row>
    <row r="15536" spans="8:9">
      <c r="H15536" s="1245"/>
      <c r="I15536" s="1245"/>
    </row>
    <row r="15537" spans="8:9">
      <c r="H15537" s="1245"/>
      <c r="I15537" s="1245"/>
    </row>
    <row r="15538" spans="8:9">
      <c r="H15538" s="1245"/>
      <c r="I15538" s="1245"/>
    </row>
    <row r="15539" spans="8:9">
      <c r="H15539" s="1245"/>
      <c r="I15539" s="1245"/>
    </row>
    <row r="15540" spans="8:9">
      <c r="H15540" s="1245"/>
      <c r="I15540" s="1245"/>
    </row>
    <row r="15541" spans="8:9">
      <c r="H15541" s="1245"/>
      <c r="I15541" s="1245"/>
    </row>
    <row r="15542" spans="8:9">
      <c r="H15542" s="1245"/>
      <c r="I15542" s="1245"/>
    </row>
    <row r="15543" spans="8:9">
      <c r="H15543" s="1245"/>
      <c r="I15543" s="1245"/>
    </row>
    <row r="15544" spans="8:9">
      <c r="H15544" s="1245"/>
      <c r="I15544" s="1245"/>
    </row>
    <row r="15545" spans="8:9">
      <c r="H15545" s="1245"/>
      <c r="I15545" s="1245"/>
    </row>
    <row r="15546" spans="8:9">
      <c r="H15546" s="1245"/>
      <c r="I15546" s="1245"/>
    </row>
    <row r="15547" spans="8:9">
      <c r="H15547" s="1245"/>
      <c r="I15547" s="1245"/>
    </row>
    <row r="15548" spans="8:9">
      <c r="H15548" s="1245"/>
      <c r="I15548" s="1245"/>
    </row>
    <row r="15549" spans="8:9">
      <c r="H15549" s="1245"/>
      <c r="I15549" s="1245"/>
    </row>
    <row r="15550" spans="8:9">
      <c r="H15550" s="1245"/>
      <c r="I15550" s="1245"/>
    </row>
    <row r="15551" spans="8:9">
      <c r="H15551" s="1245"/>
      <c r="I15551" s="1245"/>
    </row>
    <row r="15552" spans="8:9">
      <c r="H15552" s="1245"/>
      <c r="I15552" s="1245"/>
    </row>
    <row r="15553" spans="8:9">
      <c r="H15553" s="1245"/>
      <c r="I15553" s="1245"/>
    </row>
    <row r="15554" spans="8:9">
      <c r="H15554" s="1245"/>
      <c r="I15554" s="1245"/>
    </row>
    <row r="15555" spans="8:9">
      <c r="H15555" s="1245"/>
      <c r="I15555" s="1245"/>
    </row>
    <row r="15556" spans="8:9">
      <c r="H15556" s="1245"/>
      <c r="I15556" s="1245"/>
    </row>
    <row r="15557" spans="8:9">
      <c r="H15557" s="1245"/>
      <c r="I15557" s="1245"/>
    </row>
    <row r="15558" spans="8:9">
      <c r="H15558" s="1245"/>
      <c r="I15558" s="1245"/>
    </row>
    <row r="15559" spans="8:9">
      <c r="H15559" s="1245"/>
      <c r="I15559" s="1245"/>
    </row>
    <row r="15560" spans="8:9">
      <c r="H15560" s="1245"/>
      <c r="I15560" s="1245"/>
    </row>
    <row r="15561" spans="8:9">
      <c r="H15561" s="1245"/>
      <c r="I15561" s="1245"/>
    </row>
    <row r="15562" spans="8:9">
      <c r="H15562" s="1245"/>
      <c r="I15562" s="1245"/>
    </row>
    <row r="15563" spans="8:9">
      <c r="H15563" s="1245"/>
      <c r="I15563" s="1245"/>
    </row>
    <row r="15564" spans="8:9">
      <c r="H15564" s="1245"/>
      <c r="I15564" s="1245"/>
    </row>
    <row r="15565" spans="8:9">
      <c r="H15565" s="1245"/>
      <c r="I15565" s="1245"/>
    </row>
    <row r="15566" spans="8:9">
      <c r="H15566" s="1245"/>
      <c r="I15566" s="1245"/>
    </row>
    <row r="15567" spans="8:9">
      <c r="H15567" s="1245"/>
      <c r="I15567" s="1245"/>
    </row>
    <row r="15568" spans="8:9">
      <c r="H15568" s="1245"/>
      <c r="I15568" s="1245"/>
    </row>
    <row r="15569" spans="8:9">
      <c r="H15569" s="1245"/>
      <c r="I15569" s="1245"/>
    </row>
    <row r="15570" spans="8:9">
      <c r="H15570" s="1245"/>
      <c r="I15570" s="1245"/>
    </row>
    <row r="15571" spans="8:9">
      <c r="H15571" s="1245"/>
      <c r="I15571" s="1245"/>
    </row>
    <row r="15572" spans="8:9">
      <c r="H15572" s="1245"/>
      <c r="I15572" s="1245"/>
    </row>
    <row r="15573" spans="8:9">
      <c r="H15573" s="1245"/>
      <c r="I15573" s="1245"/>
    </row>
    <row r="15574" spans="8:9">
      <c r="H15574" s="1245"/>
      <c r="I15574" s="1245"/>
    </row>
    <row r="15575" spans="8:9">
      <c r="H15575" s="1245"/>
      <c r="I15575" s="1245"/>
    </row>
    <row r="15576" spans="8:9">
      <c r="H15576" s="1245"/>
      <c r="I15576" s="1245"/>
    </row>
    <row r="15577" spans="8:9">
      <c r="H15577" s="1245"/>
      <c r="I15577" s="1245"/>
    </row>
    <row r="15578" spans="8:9">
      <c r="H15578" s="1245"/>
      <c r="I15578" s="1245"/>
    </row>
    <row r="15579" spans="8:9">
      <c r="H15579" s="1245"/>
      <c r="I15579" s="1245"/>
    </row>
    <row r="15580" spans="8:9">
      <c r="H15580" s="1245"/>
      <c r="I15580" s="1245"/>
    </row>
    <row r="15581" spans="8:9">
      <c r="H15581" s="1245"/>
      <c r="I15581" s="1245"/>
    </row>
    <row r="15582" spans="8:9">
      <c r="H15582" s="1245"/>
      <c r="I15582" s="1245"/>
    </row>
    <row r="15583" spans="8:9">
      <c r="H15583" s="1245"/>
      <c r="I15583" s="1245"/>
    </row>
    <row r="15584" spans="8:9">
      <c r="H15584" s="1245"/>
      <c r="I15584" s="1245"/>
    </row>
    <row r="15585" spans="8:9">
      <c r="H15585" s="1245"/>
      <c r="I15585" s="1245"/>
    </row>
    <row r="15586" spans="8:9">
      <c r="H15586" s="1245"/>
      <c r="I15586" s="1245"/>
    </row>
    <row r="15587" spans="8:9">
      <c r="H15587" s="1245"/>
      <c r="I15587" s="1245"/>
    </row>
    <row r="15588" spans="8:9">
      <c r="H15588" s="1245"/>
      <c r="I15588" s="1245"/>
    </row>
    <row r="15589" spans="8:9">
      <c r="H15589" s="1245"/>
      <c r="I15589" s="1245"/>
    </row>
    <row r="15590" spans="8:9">
      <c r="H15590" s="1245"/>
      <c r="I15590" s="1245"/>
    </row>
    <row r="15591" spans="8:9">
      <c r="H15591" s="1245"/>
      <c r="I15591" s="1245"/>
    </row>
    <row r="15592" spans="8:9">
      <c r="H15592" s="1245"/>
      <c r="I15592" s="1245"/>
    </row>
    <row r="15593" spans="8:9">
      <c r="H15593" s="1245"/>
      <c r="I15593" s="1245"/>
    </row>
    <row r="15594" spans="8:9">
      <c r="H15594" s="1245"/>
      <c r="I15594" s="1245"/>
    </row>
    <row r="15595" spans="8:9">
      <c r="H15595" s="1245"/>
      <c r="I15595" s="1245"/>
    </row>
    <row r="15596" spans="8:9">
      <c r="H15596" s="1245"/>
      <c r="I15596" s="1245"/>
    </row>
    <row r="15597" spans="8:9">
      <c r="H15597" s="1245"/>
      <c r="I15597" s="1245"/>
    </row>
    <row r="15598" spans="8:9">
      <c r="H15598" s="1245"/>
      <c r="I15598" s="1245"/>
    </row>
    <row r="15599" spans="8:9">
      <c r="H15599" s="1245"/>
      <c r="I15599" s="1245"/>
    </row>
    <row r="15600" spans="8:9">
      <c r="H15600" s="1245"/>
      <c r="I15600" s="1245"/>
    </row>
    <row r="15601" spans="8:9">
      <c r="H15601" s="1245"/>
      <c r="I15601" s="1245"/>
    </row>
    <row r="15602" spans="8:9">
      <c r="H15602" s="1245"/>
      <c r="I15602" s="1245"/>
    </row>
    <row r="15603" spans="8:9">
      <c r="H15603" s="1245"/>
      <c r="I15603" s="1245"/>
    </row>
    <row r="15604" spans="8:9">
      <c r="H15604" s="1245"/>
      <c r="I15604" s="1245"/>
    </row>
    <row r="15605" spans="8:9">
      <c r="H15605" s="1245"/>
      <c r="I15605" s="1245"/>
    </row>
    <row r="15606" spans="8:9">
      <c r="H15606" s="1245"/>
      <c r="I15606" s="1245"/>
    </row>
    <row r="15607" spans="8:9">
      <c r="H15607" s="1245"/>
      <c r="I15607" s="1245"/>
    </row>
    <row r="15608" spans="8:9">
      <c r="H15608" s="1245"/>
      <c r="I15608" s="1245"/>
    </row>
    <row r="15609" spans="8:9">
      <c r="H15609" s="1245"/>
      <c r="I15609" s="1245"/>
    </row>
    <row r="15610" spans="8:9">
      <c r="H15610" s="1245"/>
      <c r="I15610" s="1245"/>
    </row>
    <row r="15611" spans="8:9">
      <c r="H15611" s="1245"/>
      <c r="I15611" s="1245"/>
    </row>
    <row r="15612" spans="8:9">
      <c r="H15612" s="1245"/>
      <c r="I15612" s="1245"/>
    </row>
    <row r="15613" spans="8:9">
      <c r="H15613" s="1245"/>
      <c r="I15613" s="1245"/>
    </row>
    <row r="15614" spans="8:9">
      <c r="H15614" s="1245"/>
      <c r="I15614" s="1245"/>
    </row>
    <row r="15615" spans="8:9">
      <c r="H15615" s="1245"/>
      <c r="I15615" s="1245"/>
    </row>
    <row r="15616" spans="8:9">
      <c r="H15616" s="1245"/>
      <c r="I15616" s="1245"/>
    </row>
    <row r="15617" spans="8:9">
      <c r="H15617" s="1245"/>
      <c r="I15617" s="1245"/>
    </row>
    <row r="15618" spans="8:9">
      <c r="H15618" s="1245"/>
      <c r="I15618" s="1245"/>
    </row>
    <row r="15619" spans="8:9">
      <c r="H15619" s="1245"/>
      <c r="I15619" s="1245"/>
    </row>
    <row r="15620" spans="8:9">
      <c r="H15620" s="1245"/>
      <c r="I15620" s="1245"/>
    </row>
    <row r="15621" spans="8:9">
      <c r="H15621" s="1245"/>
      <c r="I15621" s="1245"/>
    </row>
    <row r="15622" spans="8:9">
      <c r="H15622" s="1245"/>
      <c r="I15622" s="1245"/>
    </row>
    <row r="15623" spans="8:9">
      <c r="H15623" s="1245"/>
      <c r="I15623" s="1245"/>
    </row>
    <row r="15624" spans="8:9">
      <c r="H15624" s="1245"/>
      <c r="I15624" s="1245"/>
    </row>
    <row r="15625" spans="8:9">
      <c r="H15625" s="1245"/>
      <c r="I15625" s="1245"/>
    </row>
    <row r="15626" spans="8:9">
      <c r="H15626" s="1245"/>
      <c r="I15626" s="1245"/>
    </row>
    <row r="15627" spans="8:9">
      <c r="H15627" s="1245"/>
      <c r="I15627" s="1245"/>
    </row>
    <row r="15628" spans="8:9">
      <c r="H15628" s="1245"/>
      <c r="I15628" s="1245"/>
    </row>
    <row r="15629" spans="8:9">
      <c r="H15629" s="1245"/>
      <c r="I15629" s="1245"/>
    </row>
    <row r="15630" spans="8:9">
      <c r="H15630" s="1245"/>
      <c r="I15630" s="1245"/>
    </row>
    <row r="15631" spans="8:9">
      <c r="H15631" s="1245"/>
      <c r="I15631" s="1245"/>
    </row>
    <row r="15632" spans="8:9">
      <c r="H15632" s="1245"/>
      <c r="I15632" s="1245"/>
    </row>
    <row r="15633" spans="8:9">
      <c r="H15633" s="1245"/>
      <c r="I15633" s="1245"/>
    </row>
    <row r="15634" spans="8:9">
      <c r="H15634" s="1245"/>
      <c r="I15634" s="1245"/>
    </row>
    <row r="15635" spans="8:9">
      <c r="H15635" s="1245"/>
      <c r="I15635" s="1245"/>
    </row>
    <row r="15636" spans="8:9">
      <c r="H15636" s="1245"/>
      <c r="I15636" s="1245"/>
    </row>
    <row r="15637" spans="8:9">
      <c r="H15637" s="1245"/>
      <c r="I15637" s="1245"/>
    </row>
    <row r="15638" spans="8:9">
      <c r="H15638" s="1245"/>
      <c r="I15638" s="1245"/>
    </row>
    <row r="15639" spans="8:9">
      <c r="H15639" s="1245"/>
      <c r="I15639" s="1245"/>
    </row>
    <row r="15640" spans="8:9">
      <c r="H15640" s="1245"/>
      <c r="I15640" s="1245"/>
    </row>
    <row r="15641" spans="8:9">
      <c r="H15641" s="1245"/>
      <c r="I15641" s="1245"/>
    </row>
    <row r="15642" spans="8:9">
      <c r="H15642" s="1245"/>
      <c r="I15642" s="1245"/>
    </row>
    <row r="15643" spans="8:9">
      <c r="H15643" s="1245"/>
      <c r="I15643" s="1245"/>
    </row>
    <row r="15644" spans="8:9">
      <c r="H15644" s="1245"/>
      <c r="I15644" s="1245"/>
    </row>
    <row r="15645" spans="8:9">
      <c r="H15645" s="1245"/>
      <c r="I15645" s="1245"/>
    </row>
    <row r="15646" spans="8:9">
      <c r="H15646" s="1245"/>
      <c r="I15646" s="1245"/>
    </row>
    <row r="15647" spans="8:9">
      <c r="H15647" s="1245"/>
      <c r="I15647" s="1245"/>
    </row>
    <row r="15648" spans="8:9">
      <c r="H15648" s="1245"/>
      <c r="I15648" s="1245"/>
    </row>
    <row r="15649" spans="8:9">
      <c r="H15649" s="1245"/>
      <c r="I15649" s="1245"/>
    </row>
    <row r="15650" spans="8:9">
      <c r="H15650" s="1245"/>
      <c r="I15650" s="1245"/>
    </row>
    <row r="15651" spans="8:9">
      <c r="H15651" s="1245"/>
      <c r="I15651" s="1245"/>
    </row>
    <row r="15652" spans="8:9">
      <c r="H15652" s="1245"/>
      <c r="I15652" s="1245"/>
    </row>
    <row r="15653" spans="8:9">
      <c r="H15653" s="1245"/>
      <c r="I15653" s="1245"/>
    </row>
    <row r="15654" spans="8:9">
      <c r="H15654" s="1245"/>
      <c r="I15654" s="1245"/>
    </row>
    <row r="15655" spans="8:9">
      <c r="H15655" s="1245"/>
      <c r="I15655" s="1245"/>
    </row>
    <row r="15656" spans="8:9">
      <c r="H15656" s="1245"/>
      <c r="I15656" s="1245"/>
    </row>
    <row r="15657" spans="8:9">
      <c r="H15657" s="1245"/>
      <c r="I15657" s="1245"/>
    </row>
    <row r="15658" spans="8:9">
      <c r="H15658" s="1245"/>
      <c r="I15658" s="1245"/>
    </row>
    <row r="15659" spans="8:9">
      <c r="H15659" s="1245"/>
      <c r="I15659" s="1245"/>
    </row>
    <row r="15660" spans="8:9">
      <c r="H15660" s="1245"/>
      <c r="I15660" s="1245"/>
    </row>
    <row r="15661" spans="8:9">
      <c r="H15661" s="1245"/>
      <c r="I15661" s="1245"/>
    </row>
    <row r="15662" spans="8:9">
      <c r="H15662" s="1245"/>
      <c r="I15662" s="1245"/>
    </row>
    <row r="15663" spans="8:9">
      <c r="H15663" s="1245"/>
      <c r="I15663" s="1245"/>
    </row>
    <row r="15664" spans="8:9">
      <c r="H15664" s="1245"/>
      <c r="I15664" s="1245"/>
    </row>
    <row r="15665" spans="8:9">
      <c r="H15665" s="1245"/>
      <c r="I15665" s="1245"/>
    </row>
    <row r="15666" spans="8:9">
      <c r="H15666" s="1245"/>
      <c r="I15666" s="1245"/>
    </row>
    <row r="15667" spans="8:9">
      <c r="H15667" s="1245"/>
      <c r="I15667" s="1245"/>
    </row>
    <row r="15668" spans="8:9">
      <c r="H15668" s="1245"/>
      <c r="I15668" s="1245"/>
    </row>
    <row r="15669" spans="8:9">
      <c r="H15669" s="1245"/>
      <c r="I15669" s="1245"/>
    </row>
    <row r="15670" spans="8:9">
      <c r="H15670" s="1245"/>
      <c r="I15670" s="1245"/>
    </row>
    <row r="15671" spans="8:9">
      <c r="H15671" s="1245"/>
      <c r="I15671" s="1245"/>
    </row>
    <row r="15672" spans="8:9">
      <c r="H15672" s="1245"/>
      <c r="I15672" s="1245"/>
    </row>
    <row r="15673" spans="8:9">
      <c r="H15673" s="1245"/>
      <c r="I15673" s="1245"/>
    </row>
    <row r="15674" spans="8:9">
      <c r="H15674" s="1245"/>
      <c r="I15674" s="1245"/>
    </row>
    <row r="15675" spans="8:9">
      <c r="H15675" s="1245"/>
      <c r="I15675" s="1245"/>
    </row>
    <row r="15676" spans="8:9">
      <c r="H15676" s="1245"/>
      <c r="I15676" s="1245"/>
    </row>
    <row r="15677" spans="8:9">
      <c r="H15677" s="1245"/>
      <c r="I15677" s="1245"/>
    </row>
    <row r="15678" spans="8:9">
      <c r="H15678" s="1245"/>
      <c r="I15678" s="1245"/>
    </row>
    <row r="15679" spans="8:9">
      <c r="H15679" s="1245"/>
      <c r="I15679" s="1245"/>
    </row>
    <row r="15680" spans="8:9">
      <c r="H15680" s="1245"/>
      <c r="I15680" s="1245"/>
    </row>
    <row r="15681" spans="8:9">
      <c r="H15681" s="1245"/>
      <c r="I15681" s="1245"/>
    </row>
    <row r="15682" spans="8:9">
      <c r="H15682" s="1245"/>
      <c r="I15682" s="1245"/>
    </row>
    <row r="15683" spans="8:9">
      <c r="H15683" s="1245"/>
      <c r="I15683" s="1245"/>
    </row>
    <row r="15684" spans="8:9">
      <c r="H15684" s="1245"/>
      <c r="I15684" s="1245"/>
    </row>
    <row r="15685" spans="8:9">
      <c r="H15685" s="1245"/>
      <c r="I15685" s="1245"/>
    </row>
    <row r="15686" spans="8:9">
      <c r="H15686" s="1245"/>
      <c r="I15686" s="1245"/>
    </row>
    <row r="15687" spans="8:9">
      <c r="H15687" s="1245"/>
      <c r="I15687" s="1245"/>
    </row>
    <row r="15688" spans="8:9">
      <c r="H15688" s="1245"/>
      <c r="I15688" s="1245"/>
    </row>
    <row r="15689" spans="8:9">
      <c r="H15689" s="1245"/>
      <c r="I15689" s="1245"/>
    </row>
    <row r="15690" spans="8:9">
      <c r="H15690" s="1245"/>
      <c r="I15690" s="1245"/>
    </row>
    <row r="15691" spans="8:9">
      <c r="H15691" s="1245"/>
      <c r="I15691" s="1245"/>
    </row>
    <row r="15692" spans="8:9">
      <c r="H15692" s="1245"/>
      <c r="I15692" s="1245"/>
    </row>
    <row r="15693" spans="8:9">
      <c r="H15693" s="1245"/>
      <c r="I15693" s="1245"/>
    </row>
    <row r="15694" spans="8:9">
      <c r="H15694" s="1245"/>
      <c r="I15694" s="1245"/>
    </row>
    <row r="15695" spans="8:9">
      <c r="H15695" s="1245"/>
      <c r="I15695" s="1245"/>
    </row>
    <row r="15696" spans="8:9">
      <c r="H15696" s="1245"/>
      <c r="I15696" s="1245"/>
    </row>
    <row r="15697" spans="8:9">
      <c r="H15697" s="1245"/>
      <c r="I15697" s="1245"/>
    </row>
    <row r="15698" spans="8:9">
      <c r="H15698" s="1245"/>
      <c r="I15698" s="1245"/>
    </row>
    <row r="15699" spans="8:9">
      <c r="H15699" s="1245"/>
      <c r="I15699" s="1245"/>
    </row>
    <row r="15700" spans="8:9">
      <c r="H15700" s="1245"/>
      <c r="I15700" s="1245"/>
    </row>
    <row r="15701" spans="8:9">
      <c r="H15701" s="1245"/>
      <c r="I15701" s="1245"/>
    </row>
    <row r="15702" spans="8:9">
      <c r="H15702" s="1245"/>
      <c r="I15702" s="1245"/>
    </row>
    <row r="15703" spans="8:9">
      <c r="H15703" s="1245"/>
      <c r="I15703" s="1245"/>
    </row>
    <row r="15704" spans="8:9">
      <c r="H15704" s="1245"/>
      <c r="I15704" s="1245"/>
    </row>
    <row r="15705" spans="8:9">
      <c r="H15705" s="1245"/>
      <c r="I15705" s="1245"/>
    </row>
    <row r="15706" spans="8:9">
      <c r="H15706" s="1245"/>
      <c r="I15706" s="1245"/>
    </row>
    <row r="15707" spans="8:9">
      <c r="H15707" s="1245"/>
      <c r="I15707" s="1245"/>
    </row>
    <row r="15708" spans="8:9">
      <c r="H15708" s="1245"/>
      <c r="I15708" s="1245"/>
    </row>
    <row r="15709" spans="8:9">
      <c r="H15709" s="1245"/>
      <c r="I15709" s="1245"/>
    </row>
    <row r="15710" spans="8:9">
      <c r="H15710" s="1245"/>
      <c r="I15710" s="1245"/>
    </row>
    <row r="15711" spans="8:9">
      <c r="H15711" s="1245"/>
      <c r="I15711" s="1245"/>
    </row>
    <row r="15712" spans="8:9">
      <c r="H15712" s="1245"/>
      <c r="I15712" s="1245"/>
    </row>
    <row r="15713" spans="8:9">
      <c r="H15713" s="1245"/>
      <c r="I15713" s="1245"/>
    </row>
    <row r="15714" spans="8:9">
      <c r="H15714" s="1245"/>
      <c r="I15714" s="1245"/>
    </row>
    <row r="15715" spans="8:9">
      <c r="H15715" s="1245"/>
      <c r="I15715" s="1245"/>
    </row>
    <row r="15716" spans="8:9">
      <c r="H15716" s="1245"/>
      <c r="I15716" s="1245"/>
    </row>
    <row r="15717" spans="8:9">
      <c r="H15717" s="1245"/>
      <c r="I15717" s="1245"/>
    </row>
    <row r="15718" spans="8:9">
      <c r="H15718" s="1245"/>
      <c r="I15718" s="1245"/>
    </row>
    <row r="15719" spans="8:9">
      <c r="H15719" s="1245"/>
      <c r="I15719" s="1245"/>
    </row>
    <row r="15720" spans="8:9">
      <c r="H15720" s="1245"/>
      <c r="I15720" s="1245"/>
    </row>
    <row r="15721" spans="8:9">
      <c r="H15721" s="1245"/>
      <c r="I15721" s="1245"/>
    </row>
    <row r="15722" spans="8:9">
      <c r="H15722" s="1245"/>
      <c r="I15722" s="1245"/>
    </row>
    <row r="15723" spans="8:9">
      <c r="H15723" s="1245"/>
      <c r="I15723" s="1245"/>
    </row>
    <row r="15724" spans="8:9">
      <c r="H15724" s="1245"/>
      <c r="I15724" s="1245"/>
    </row>
    <row r="15725" spans="8:9">
      <c r="H15725" s="1245"/>
      <c r="I15725" s="1245"/>
    </row>
    <row r="15726" spans="8:9">
      <c r="H15726" s="1245"/>
      <c r="I15726" s="1245"/>
    </row>
    <row r="15727" spans="8:9">
      <c r="H15727" s="1245"/>
      <c r="I15727" s="1245"/>
    </row>
    <row r="15728" spans="8:9">
      <c r="H15728" s="1245"/>
      <c r="I15728" s="1245"/>
    </row>
    <row r="15729" spans="8:9">
      <c r="H15729" s="1245"/>
      <c r="I15729" s="1245"/>
    </row>
    <row r="15730" spans="8:9">
      <c r="H15730" s="1245"/>
      <c r="I15730" s="1245"/>
    </row>
    <row r="15731" spans="8:9">
      <c r="H15731" s="1245"/>
      <c r="I15731" s="1245"/>
    </row>
    <row r="15732" spans="8:9">
      <c r="H15732" s="1245"/>
      <c r="I15732" s="1245"/>
    </row>
    <row r="15733" spans="8:9">
      <c r="H15733" s="1245"/>
      <c r="I15733" s="1245"/>
    </row>
    <row r="15734" spans="8:9">
      <c r="H15734" s="1245"/>
      <c r="I15734" s="1245"/>
    </row>
    <row r="15735" spans="8:9">
      <c r="H15735" s="1245"/>
      <c r="I15735" s="1245"/>
    </row>
    <row r="15736" spans="8:9">
      <c r="H15736" s="1245"/>
      <c r="I15736" s="1245"/>
    </row>
    <row r="15737" spans="8:9">
      <c r="H15737" s="1245"/>
      <c r="I15737" s="1245"/>
    </row>
    <row r="15738" spans="8:9">
      <c r="H15738" s="1245"/>
      <c r="I15738" s="1245"/>
    </row>
    <row r="15739" spans="8:9">
      <c r="H15739" s="1245"/>
      <c r="I15739" s="1245"/>
    </row>
    <row r="15740" spans="8:9">
      <c r="H15740" s="1245"/>
      <c r="I15740" s="1245"/>
    </row>
    <row r="15741" spans="8:9">
      <c r="H15741" s="1245"/>
      <c r="I15741" s="1245"/>
    </row>
    <row r="15742" spans="8:9">
      <c r="H15742" s="1245"/>
      <c r="I15742" s="1245"/>
    </row>
    <row r="15743" spans="8:9">
      <c r="H15743" s="1245"/>
      <c r="I15743" s="1245"/>
    </row>
    <row r="15744" spans="8:9">
      <c r="H15744" s="1245"/>
      <c r="I15744" s="1245"/>
    </row>
    <row r="15745" spans="8:9">
      <c r="H15745" s="1245"/>
      <c r="I15745" s="1245"/>
    </row>
    <row r="15746" spans="8:9">
      <c r="H15746" s="1245"/>
      <c r="I15746" s="1245"/>
    </row>
    <row r="15747" spans="8:9">
      <c r="H15747" s="1245"/>
      <c r="I15747" s="1245"/>
    </row>
    <row r="15748" spans="8:9">
      <c r="H15748" s="1245"/>
      <c r="I15748" s="1245"/>
    </row>
    <row r="15749" spans="8:9">
      <c r="H15749" s="1245"/>
      <c r="I15749" s="1245"/>
    </row>
    <row r="15750" spans="8:9">
      <c r="H15750" s="1245"/>
      <c r="I15750" s="1245"/>
    </row>
    <row r="15751" spans="8:9">
      <c r="H15751" s="1245"/>
      <c r="I15751" s="1245"/>
    </row>
    <row r="15752" spans="8:9">
      <c r="H15752" s="1245"/>
      <c r="I15752" s="1245"/>
    </row>
    <row r="15753" spans="8:9">
      <c r="H15753" s="1245"/>
      <c r="I15753" s="1245"/>
    </row>
    <row r="15754" spans="8:9">
      <c r="H15754" s="1245"/>
      <c r="I15754" s="1245"/>
    </row>
    <row r="15755" spans="8:9">
      <c r="H15755" s="1245"/>
      <c r="I15755" s="1245"/>
    </row>
    <row r="15756" spans="8:9">
      <c r="H15756" s="1245"/>
      <c r="I15756" s="1245"/>
    </row>
    <row r="15757" spans="8:9">
      <c r="H15757" s="1245"/>
      <c r="I15757" s="1245"/>
    </row>
    <row r="15758" spans="8:9">
      <c r="H15758" s="1245"/>
      <c r="I15758" s="1245"/>
    </row>
    <row r="15759" spans="8:9">
      <c r="H15759" s="1245"/>
      <c r="I15759" s="1245"/>
    </row>
    <row r="15760" spans="8:9">
      <c r="H15760" s="1245"/>
      <c r="I15760" s="1245"/>
    </row>
    <row r="15761" spans="8:9">
      <c r="H15761" s="1245"/>
      <c r="I15761" s="1245"/>
    </row>
    <row r="15762" spans="8:9">
      <c r="H15762" s="1245"/>
      <c r="I15762" s="1245"/>
    </row>
    <row r="15763" spans="8:9">
      <c r="H15763" s="1245"/>
      <c r="I15763" s="1245"/>
    </row>
    <row r="15764" spans="8:9">
      <c r="H15764" s="1245"/>
      <c r="I15764" s="1245"/>
    </row>
    <row r="15765" spans="8:9">
      <c r="H15765" s="1245"/>
      <c r="I15765" s="1245"/>
    </row>
    <row r="15766" spans="8:9">
      <c r="H15766" s="1245"/>
      <c r="I15766" s="1245"/>
    </row>
    <row r="15767" spans="8:9">
      <c r="H15767" s="1245"/>
      <c r="I15767" s="1245"/>
    </row>
    <row r="15768" spans="8:9">
      <c r="H15768" s="1245"/>
      <c r="I15768" s="1245"/>
    </row>
    <row r="15769" spans="8:9">
      <c r="H15769" s="1245"/>
      <c r="I15769" s="1245"/>
    </row>
    <row r="15770" spans="8:9">
      <c r="H15770" s="1245"/>
      <c r="I15770" s="1245"/>
    </row>
    <row r="15771" spans="8:9">
      <c r="H15771" s="1245"/>
      <c r="I15771" s="1245"/>
    </row>
    <row r="15772" spans="8:9">
      <c r="H15772" s="1245"/>
      <c r="I15772" s="1245"/>
    </row>
    <row r="15773" spans="8:9">
      <c r="H15773" s="1245"/>
      <c r="I15773" s="1245"/>
    </row>
    <row r="15774" spans="8:9">
      <c r="H15774" s="1245"/>
      <c r="I15774" s="1245"/>
    </row>
    <row r="15775" spans="8:9">
      <c r="H15775" s="1245"/>
      <c r="I15775" s="1245"/>
    </row>
    <row r="15776" spans="8:9">
      <c r="H15776" s="1245"/>
      <c r="I15776" s="1245"/>
    </row>
    <row r="15777" spans="8:9">
      <c r="H15777" s="1245"/>
      <c r="I15777" s="1245"/>
    </row>
    <row r="15778" spans="8:9">
      <c r="H15778" s="1245"/>
      <c r="I15778" s="1245"/>
    </row>
    <row r="15779" spans="8:9">
      <c r="H15779" s="1245"/>
      <c r="I15779" s="1245"/>
    </row>
    <row r="15780" spans="8:9">
      <c r="H15780" s="1245"/>
      <c r="I15780" s="1245"/>
    </row>
    <row r="15781" spans="8:9">
      <c r="H15781" s="1245"/>
      <c r="I15781" s="1245"/>
    </row>
    <row r="15782" spans="8:9">
      <c r="H15782" s="1245"/>
      <c r="I15782" s="1245"/>
    </row>
    <row r="15783" spans="8:9">
      <c r="H15783" s="1245"/>
      <c r="I15783" s="1245"/>
    </row>
    <row r="15784" spans="8:9">
      <c r="H15784" s="1245"/>
      <c r="I15784" s="1245"/>
    </row>
    <row r="15785" spans="8:9">
      <c r="H15785" s="1245"/>
      <c r="I15785" s="1245"/>
    </row>
    <row r="15786" spans="8:9">
      <c r="H15786" s="1245"/>
      <c r="I15786" s="1245"/>
    </row>
    <row r="15787" spans="8:9">
      <c r="H15787" s="1245"/>
      <c r="I15787" s="1245"/>
    </row>
    <row r="15788" spans="8:9">
      <c r="H15788" s="1245"/>
      <c r="I15788" s="1245"/>
    </row>
    <row r="15789" spans="8:9">
      <c r="H15789" s="1245"/>
      <c r="I15789" s="1245"/>
    </row>
    <row r="15790" spans="8:9">
      <c r="H15790" s="1245"/>
      <c r="I15790" s="1245"/>
    </row>
    <row r="15791" spans="8:9">
      <c r="H15791" s="1245"/>
      <c r="I15791" s="1245"/>
    </row>
    <row r="15792" spans="8:9">
      <c r="H15792" s="1245"/>
      <c r="I15792" s="1245"/>
    </row>
    <row r="15793" spans="8:9">
      <c r="H15793" s="1245"/>
      <c r="I15793" s="1245"/>
    </row>
    <row r="15794" spans="8:9">
      <c r="H15794" s="1245"/>
      <c r="I15794" s="1245"/>
    </row>
    <row r="15795" spans="8:9">
      <c r="H15795" s="1245"/>
      <c r="I15795" s="1245"/>
    </row>
    <row r="15796" spans="8:9">
      <c r="H15796" s="1245"/>
      <c r="I15796" s="1245"/>
    </row>
    <row r="15797" spans="8:9">
      <c r="H15797" s="1245"/>
      <c r="I15797" s="1245"/>
    </row>
    <row r="15798" spans="8:9">
      <c r="H15798" s="1245"/>
      <c r="I15798" s="1245"/>
    </row>
    <row r="15799" spans="8:9">
      <c r="H15799" s="1245"/>
      <c r="I15799" s="1245"/>
    </row>
    <row r="15800" spans="8:9">
      <c r="H15800" s="1245"/>
      <c r="I15800" s="1245"/>
    </row>
    <row r="15801" spans="8:9">
      <c r="H15801" s="1245"/>
      <c r="I15801" s="1245"/>
    </row>
    <row r="15802" spans="8:9">
      <c r="H15802" s="1245"/>
      <c r="I15802" s="1245"/>
    </row>
    <row r="15803" spans="8:9">
      <c r="H15803" s="1245"/>
      <c r="I15803" s="1245"/>
    </row>
    <row r="15804" spans="8:9">
      <c r="H15804" s="1245"/>
      <c r="I15804" s="1245"/>
    </row>
    <row r="15805" spans="8:9">
      <c r="H15805" s="1245"/>
      <c r="I15805" s="1245"/>
    </row>
    <row r="15806" spans="8:9">
      <c r="H15806" s="1245"/>
      <c r="I15806" s="1245"/>
    </row>
    <row r="15807" spans="8:9">
      <c r="H15807" s="1245"/>
      <c r="I15807" s="1245"/>
    </row>
    <row r="15808" spans="8:9">
      <c r="H15808" s="1245"/>
      <c r="I15808" s="1245"/>
    </row>
    <row r="15809" spans="8:9">
      <c r="H15809" s="1245"/>
      <c r="I15809" s="1245"/>
    </row>
    <row r="15810" spans="8:9">
      <c r="H15810" s="1245"/>
      <c r="I15810" s="1245"/>
    </row>
    <row r="15811" spans="8:9">
      <c r="H15811" s="1245"/>
      <c r="I15811" s="1245"/>
    </row>
    <row r="15812" spans="8:9">
      <c r="H15812" s="1245"/>
      <c r="I15812" s="1245"/>
    </row>
    <row r="15813" spans="8:9">
      <c r="H15813" s="1245"/>
      <c r="I15813" s="1245"/>
    </row>
    <row r="15814" spans="8:9">
      <c r="H15814" s="1245"/>
      <c r="I15814" s="1245"/>
    </row>
    <row r="15815" spans="8:9">
      <c r="H15815" s="1245"/>
      <c r="I15815" s="1245"/>
    </row>
    <row r="15816" spans="8:9">
      <c r="H15816" s="1245"/>
      <c r="I15816" s="1245"/>
    </row>
    <row r="15817" spans="8:9">
      <c r="H15817" s="1245"/>
      <c r="I15817" s="1245"/>
    </row>
    <row r="15818" spans="8:9">
      <c r="H15818" s="1245"/>
      <c r="I15818" s="1245"/>
    </row>
    <row r="15819" spans="8:9">
      <c r="H15819" s="1245"/>
      <c r="I15819" s="1245"/>
    </row>
    <row r="15820" spans="8:9">
      <c r="H15820" s="1245"/>
      <c r="I15820" s="1245"/>
    </row>
    <row r="15821" spans="8:9">
      <c r="H15821" s="1245"/>
      <c r="I15821" s="1245"/>
    </row>
    <row r="15822" spans="8:9">
      <c r="H15822" s="1245"/>
      <c r="I15822" s="1245"/>
    </row>
    <row r="15823" spans="8:9">
      <c r="H15823" s="1245"/>
      <c r="I15823" s="1245"/>
    </row>
    <row r="15824" spans="8:9">
      <c r="H15824" s="1245"/>
      <c r="I15824" s="1245"/>
    </row>
    <row r="15825" spans="8:9">
      <c r="H15825" s="1245"/>
      <c r="I15825" s="1245"/>
    </row>
    <row r="15826" spans="8:9">
      <c r="H15826" s="1245"/>
      <c r="I15826" s="1245"/>
    </row>
    <row r="15827" spans="8:9">
      <c r="H15827" s="1245"/>
      <c r="I15827" s="1245"/>
    </row>
    <row r="15828" spans="8:9">
      <c r="H15828" s="1245"/>
      <c r="I15828" s="1245"/>
    </row>
    <row r="15829" spans="8:9">
      <c r="H15829" s="1245"/>
      <c r="I15829" s="1245"/>
    </row>
    <row r="15830" spans="8:9">
      <c r="H15830" s="1245"/>
      <c r="I15830" s="1245"/>
    </row>
    <row r="15831" spans="8:9">
      <c r="H15831" s="1245"/>
      <c r="I15831" s="1245"/>
    </row>
    <row r="15832" spans="8:9">
      <c r="H15832" s="1245"/>
      <c r="I15832" s="1245"/>
    </row>
    <row r="15833" spans="8:9">
      <c r="H15833" s="1245"/>
      <c r="I15833" s="1245"/>
    </row>
    <row r="15834" spans="8:9">
      <c r="H15834" s="1245"/>
      <c r="I15834" s="1245"/>
    </row>
    <row r="15835" spans="8:9">
      <c r="H15835" s="1245"/>
      <c r="I15835" s="1245"/>
    </row>
    <row r="15836" spans="8:9">
      <c r="H15836" s="1245"/>
      <c r="I15836" s="1245"/>
    </row>
    <row r="15837" spans="8:9">
      <c r="H15837" s="1245"/>
      <c r="I15837" s="1245"/>
    </row>
    <row r="15838" spans="8:9">
      <c r="H15838" s="1245"/>
      <c r="I15838" s="1245"/>
    </row>
    <row r="15839" spans="8:9">
      <c r="H15839" s="1245"/>
      <c r="I15839" s="1245"/>
    </row>
    <row r="15840" spans="8:9">
      <c r="H15840" s="1245"/>
      <c r="I15840" s="1245"/>
    </row>
    <row r="15841" spans="8:9">
      <c r="H15841" s="1245"/>
      <c r="I15841" s="1245"/>
    </row>
    <row r="15842" spans="8:9">
      <c r="H15842" s="1245"/>
      <c r="I15842" s="1245"/>
    </row>
    <row r="15843" spans="8:9">
      <c r="H15843" s="1245"/>
      <c r="I15843" s="1245"/>
    </row>
    <row r="15844" spans="8:9">
      <c r="H15844" s="1245"/>
      <c r="I15844" s="1245"/>
    </row>
    <row r="15845" spans="8:9">
      <c r="H15845" s="1245"/>
      <c r="I15845" s="1245"/>
    </row>
    <row r="15846" spans="8:9">
      <c r="H15846" s="1245"/>
      <c r="I15846" s="1245"/>
    </row>
    <row r="15847" spans="8:9">
      <c r="H15847" s="1245"/>
      <c r="I15847" s="1245"/>
    </row>
    <row r="15848" spans="8:9">
      <c r="H15848" s="1245"/>
      <c r="I15848" s="1245"/>
    </row>
    <row r="15849" spans="8:9">
      <c r="H15849" s="1245"/>
      <c r="I15849" s="1245"/>
    </row>
    <row r="15850" spans="8:9">
      <c r="H15850" s="1245"/>
      <c r="I15850" s="1245"/>
    </row>
    <row r="15851" spans="8:9">
      <c r="H15851" s="1245"/>
      <c r="I15851" s="1245"/>
    </row>
    <row r="15852" spans="8:9">
      <c r="H15852" s="1245"/>
      <c r="I15852" s="1245"/>
    </row>
    <row r="15853" spans="8:9">
      <c r="H15853" s="1245"/>
      <c r="I15853" s="1245"/>
    </row>
    <row r="15854" spans="8:9">
      <c r="H15854" s="1245"/>
      <c r="I15854" s="1245"/>
    </row>
    <row r="15855" spans="8:9">
      <c r="H15855" s="1245"/>
      <c r="I15855" s="1245"/>
    </row>
    <row r="15856" spans="8:9">
      <c r="H15856" s="1245"/>
      <c r="I15856" s="1245"/>
    </row>
    <row r="15857" spans="8:9">
      <c r="H15857" s="1245"/>
      <c r="I15857" s="1245"/>
    </row>
    <row r="15858" spans="8:9">
      <c r="H15858" s="1245"/>
      <c r="I15858" s="1245"/>
    </row>
    <row r="15859" spans="8:9">
      <c r="H15859" s="1245"/>
      <c r="I15859" s="1245"/>
    </row>
    <row r="15860" spans="8:9">
      <c r="H15860" s="1245"/>
      <c r="I15860" s="1245"/>
    </row>
    <row r="15861" spans="8:9">
      <c r="H15861" s="1245"/>
      <c r="I15861" s="1245"/>
    </row>
    <row r="15862" spans="8:9">
      <c r="H15862" s="1245"/>
      <c r="I15862" s="1245"/>
    </row>
    <row r="15863" spans="8:9">
      <c r="H15863" s="1245"/>
      <c r="I15863" s="1245"/>
    </row>
    <row r="15864" spans="8:9">
      <c r="H15864" s="1245"/>
      <c r="I15864" s="1245"/>
    </row>
    <row r="15865" spans="8:9">
      <c r="H15865" s="1245"/>
      <c r="I15865" s="1245"/>
    </row>
    <row r="15866" spans="8:9">
      <c r="H15866" s="1245"/>
      <c r="I15866" s="1245"/>
    </row>
    <row r="15867" spans="8:9">
      <c r="H15867" s="1245"/>
      <c r="I15867" s="1245"/>
    </row>
    <row r="15868" spans="8:9">
      <c r="H15868" s="1245"/>
      <c r="I15868" s="1245"/>
    </row>
    <row r="15869" spans="8:9">
      <c r="H15869" s="1245"/>
      <c r="I15869" s="1245"/>
    </row>
    <row r="15870" spans="8:9">
      <c r="H15870" s="1245"/>
      <c r="I15870" s="1245"/>
    </row>
    <row r="15871" spans="8:9">
      <c r="H15871" s="1245"/>
      <c r="I15871" s="1245"/>
    </row>
    <row r="15872" spans="8:9">
      <c r="H15872" s="1245"/>
      <c r="I15872" s="1245"/>
    </row>
    <row r="15873" spans="8:9">
      <c r="H15873" s="1245"/>
      <c r="I15873" s="1245"/>
    </row>
    <row r="15874" spans="8:9">
      <c r="H15874" s="1245"/>
      <c r="I15874" s="1245"/>
    </row>
    <row r="15875" spans="8:9">
      <c r="H15875" s="1245"/>
      <c r="I15875" s="1245"/>
    </row>
    <row r="15876" spans="8:9">
      <c r="H15876" s="1245"/>
      <c r="I15876" s="1245"/>
    </row>
    <row r="15877" spans="8:9">
      <c r="H15877" s="1245"/>
      <c r="I15877" s="1245"/>
    </row>
    <row r="15878" spans="8:9">
      <c r="H15878" s="1245"/>
      <c r="I15878" s="1245"/>
    </row>
    <row r="15879" spans="8:9">
      <c r="H15879" s="1245"/>
      <c r="I15879" s="1245"/>
    </row>
    <row r="15880" spans="8:9">
      <c r="H15880" s="1245"/>
      <c r="I15880" s="1245"/>
    </row>
    <row r="15881" spans="8:9">
      <c r="H15881" s="1245"/>
      <c r="I15881" s="1245"/>
    </row>
    <row r="15882" spans="8:9">
      <c r="H15882" s="1245"/>
      <c r="I15882" s="1245"/>
    </row>
    <row r="15883" spans="8:9">
      <c r="H15883" s="1245"/>
      <c r="I15883" s="1245"/>
    </row>
    <row r="15884" spans="8:9">
      <c r="H15884" s="1245"/>
      <c r="I15884" s="1245"/>
    </row>
    <row r="15885" spans="8:9">
      <c r="H15885" s="1245"/>
      <c r="I15885" s="1245"/>
    </row>
    <row r="15886" spans="8:9">
      <c r="H15886" s="1245"/>
      <c r="I15886" s="1245"/>
    </row>
    <row r="15887" spans="8:9">
      <c r="H15887" s="1245"/>
      <c r="I15887" s="1245"/>
    </row>
    <row r="15888" spans="8:9">
      <c r="H15888" s="1245"/>
      <c r="I15888" s="1245"/>
    </row>
    <row r="15889" spans="8:9">
      <c r="H15889" s="1245"/>
      <c r="I15889" s="1245"/>
    </row>
    <row r="15890" spans="8:9">
      <c r="H15890" s="1245"/>
      <c r="I15890" s="1245"/>
    </row>
    <row r="15891" spans="8:9">
      <c r="H15891" s="1245"/>
      <c r="I15891" s="1245"/>
    </row>
    <row r="15892" spans="8:9">
      <c r="H15892" s="1245"/>
      <c r="I15892" s="1245"/>
    </row>
    <row r="15893" spans="8:9">
      <c r="H15893" s="1245"/>
      <c r="I15893" s="1245"/>
    </row>
    <row r="15894" spans="8:9">
      <c r="H15894" s="1245"/>
      <c r="I15894" s="1245"/>
    </row>
    <row r="15895" spans="8:9">
      <c r="H15895" s="1245"/>
      <c r="I15895" s="1245"/>
    </row>
    <row r="15896" spans="8:9">
      <c r="H15896" s="1245"/>
      <c r="I15896" s="1245"/>
    </row>
    <row r="15897" spans="8:9">
      <c r="H15897" s="1245"/>
      <c r="I15897" s="1245"/>
    </row>
    <row r="15898" spans="8:9">
      <c r="H15898" s="1245"/>
      <c r="I15898" s="1245"/>
    </row>
    <row r="15899" spans="8:9">
      <c r="H15899" s="1245"/>
      <c r="I15899" s="1245"/>
    </row>
    <row r="15900" spans="8:9">
      <c r="H15900" s="1245"/>
      <c r="I15900" s="1245"/>
    </row>
    <row r="15901" spans="8:9">
      <c r="H15901" s="1245"/>
      <c r="I15901" s="1245"/>
    </row>
    <row r="15902" spans="8:9">
      <c r="H15902" s="1245"/>
      <c r="I15902" s="1245"/>
    </row>
    <row r="15903" spans="8:9">
      <c r="H15903" s="1245"/>
      <c r="I15903" s="1245"/>
    </row>
    <row r="15904" spans="8:9">
      <c r="H15904" s="1245"/>
      <c r="I15904" s="1245"/>
    </row>
    <row r="15905" spans="8:9">
      <c r="H15905" s="1245"/>
      <c r="I15905" s="1245"/>
    </row>
    <row r="15906" spans="8:9">
      <c r="H15906" s="1245"/>
      <c r="I15906" s="1245"/>
    </row>
    <row r="15907" spans="8:9">
      <c r="H15907" s="1245"/>
      <c r="I15907" s="1245"/>
    </row>
    <row r="15908" spans="8:9">
      <c r="H15908" s="1245"/>
      <c r="I15908" s="1245"/>
    </row>
    <row r="15909" spans="8:9">
      <c r="H15909" s="1245"/>
      <c r="I15909" s="1245"/>
    </row>
    <row r="15910" spans="8:9">
      <c r="H15910" s="1245"/>
      <c r="I15910" s="1245"/>
    </row>
    <row r="15911" spans="8:9">
      <c r="H15911" s="1245"/>
      <c r="I15911" s="1245"/>
    </row>
    <row r="15912" spans="8:9">
      <c r="H15912" s="1245"/>
      <c r="I15912" s="1245"/>
    </row>
    <row r="15913" spans="8:9">
      <c r="H15913" s="1245"/>
      <c r="I15913" s="1245"/>
    </row>
    <row r="15914" spans="8:9">
      <c r="H15914" s="1245"/>
      <c r="I15914" s="1245"/>
    </row>
    <row r="15915" spans="8:9">
      <c r="H15915" s="1245"/>
      <c r="I15915" s="1245"/>
    </row>
    <row r="15916" spans="8:9">
      <c r="H15916" s="1245"/>
      <c r="I15916" s="1245"/>
    </row>
    <row r="15917" spans="8:9">
      <c r="H15917" s="1245"/>
      <c r="I15917" s="1245"/>
    </row>
    <row r="15918" spans="8:9">
      <c r="H15918" s="1245"/>
      <c r="I15918" s="1245"/>
    </row>
    <row r="15919" spans="8:9">
      <c r="H15919" s="1245"/>
      <c r="I15919" s="1245"/>
    </row>
    <row r="15920" spans="8:9">
      <c r="H15920" s="1245"/>
      <c r="I15920" s="1245"/>
    </row>
    <row r="15921" spans="8:9">
      <c r="H15921" s="1245"/>
      <c r="I15921" s="1245"/>
    </row>
    <row r="15922" spans="8:9">
      <c r="H15922" s="1245"/>
      <c r="I15922" s="1245"/>
    </row>
    <row r="15923" spans="8:9">
      <c r="H15923" s="1245"/>
      <c r="I15923" s="1245"/>
    </row>
    <row r="15924" spans="8:9">
      <c r="H15924" s="1245"/>
      <c r="I15924" s="1245"/>
    </row>
    <row r="15925" spans="8:9">
      <c r="H15925" s="1245"/>
      <c r="I15925" s="1245"/>
    </row>
    <row r="15926" spans="8:9">
      <c r="H15926" s="1245"/>
      <c r="I15926" s="1245"/>
    </row>
    <row r="15927" spans="8:9">
      <c r="H15927" s="1245"/>
      <c r="I15927" s="1245"/>
    </row>
    <row r="15928" spans="8:9">
      <c r="H15928" s="1245"/>
      <c r="I15928" s="1245"/>
    </row>
    <row r="15929" spans="8:9">
      <c r="H15929" s="1245"/>
      <c r="I15929" s="1245"/>
    </row>
    <row r="15930" spans="8:9">
      <c r="H15930" s="1245"/>
      <c r="I15930" s="1245"/>
    </row>
    <row r="15931" spans="8:9">
      <c r="H15931" s="1245"/>
      <c r="I15931" s="1245"/>
    </row>
    <row r="15932" spans="8:9">
      <c r="H15932" s="1245"/>
      <c r="I15932" s="1245"/>
    </row>
    <row r="15933" spans="8:9">
      <c r="H15933" s="1245"/>
      <c r="I15933" s="1245"/>
    </row>
    <row r="15934" spans="8:9">
      <c r="H15934" s="1245"/>
      <c r="I15934" s="1245"/>
    </row>
    <row r="15935" spans="8:9">
      <c r="H15935" s="1245"/>
      <c r="I15935" s="1245"/>
    </row>
    <row r="15936" spans="8:9">
      <c r="H15936" s="1245"/>
      <c r="I15936" s="1245"/>
    </row>
    <row r="15937" spans="8:9">
      <c r="H15937" s="1245"/>
      <c r="I15937" s="1245"/>
    </row>
    <row r="15938" spans="8:9">
      <c r="H15938" s="1245"/>
      <c r="I15938" s="1245"/>
    </row>
    <row r="15939" spans="8:9">
      <c r="H15939" s="1245"/>
      <c r="I15939" s="1245"/>
    </row>
    <row r="15940" spans="8:9">
      <c r="H15940" s="1245"/>
      <c r="I15940" s="1245"/>
    </row>
    <row r="15941" spans="8:9">
      <c r="H15941" s="1245"/>
      <c r="I15941" s="1245"/>
    </row>
    <row r="15942" spans="8:9">
      <c r="H15942" s="1245"/>
      <c r="I15942" s="1245"/>
    </row>
    <row r="15943" spans="8:9">
      <c r="H15943" s="1245"/>
      <c r="I15943" s="1245"/>
    </row>
    <row r="15944" spans="8:9">
      <c r="H15944" s="1245"/>
      <c r="I15944" s="1245"/>
    </row>
    <row r="15945" spans="8:9">
      <c r="H15945" s="1245"/>
      <c r="I15945" s="1245"/>
    </row>
    <row r="15946" spans="8:9">
      <c r="H15946" s="1245"/>
      <c r="I15946" s="1245"/>
    </row>
    <row r="15947" spans="8:9">
      <c r="H15947" s="1245"/>
      <c r="I15947" s="1245"/>
    </row>
    <row r="15948" spans="8:9">
      <c r="H15948" s="1245"/>
      <c r="I15948" s="1245"/>
    </row>
    <row r="15949" spans="8:9">
      <c r="H15949" s="1245"/>
      <c r="I15949" s="1245"/>
    </row>
    <row r="15950" spans="8:9">
      <c r="H15950" s="1245"/>
      <c r="I15950" s="1245"/>
    </row>
    <row r="15951" spans="8:9">
      <c r="H15951" s="1245"/>
      <c r="I15951" s="1245"/>
    </row>
    <row r="15952" spans="8:9">
      <c r="H15952" s="1245"/>
      <c r="I15952" s="1245"/>
    </row>
    <row r="15953" spans="8:9">
      <c r="H15953" s="1245"/>
      <c r="I15953" s="1245"/>
    </row>
    <row r="15954" spans="8:9">
      <c r="H15954" s="1245"/>
      <c r="I15954" s="1245"/>
    </row>
    <row r="15955" spans="8:9">
      <c r="H15955" s="1245"/>
      <c r="I15955" s="1245"/>
    </row>
    <row r="15956" spans="8:9">
      <c r="H15956" s="1245"/>
      <c r="I15956" s="1245"/>
    </row>
    <row r="15957" spans="8:9">
      <c r="H15957" s="1245"/>
      <c r="I15957" s="1245"/>
    </row>
    <row r="15958" spans="8:9">
      <c r="H15958" s="1245"/>
      <c r="I15958" s="1245"/>
    </row>
    <row r="15959" spans="8:9">
      <c r="H15959" s="1245"/>
      <c r="I15959" s="1245"/>
    </row>
    <row r="15960" spans="8:9">
      <c r="H15960" s="1245"/>
      <c r="I15960" s="1245"/>
    </row>
    <row r="15961" spans="8:9">
      <c r="H15961" s="1245"/>
      <c r="I15961" s="1245"/>
    </row>
    <row r="15962" spans="8:9">
      <c r="H15962" s="1245"/>
      <c r="I15962" s="1245"/>
    </row>
    <row r="15963" spans="8:9">
      <c r="H15963" s="1245"/>
      <c r="I15963" s="1245"/>
    </row>
    <row r="15964" spans="8:9">
      <c r="H15964" s="1245"/>
      <c r="I15964" s="1245"/>
    </row>
    <row r="15965" spans="8:9">
      <c r="H15965" s="1245"/>
      <c r="I15965" s="1245"/>
    </row>
    <row r="15966" spans="8:9">
      <c r="H15966" s="1245"/>
      <c r="I15966" s="1245"/>
    </row>
    <row r="15967" spans="8:9">
      <c r="H15967" s="1245"/>
      <c r="I15967" s="1245"/>
    </row>
    <row r="15968" spans="8:9">
      <c r="H15968" s="1245"/>
      <c r="I15968" s="1245"/>
    </row>
    <row r="15969" spans="8:9">
      <c r="H15969" s="1245"/>
      <c r="I15969" s="1245"/>
    </row>
    <row r="15970" spans="8:9">
      <c r="H15970" s="1245"/>
      <c r="I15970" s="1245"/>
    </row>
    <row r="15971" spans="8:9">
      <c r="H15971" s="1245"/>
      <c r="I15971" s="1245"/>
    </row>
    <row r="15972" spans="8:9">
      <c r="H15972" s="1245"/>
      <c r="I15972" s="1245"/>
    </row>
    <row r="15973" spans="8:9">
      <c r="H15973" s="1245"/>
      <c r="I15973" s="1245"/>
    </row>
    <row r="15974" spans="8:9">
      <c r="H15974" s="1245"/>
      <c r="I15974" s="1245"/>
    </row>
    <row r="15975" spans="8:9">
      <c r="H15975" s="1245"/>
      <c r="I15975" s="1245"/>
    </row>
    <row r="15976" spans="8:9">
      <c r="H15976" s="1245"/>
      <c r="I15976" s="1245"/>
    </row>
    <row r="15977" spans="8:9">
      <c r="H15977" s="1245"/>
      <c r="I15977" s="1245"/>
    </row>
    <row r="15978" spans="8:9">
      <c r="H15978" s="1245"/>
      <c r="I15978" s="1245"/>
    </row>
    <row r="15979" spans="8:9">
      <c r="H15979" s="1245"/>
      <c r="I15979" s="1245"/>
    </row>
    <row r="15980" spans="8:9">
      <c r="H15980" s="1245"/>
      <c r="I15980" s="1245"/>
    </row>
    <row r="15981" spans="8:9">
      <c r="H15981" s="1245"/>
      <c r="I15981" s="1245"/>
    </row>
    <row r="15982" spans="8:9">
      <c r="H15982" s="1245"/>
      <c r="I15982" s="1245"/>
    </row>
    <row r="15983" spans="8:9">
      <c r="H15983" s="1245"/>
      <c r="I15983" s="1245"/>
    </row>
    <row r="15984" spans="8:9">
      <c r="H15984" s="1245"/>
      <c r="I15984" s="1245"/>
    </row>
    <row r="15985" spans="8:9">
      <c r="H15985" s="1245"/>
      <c r="I15985" s="1245"/>
    </row>
    <row r="15986" spans="8:9">
      <c r="H15986" s="1245"/>
      <c r="I15986" s="1245"/>
    </row>
    <row r="15987" spans="8:9">
      <c r="H15987" s="1245"/>
      <c r="I15987" s="1245"/>
    </row>
    <row r="15988" spans="8:9">
      <c r="H15988" s="1245"/>
      <c r="I15988" s="1245"/>
    </row>
    <row r="15989" spans="8:9">
      <c r="H15989" s="1245"/>
      <c r="I15989" s="1245"/>
    </row>
    <row r="15990" spans="8:9">
      <c r="H15990" s="1245"/>
      <c r="I15990" s="1245"/>
    </row>
    <row r="15991" spans="8:9">
      <c r="H15991" s="1245"/>
      <c r="I15991" s="1245"/>
    </row>
    <row r="15992" spans="8:9">
      <c r="H15992" s="1245"/>
      <c r="I15992" s="1245"/>
    </row>
    <row r="15993" spans="8:9">
      <c r="H15993" s="1245"/>
      <c r="I15993" s="1245"/>
    </row>
    <row r="15994" spans="8:9">
      <c r="H15994" s="1245"/>
      <c r="I15994" s="1245"/>
    </row>
    <row r="15995" spans="8:9">
      <c r="H15995" s="1245"/>
      <c r="I15995" s="1245"/>
    </row>
    <row r="15996" spans="8:9">
      <c r="H15996" s="1245"/>
      <c r="I15996" s="1245"/>
    </row>
    <row r="15997" spans="8:9">
      <c r="H15997" s="1245"/>
      <c r="I15997" s="1245"/>
    </row>
    <row r="15998" spans="8:9">
      <c r="H15998" s="1245"/>
      <c r="I15998" s="1245"/>
    </row>
    <row r="15999" spans="8:9">
      <c r="H15999" s="1245"/>
      <c r="I15999" s="1245"/>
    </row>
    <row r="16000" spans="8:9">
      <c r="H16000" s="1245"/>
      <c r="I16000" s="1245"/>
    </row>
    <row r="16001" spans="8:9">
      <c r="H16001" s="1245"/>
      <c r="I16001" s="1245"/>
    </row>
    <row r="16002" spans="8:9">
      <c r="H16002" s="1245"/>
      <c r="I16002" s="1245"/>
    </row>
    <row r="16003" spans="8:9">
      <c r="H16003" s="1245"/>
      <c r="I16003" s="1245"/>
    </row>
    <row r="16004" spans="8:9">
      <c r="H16004" s="1245"/>
      <c r="I16004" s="1245"/>
    </row>
    <row r="16005" spans="8:9">
      <c r="H16005" s="1245"/>
      <c r="I16005" s="1245"/>
    </row>
    <row r="16006" spans="8:9">
      <c r="H16006" s="1245"/>
      <c r="I16006" s="1245"/>
    </row>
    <row r="16007" spans="8:9">
      <c r="H16007" s="1245"/>
      <c r="I16007" s="1245"/>
    </row>
    <row r="16008" spans="8:9">
      <c r="H16008" s="1245"/>
      <c r="I16008" s="1245"/>
    </row>
    <row r="16009" spans="8:9">
      <c r="H16009" s="1245"/>
      <c r="I16009" s="1245"/>
    </row>
    <row r="16010" spans="8:9">
      <c r="H16010" s="1245"/>
      <c r="I16010" s="1245"/>
    </row>
    <row r="16011" spans="8:9">
      <c r="H16011" s="1245"/>
      <c r="I16011" s="1245"/>
    </row>
    <row r="16012" spans="8:9">
      <c r="H16012" s="1245"/>
      <c r="I16012" s="1245"/>
    </row>
    <row r="16013" spans="8:9">
      <c r="H16013" s="1245"/>
      <c r="I16013" s="1245"/>
    </row>
    <row r="16014" spans="8:9">
      <c r="H16014" s="1245"/>
      <c r="I16014" s="1245"/>
    </row>
    <row r="16015" spans="8:9">
      <c r="H16015" s="1245"/>
      <c r="I16015" s="1245"/>
    </row>
    <row r="16016" spans="8:9">
      <c r="H16016" s="1245"/>
      <c r="I16016" s="1245"/>
    </row>
    <row r="16017" spans="8:9">
      <c r="H16017" s="1245"/>
      <c r="I16017" s="1245"/>
    </row>
    <row r="16018" spans="8:9">
      <c r="H16018" s="1245"/>
      <c r="I16018" s="1245"/>
    </row>
    <row r="16019" spans="8:9">
      <c r="H16019" s="1245"/>
      <c r="I16019" s="1245"/>
    </row>
    <row r="16020" spans="8:9">
      <c r="H16020" s="1245"/>
      <c r="I16020" s="1245"/>
    </row>
    <row r="16021" spans="8:9">
      <c r="H16021" s="1245"/>
      <c r="I16021" s="1245"/>
    </row>
    <row r="16022" spans="8:9">
      <c r="H16022" s="1245"/>
      <c r="I16022" s="1245"/>
    </row>
    <row r="16023" spans="8:9">
      <c r="H16023" s="1245"/>
      <c r="I16023" s="1245"/>
    </row>
    <row r="16024" spans="8:9">
      <c r="H16024" s="1245"/>
      <c r="I16024" s="1245"/>
    </row>
    <row r="16025" spans="8:9">
      <c r="H16025" s="1245"/>
      <c r="I16025" s="1245"/>
    </row>
    <row r="16026" spans="8:9">
      <c r="H16026" s="1245"/>
      <c r="I16026" s="1245"/>
    </row>
    <row r="16027" spans="8:9">
      <c r="H16027" s="1245"/>
      <c r="I16027" s="1245"/>
    </row>
    <row r="16028" spans="8:9">
      <c r="H16028" s="1245"/>
      <c r="I16028" s="1245"/>
    </row>
    <row r="16029" spans="8:9">
      <c r="H16029" s="1245"/>
      <c r="I16029" s="1245"/>
    </row>
    <row r="16030" spans="8:9">
      <c r="H16030" s="1245"/>
      <c r="I16030" s="1245"/>
    </row>
    <row r="16031" spans="8:9">
      <c r="H16031" s="1245"/>
      <c r="I16031" s="1245"/>
    </row>
    <row r="16032" spans="8:9">
      <c r="H16032" s="1245"/>
      <c r="I16032" s="1245"/>
    </row>
    <row r="16033" spans="8:9">
      <c r="H16033" s="1245"/>
      <c r="I16033" s="1245"/>
    </row>
    <row r="16034" spans="8:9">
      <c r="H16034" s="1245"/>
      <c r="I16034" s="1245"/>
    </row>
    <row r="16035" spans="8:9">
      <c r="H16035" s="1245"/>
      <c r="I16035" s="1245"/>
    </row>
    <row r="16036" spans="8:9">
      <c r="H16036" s="1245"/>
      <c r="I16036" s="1245"/>
    </row>
    <row r="16037" spans="8:9">
      <c r="H16037" s="1245"/>
      <c r="I16037" s="1245"/>
    </row>
    <row r="16038" spans="8:9">
      <c r="H16038" s="1245"/>
      <c r="I16038" s="1245"/>
    </row>
    <row r="16039" spans="8:9">
      <c r="H16039" s="1245"/>
      <c r="I16039" s="1245"/>
    </row>
    <row r="16040" spans="8:9">
      <c r="H16040" s="1245"/>
      <c r="I16040" s="1245"/>
    </row>
    <row r="16041" spans="8:9">
      <c r="H16041" s="1245"/>
      <c r="I16041" s="1245"/>
    </row>
    <row r="16042" spans="8:9">
      <c r="H16042" s="1245"/>
      <c r="I16042" s="1245"/>
    </row>
    <row r="16043" spans="8:9">
      <c r="H16043" s="1245"/>
      <c r="I16043" s="1245"/>
    </row>
    <row r="16044" spans="8:9">
      <c r="H16044" s="1245"/>
      <c r="I16044" s="1245"/>
    </row>
    <row r="16045" spans="8:9">
      <c r="H16045" s="1245"/>
      <c r="I16045" s="1245"/>
    </row>
    <row r="16046" spans="8:9">
      <c r="H16046" s="1245"/>
      <c r="I16046" s="1245"/>
    </row>
    <row r="16047" spans="8:9">
      <c r="H16047" s="1245"/>
      <c r="I16047" s="1245"/>
    </row>
    <row r="16048" spans="8:9">
      <c r="H16048" s="1245"/>
      <c r="I16048" s="1245"/>
    </row>
    <row r="16049" spans="8:9">
      <c r="H16049" s="1245"/>
      <c r="I16049" s="1245"/>
    </row>
    <row r="16050" spans="8:9">
      <c r="H16050" s="1245"/>
      <c r="I16050" s="1245"/>
    </row>
    <row r="16051" spans="8:9">
      <c r="H16051" s="1245"/>
      <c r="I16051" s="1245"/>
    </row>
    <row r="16052" spans="8:9">
      <c r="H16052" s="1245"/>
      <c r="I16052" s="1245"/>
    </row>
    <row r="16053" spans="8:9">
      <c r="H16053" s="1245"/>
      <c r="I16053" s="1245"/>
    </row>
    <row r="16054" spans="8:9">
      <c r="H16054" s="1245"/>
      <c r="I16054" s="1245"/>
    </row>
    <row r="16055" spans="8:9">
      <c r="H16055" s="1245"/>
      <c r="I16055" s="1245"/>
    </row>
    <row r="16056" spans="8:9">
      <c r="H16056" s="1245"/>
      <c r="I16056" s="1245"/>
    </row>
    <row r="16057" spans="8:9">
      <c r="H16057" s="1245"/>
      <c r="I16057" s="1245"/>
    </row>
    <row r="16058" spans="8:9">
      <c r="H16058" s="1245"/>
      <c r="I16058" s="1245"/>
    </row>
    <row r="16059" spans="8:9">
      <c r="H16059" s="1245"/>
      <c r="I16059" s="1245"/>
    </row>
    <row r="16060" spans="8:9">
      <c r="H16060" s="1245"/>
      <c r="I16060" s="1245"/>
    </row>
    <row r="16061" spans="8:9">
      <c r="H16061" s="1245"/>
      <c r="I16061" s="1245"/>
    </row>
    <row r="16062" spans="8:9">
      <c r="H16062" s="1245"/>
      <c r="I16062" s="1245"/>
    </row>
    <row r="16063" spans="8:9">
      <c r="H16063" s="1245"/>
      <c r="I16063" s="1245"/>
    </row>
    <row r="16064" spans="8:9">
      <c r="H16064" s="1245"/>
      <c r="I16064" s="1245"/>
    </row>
    <row r="16065" spans="8:9">
      <c r="H16065" s="1245"/>
      <c r="I16065" s="1245"/>
    </row>
    <row r="16066" spans="8:9">
      <c r="H16066" s="1245"/>
      <c r="I16066" s="1245"/>
    </row>
    <row r="16067" spans="8:9">
      <c r="H16067" s="1245"/>
      <c r="I16067" s="1245"/>
    </row>
    <row r="16068" spans="8:9">
      <c r="H16068" s="1245"/>
      <c r="I16068" s="1245"/>
    </row>
    <row r="16069" spans="8:9">
      <c r="H16069" s="1245"/>
      <c r="I16069" s="1245"/>
    </row>
    <row r="16070" spans="8:9">
      <c r="H16070" s="1245"/>
      <c r="I16070" s="1245"/>
    </row>
    <row r="16071" spans="8:9">
      <c r="H16071" s="1245"/>
      <c r="I16071" s="1245"/>
    </row>
    <row r="16072" spans="8:9">
      <c r="H16072" s="1245"/>
      <c r="I16072" s="1245"/>
    </row>
    <row r="16073" spans="8:9">
      <c r="H16073" s="1245"/>
      <c r="I16073" s="1245"/>
    </row>
    <row r="16074" spans="8:9">
      <c r="H16074" s="1245"/>
      <c r="I16074" s="1245"/>
    </row>
    <row r="16075" spans="8:9">
      <c r="H16075" s="1245"/>
      <c r="I16075" s="1245"/>
    </row>
    <row r="16076" spans="8:9">
      <c r="H16076" s="1245"/>
      <c r="I16076" s="1245"/>
    </row>
    <row r="16077" spans="8:9">
      <c r="H16077" s="1245"/>
      <c r="I16077" s="1245"/>
    </row>
    <row r="16078" spans="8:9">
      <c r="H16078" s="1245"/>
      <c r="I16078" s="1245"/>
    </row>
    <row r="16079" spans="8:9">
      <c r="H16079" s="1245"/>
      <c r="I16079" s="1245"/>
    </row>
    <row r="16080" spans="8:9">
      <c r="H16080" s="1245"/>
      <c r="I16080" s="1245"/>
    </row>
    <row r="16081" spans="8:9">
      <c r="H16081" s="1245"/>
      <c r="I16081" s="1245"/>
    </row>
    <row r="16082" spans="8:9">
      <c r="H16082" s="1245"/>
      <c r="I16082" s="1245"/>
    </row>
    <row r="16083" spans="8:9">
      <c r="H16083" s="1245"/>
      <c r="I16083" s="1245"/>
    </row>
    <row r="16084" spans="8:9">
      <c r="H16084" s="1245"/>
      <c r="I16084" s="1245"/>
    </row>
    <row r="16085" spans="8:9">
      <c r="H16085" s="1245"/>
      <c r="I16085" s="1245"/>
    </row>
    <row r="16086" spans="8:9">
      <c r="H16086" s="1245"/>
      <c r="I16086" s="1245"/>
    </row>
    <row r="16087" spans="8:9">
      <c r="H16087" s="1245"/>
      <c r="I16087" s="1245"/>
    </row>
    <row r="16088" spans="8:9">
      <c r="H16088" s="1245"/>
      <c r="I16088" s="1245"/>
    </row>
    <row r="16089" spans="8:9">
      <c r="H16089" s="1245"/>
      <c r="I16089" s="1245"/>
    </row>
    <row r="16090" spans="8:9">
      <c r="H16090" s="1245"/>
      <c r="I16090" s="1245"/>
    </row>
    <row r="16091" spans="8:9">
      <c r="H16091" s="1245"/>
      <c r="I16091" s="1245"/>
    </row>
    <row r="16092" spans="8:9">
      <c r="H16092" s="1245"/>
      <c r="I16092" s="1245"/>
    </row>
    <row r="16093" spans="8:9">
      <c r="H16093" s="1245"/>
      <c r="I16093" s="1245"/>
    </row>
    <row r="16094" spans="8:9">
      <c r="H16094" s="1245"/>
      <c r="I16094" s="1245"/>
    </row>
    <row r="16095" spans="8:9">
      <c r="H16095" s="1245"/>
      <c r="I16095" s="1245"/>
    </row>
    <row r="16096" spans="8:9">
      <c r="H16096" s="1245"/>
      <c r="I16096" s="1245"/>
    </row>
    <row r="16097" spans="8:9">
      <c r="H16097" s="1245"/>
      <c r="I16097" s="1245"/>
    </row>
    <row r="16098" spans="8:9">
      <c r="H16098" s="1245"/>
      <c r="I16098" s="1245"/>
    </row>
    <row r="16099" spans="8:9">
      <c r="H16099" s="1245"/>
      <c r="I16099" s="1245"/>
    </row>
    <row r="16100" spans="8:9">
      <c r="H16100" s="1245"/>
      <c r="I16100" s="1245"/>
    </row>
    <row r="16101" spans="8:9">
      <c r="H16101" s="1245"/>
      <c r="I16101" s="1245"/>
    </row>
    <row r="16102" spans="8:9">
      <c r="H16102" s="1245"/>
      <c r="I16102" s="1245"/>
    </row>
    <row r="16103" spans="8:9">
      <c r="H16103" s="1245"/>
      <c r="I16103" s="1245"/>
    </row>
    <row r="16104" spans="8:9">
      <c r="H16104" s="1245"/>
      <c r="I16104" s="1245"/>
    </row>
    <row r="16105" spans="8:9">
      <c r="H16105" s="1245"/>
      <c r="I16105" s="1245"/>
    </row>
    <row r="16106" spans="8:9">
      <c r="H16106" s="1245"/>
      <c r="I16106" s="1245"/>
    </row>
    <row r="16107" spans="8:9">
      <c r="H16107" s="1245"/>
      <c r="I16107" s="1245"/>
    </row>
    <row r="16108" spans="8:9">
      <c r="H16108" s="1245"/>
      <c r="I16108" s="1245"/>
    </row>
    <row r="16109" spans="8:9">
      <c r="H16109" s="1245"/>
      <c r="I16109" s="1245"/>
    </row>
    <row r="16110" spans="8:9">
      <c r="H16110" s="1245"/>
      <c r="I16110" s="1245"/>
    </row>
    <row r="16111" spans="8:9">
      <c r="H16111" s="1245"/>
      <c r="I16111" s="1245"/>
    </row>
    <row r="16112" spans="8:9">
      <c r="H16112" s="1245"/>
      <c r="I16112" s="1245"/>
    </row>
    <row r="16113" spans="8:9">
      <c r="H16113" s="1245"/>
      <c r="I16113" s="1245"/>
    </row>
    <row r="16114" spans="8:9">
      <c r="H16114" s="1245"/>
      <c r="I16114" s="1245"/>
    </row>
    <row r="16115" spans="8:9">
      <c r="H16115" s="1245"/>
      <c r="I16115" s="1245"/>
    </row>
    <row r="16116" spans="8:9">
      <c r="H16116" s="1245"/>
      <c r="I16116" s="1245"/>
    </row>
    <row r="16117" spans="8:9">
      <c r="H16117" s="1245"/>
      <c r="I16117" s="1245"/>
    </row>
    <row r="16118" spans="8:9">
      <c r="H16118" s="1245"/>
      <c r="I16118" s="1245"/>
    </row>
    <row r="16119" spans="8:9">
      <c r="H16119" s="1245"/>
      <c r="I16119" s="1245"/>
    </row>
    <row r="16120" spans="8:9">
      <c r="H16120" s="1245"/>
      <c r="I16120" s="1245"/>
    </row>
    <row r="16121" spans="8:9">
      <c r="H16121" s="1245"/>
      <c r="I16121" s="1245"/>
    </row>
    <row r="16122" spans="8:9">
      <c r="H16122" s="1245"/>
      <c r="I16122" s="1245"/>
    </row>
    <row r="16123" spans="8:9">
      <c r="H16123" s="1245"/>
      <c r="I16123" s="1245"/>
    </row>
    <row r="16124" spans="8:9">
      <c r="H16124" s="1245"/>
      <c r="I16124" s="1245"/>
    </row>
    <row r="16125" spans="8:9">
      <c r="H16125" s="1245"/>
      <c r="I16125" s="1245"/>
    </row>
    <row r="16126" spans="8:9">
      <c r="H16126" s="1245"/>
      <c r="I16126" s="1245"/>
    </row>
    <row r="16127" spans="8:9">
      <c r="H16127" s="1245"/>
      <c r="I16127" s="1245"/>
    </row>
    <row r="16128" spans="8:9">
      <c r="H16128" s="1245"/>
      <c r="I16128" s="1245"/>
    </row>
    <row r="16129" spans="8:9">
      <c r="H16129" s="1245"/>
      <c r="I16129" s="1245"/>
    </row>
    <row r="16130" spans="8:9">
      <c r="H16130" s="1245"/>
      <c r="I16130" s="1245"/>
    </row>
    <row r="16131" spans="8:9">
      <c r="H16131" s="1245"/>
      <c r="I16131" s="1245"/>
    </row>
    <row r="16132" spans="8:9">
      <c r="H16132" s="1245"/>
      <c r="I16132" s="1245"/>
    </row>
    <row r="16133" spans="8:9">
      <c r="H16133" s="1245"/>
      <c r="I16133" s="1245"/>
    </row>
    <row r="16134" spans="8:9">
      <c r="H16134" s="1245"/>
      <c r="I16134" s="1245"/>
    </row>
    <row r="16135" spans="8:9">
      <c r="H16135" s="1245"/>
      <c r="I16135" s="1245"/>
    </row>
    <row r="16136" spans="8:9">
      <c r="H16136" s="1245"/>
      <c r="I16136" s="1245"/>
    </row>
    <row r="16137" spans="8:9">
      <c r="H16137" s="1245"/>
      <c r="I16137" s="1245"/>
    </row>
    <row r="16138" spans="8:9">
      <c r="H16138" s="1245"/>
      <c r="I16138" s="1245"/>
    </row>
    <row r="16139" spans="8:9">
      <c r="H16139" s="1245"/>
      <c r="I16139" s="1245"/>
    </row>
    <row r="16140" spans="8:9">
      <c r="H16140" s="1245"/>
      <c r="I16140" s="1245"/>
    </row>
    <row r="16141" spans="8:9">
      <c r="H16141" s="1245"/>
      <c r="I16141" s="1245"/>
    </row>
    <row r="16142" spans="8:9">
      <c r="H16142" s="1245"/>
      <c r="I16142" s="1245"/>
    </row>
    <row r="16143" spans="8:9">
      <c r="H16143" s="1245"/>
      <c r="I16143" s="1245"/>
    </row>
    <row r="16144" spans="8:9">
      <c r="H16144" s="1245"/>
      <c r="I16144" s="1245"/>
    </row>
    <row r="16145" spans="8:9">
      <c r="H16145" s="1245"/>
      <c r="I16145" s="1245"/>
    </row>
    <row r="16146" spans="8:9">
      <c r="H16146" s="1245"/>
      <c r="I16146" s="1245"/>
    </row>
    <row r="16147" spans="8:9">
      <c r="H16147" s="1245"/>
      <c r="I16147" s="1245"/>
    </row>
    <row r="16148" spans="8:9">
      <c r="H16148" s="1245"/>
      <c r="I16148" s="1245"/>
    </row>
    <row r="16149" spans="8:9">
      <c r="H16149" s="1245"/>
      <c r="I16149" s="1245"/>
    </row>
    <row r="16150" spans="8:9">
      <c r="H16150" s="1245"/>
      <c r="I16150" s="1245"/>
    </row>
    <row r="16151" spans="8:9">
      <c r="H16151" s="1245"/>
      <c r="I16151" s="1245"/>
    </row>
    <row r="16152" spans="8:9">
      <c r="H16152" s="1245"/>
      <c r="I16152" s="1245"/>
    </row>
    <row r="16153" spans="8:9">
      <c r="H16153" s="1245"/>
      <c r="I16153" s="1245"/>
    </row>
    <row r="16154" spans="8:9">
      <c r="H16154" s="1245"/>
      <c r="I16154" s="1245"/>
    </row>
    <row r="16155" spans="8:9">
      <c r="H16155" s="1245"/>
      <c r="I16155" s="1245"/>
    </row>
    <row r="16156" spans="8:9">
      <c r="H16156" s="1245"/>
      <c r="I16156" s="1245"/>
    </row>
    <row r="16157" spans="8:9">
      <c r="H16157" s="1245"/>
      <c r="I16157" s="1245"/>
    </row>
    <row r="16158" spans="8:9">
      <c r="H16158" s="1245"/>
      <c r="I16158" s="1245"/>
    </row>
    <row r="16159" spans="8:9">
      <c r="H16159" s="1245"/>
      <c r="I16159" s="1245"/>
    </row>
    <row r="16160" spans="8:9">
      <c r="H16160" s="1245"/>
      <c r="I16160" s="1245"/>
    </row>
    <row r="16161" spans="8:9">
      <c r="H16161" s="1245"/>
      <c r="I16161" s="1245"/>
    </row>
    <row r="16162" spans="8:9">
      <c r="H16162" s="1245"/>
      <c r="I16162" s="1245"/>
    </row>
    <row r="16163" spans="8:9">
      <c r="H16163" s="1245"/>
      <c r="I16163" s="1245"/>
    </row>
    <row r="16164" spans="8:9">
      <c r="H16164" s="1245"/>
      <c r="I16164" s="1245"/>
    </row>
    <row r="16165" spans="8:9">
      <c r="H16165" s="1245"/>
      <c r="I16165" s="1245"/>
    </row>
    <row r="16166" spans="8:9">
      <c r="H16166" s="1245"/>
      <c r="I16166" s="1245"/>
    </row>
    <row r="16167" spans="8:9">
      <c r="H16167" s="1245"/>
      <c r="I16167" s="1245"/>
    </row>
    <row r="16168" spans="8:9">
      <c r="H16168" s="1245"/>
      <c r="I16168" s="1245"/>
    </row>
    <row r="16169" spans="8:9">
      <c r="H16169" s="1245"/>
      <c r="I16169" s="1245"/>
    </row>
    <row r="16170" spans="8:9">
      <c r="H16170" s="1245"/>
      <c r="I16170" s="1245"/>
    </row>
    <row r="16171" spans="8:9">
      <c r="H16171" s="1245"/>
      <c r="I16171" s="1245"/>
    </row>
    <row r="16172" spans="8:9">
      <c r="H16172" s="1245"/>
      <c r="I16172" s="1245"/>
    </row>
    <row r="16173" spans="8:9">
      <c r="H16173" s="1245"/>
      <c r="I16173" s="1245"/>
    </row>
    <row r="16174" spans="8:9">
      <c r="H16174" s="1245"/>
      <c r="I16174" s="1245"/>
    </row>
    <row r="16175" spans="8:9">
      <c r="H16175" s="1245"/>
      <c r="I16175" s="1245"/>
    </row>
    <row r="16176" spans="8:9">
      <c r="H16176" s="1245"/>
      <c r="I16176" s="1245"/>
    </row>
    <row r="16177" spans="8:9">
      <c r="H16177" s="1245"/>
      <c r="I16177" s="1245"/>
    </row>
    <row r="16178" spans="8:9">
      <c r="H16178" s="1245"/>
      <c r="I16178" s="1245"/>
    </row>
    <row r="16179" spans="8:9">
      <c r="H16179" s="1245"/>
      <c r="I16179" s="1245"/>
    </row>
    <row r="16180" spans="8:9">
      <c r="H16180" s="1245"/>
      <c r="I16180" s="1245"/>
    </row>
    <row r="16181" spans="8:9">
      <c r="H16181" s="1245"/>
      <c r="I16181" s="1245"/>
    </row>
    <row r="16182" spans="8:9">
      <c r="H16182" s="1245"/>
      <c r="I16182" s="1245"/>
    </row>
    <row r="16183" spans="8:9">
      <c r="H16183" s="1245"/>
      <c r="I16183" s="1245"/>
    </row>
    <row r="16184" spans="8:9">
      <c r="H16184" s="1245"/>
      <c r="I16184" s="1245"/>
    </row>
    <row r="16185" spans="8:9">
      <c r="H16185" s="1245"/>
      <c r="I16185" s="1245"/>
    </row>
    <row r="16186" spans="8:9">
      <c r="H16186" s="1245"/>
      <c r="I16186" s="1245"/>
    </row>
    <row r="16187" spans="8:9">
      <c r="H16187" s="1245"/>
      <c r="I16187" s="1245"/>
    </row>
    <row r="16188" spans="8:9">
      <c r="H16188" s="1245"/>
      <c r="I16188" s="1245"/>
    </row>
    <row r="16189" spans="8:9">
      <c r="H16189" s="1245"/>
      <c r="I16189" s="1245"/>
    </row>
    <row r="16190" spans="8:9">
      <c r="H16190" s="1245"/>
      <c r="I16190" s="1245"/>
    </row>
    <row r="16191" spans="8:9">
      <c r="H16191" s="1245"/>
      <c r="I16191" s="1245"/>
    </row>
    <row r="16192" spans="8:9">
      <c r="H16192" s="1245"/>
      <c r="I16192" s="1245"/>
    </row>
    <row r="16193" spans="8:9">
      <c r="H16193" s="1245"/>
      <c r="I16193" s="1245"/>
    </row>
    <row r="16194" spans="8:9">
      <c r="H16194" s="1245"/>
      <c r="I16194" s="1245"/>
    </row>
    <row r="16195" spans="8:9">
      <c r="H16195" s="1245"/>
      <c r="I16195" s="1245"/>
    </row>
    <row r="16196" spans="8:9">
      <c r="H16196" s="1245"/>
      <c r="I16196" s="1245"/>
    </row>
    <row r="16197" spans="8:9">
      <c r="H16197" s="1245"/>
      <c r="I16197" s="1245"/>
    </row>
    <row r="16198" spans="8:9">
      <c r="H16198" s="1245"/>
      <c r="I16198" s="1245"/>
    </row>
    <row r="16199" spans="8:9">
      <c r="H16199" s="1245"/>
      <c r="I16199" s="1245"/>
    </row>
    <row r="16200" spans="8:9">
      <c r="H16200" s="1245"/>
      <c r="I16200" s="1245"/>
    </row>
    <row r="16201" spans="8:9">
      <c r="H16201" s="1245"/>
      <c r="I16201" s="1245"/>
    </row>
    <row r="16202" spans="8:9">
      <c r="H16202" s="1245"/>
      <c r="I16202" s="1245"/>
    </row>
    <row r="16203" spans="8:9">
      <c r="H16203" s="1245"/>
      <c r="I16203" s="1245"/>
    </row>
    <row r="16204" spans="8:9">
      <c r="H16204" s="1245"/>
      <c r="I16204" s="1245"/>
    </row>
    <row r="16205" spans="8:9">
      <c r="H16205" s="1245"/>
      <c r="I16205" s="1245"/>
    </row>
    <row r="16206" spans="8:9">
      <c r="H16206" s="1245"/>
      <c r="I16206" s="1245"/>
    </row>
    <row r="16207" spans="8:9">
      <c r="H16207" s="1245"/>
      <c r="I16207" s="1245"/>
    </row>
    <row r="16208" spans="8:9">
      <c r="H16208" s="1245"/>
      <c r="I16208" s="1245"/>
    </row>
    <row r="16209" spans="8:9">
      <c r="H16209" s="1245"/>
      <c r="I16209" s="1245"/>
    </row>
    <row r="16210" spans="8:9">
      <c r="H16210" s="1245"/>
      <c r="I16210" s="1245"/>
    </row>
    <row r="16211" spans="8:9">
      <c r="H16211" s="1245"/>
      <c r="I16211" s="1245"/>
    </row>
    <row r="16212" spans="8:9">
      <c r="H16212" s="1245"/>
      <c r="I16212" s="1245"/>
    </row>
    <row r="16213" spans="8:9">
      <c r="H16213" s="1245"/>
      <c r="I16213" s="1245"/>
    </row>
    <row r="16214" spans="8:9">
      <c r="H16214" s="1245"/>
      <c r="I16214" s="1245"/>
    </row>
    <row r="16215" spans="8:9">
      <c r="H16215" s="1245"/>
      <c r="I16215" s="1245"/>
    </row>
    <row r="16216" spans="8:9">
      <c r="H16216" s="1245"/>
      <c r="I16216" s="1245"/>
    </row>
    <row r="16217" spans="8:9">
      <c r="H16217" s="1245"/>
      <c r="I16217" s="1245"/>
    </row>
    <row r="16218" spans="8:9">
      <c r="H16218" s="1245"/>
      <c r="I16218" s="1245"/>
    </row>
    <row r="16219" spans="8:9">
      <c r="H16219" s="1245"/>
      <c r="I16219" s="1245"/>
    </row>
    <row r="16220" spans="8:9">
      <c r="H16220" s="1245"/>
      <c r="I16220" s="1245"/>
    </row>
    <row r="16221" spans="8:9">
      <c r="H16221" s="1245"/>
      <c r="I16221" s="1245"/>
    </row>
    <row r="16222" spans="8:9">
      <c r="H16222" s="1245"/>
      <c r="I16222" s="1245"/>
    </row>
    <row r="16223" spans="8:9">
      <c r="H16223" s="1245"/>
      <c r="I16223" s="1245"/>
    </row>
    <row r="16224" spans="8:9">
      <c r="H16224" s="1245"/>
      <c r="I16224" s="1245"/>
    </row>
    <row r="16225" spans="8:9">
      <c r="H16225" s="1245"/>
      <c r="I16225" s="1245"/>
    </row>
    <row r="16226" spans="8:9">
      <c r="H16226" s="1245"/>
      <c r="I16226" s="1245"/>
    </row>
    <row r="16227" spans="8:9">
      <c r="H16227" s="1245"/>
      <c r="I16227" s="1245"/>
    </row>
    <row r="16228" spans="8:9">
      <c r="H16228" s="1245"/>
      <c r="I16228" s="1245"/>
    </row>
    <row r="16229" spans="8:9">
      <c r="H16229" s="1245"/>
      <c r="I16229" s="1245"/>
    </row>
    <row r="16230" spans="8:9">
      <c r="H16230" s="1245"/>
      <c r="I16230" s="1245"/>
    </row>
    <row r="16231" spans="8:9">
      <c r="H16231" s="1245"/>
      <c r="I16231" s="1245"/>
    </row>
    <row r="16232" spans="8:9">
      <c r="H16232" s="1245"/>
      <c r="I16232" s="1245"/>
    </row>
    <row r="16233" spans="8:9">
      <c r="H16233" s="1245"/>
      <c r="I16233" s="1245"/>
    </row>
    <row r="16234" spans="8:9">
      <c r="H16234" s="1245"/>
      <c r="I16234" s="1245"/>
    </row>
    <row r="16235" spans="8:9">
      <c r="H16235" s="1245"/>
      <c r="I16235" s="1245"/>
    </row>
    <row r="16236" spans="8:9">
      <c r="H16236" s="1245"/>
      <c r="I16236" s="1245"/>
    </row>
    <row r="16237" spans="8:9">
      <c r="H16237" s="1245"/>
      <c r="I16237" s="1245"/>
    </row>
    <row r="16238" spans="8:9">
      <c r="H16238" s="1245"/>
      <c r="I16238" s="1245"/>
    </row>
    <row r="16239" spans="8:9">
      <c r="H16239" s="1245"/>
      <c r="I16239" s="1245"/>
    </row>
    <row r="16240" spans="8:9">
      <c r="H16240" s="1245"/>
      <c r="I16240" s="1245"/>
    </row>
    <row r="16241" spans="8:9">
      <c r="H16241" s="1245"/>
      <c r="I16241" s="1245"/>
    </row>
    <row r="16242" spans="8:9">
      <c r="H16242" s="1245"/>
      <c r="I16242" s="1245"/>
    </row>
    <row r="16243" spans="8:9">
      <c r="H16243" s="1245"/>
      <c r="I16243" s="1245"/>
    </row>
    <row r="16244" spans="8:9">
      <c r="H16244" s="1245"/>
      <c r="I16244" s="1245"/>
    </row>
    <row r="16245" spans="8:9">
      <c r="H16245" s="1245"/>
      <c r="I16245" s="1245"/>
    </row>
    <row r="16246" spans="8:9">
      <c r="H16246" s="1245"/>
      <c r="I16246" s="1245"/>
    </row>
    <row r="16247" spans="8:9">
      <c r="H16247" s="1245"/>
      <c r="I16247" s="1245"/>
    </row>
    <row r="16248" spans="8:9">
      <c r="H16248" s="1245"/>
      <c r="I16248" s="1245"/>
    </row>
    <row r="16249" spans="8:9">
      <c r="H16249" s="1245"/>
      <c r="I16249" s="1245"/>
    </row>
    <row r="16250" spans="8:9">
      <c r="H16250" s="1245"/>
      <c r="I16250" s="1245"/>
    </row>
    <row r="16251" spans="8:9">
      <c r="H16251" s="1245"/>
      <c r="I16251" s="1245"/>
    </row>
    <row r="16252" spans="8:9">
      <c r="H16252" s="1245"/>
      <c r="I16252" s="1245"/>
    </row>
    <row r="16253" spans="8:9">
      <c r="H16253" s="1245"/>
      <c r="I16253" s="1245"/>
    </row>
    <row r="16254" spans="8:9">
      <c r="H16254" s="1245"/>
      <c r="I16254" s="1245"/>
    </row>
    <row r="16255" spans="8:9">
      <c r="H16255" s="1245"/>
      <c r="I16255" s="1245"/>
    </row>
    <row r="16256" spans="8:9">
      <c r="H16256" s="1245"/>
      <c r="I16256" s="1245"/>
    </row>
    <row r="16257" spans="8:9">
      <c r="H16257" s="1245"/>
      <c r="I16257" s="1245"/>
    </row>
    <row r="16258" spans="8:9">
      <c r="H16258" s="1245"/>
      <c r="I16258" s="1245"/>
    </row>
    <row r="16259" spans="8:9">
      <c r="H16259" s="1245"/>
      <c r="I16259" s="1245"/>
    </row>
    <row r="16260" spans="8:9">
      <c r="H16260" s="1245"/>
      <c r="I16260" s="1245"/>
    </row>
    <row r="16261" spans="8:9">
      <c r="H16261" s="1245"/>
      <c r="I16261" s="1245"/>
    </row>
    <row r="16262" spans="8:9">
      <c r="H16262" s="1245"/>
      <c r="I16262" s="1245"/>
    </row>
    <row r="16263" spans="8:9">
      <c r="H16263" s="1245"/>
      <c r="I16263" s="1245"/>
    </row>
    <row r="16264" spans="8:9">
      <c r="H16264" s="1245"/>
      <c r="I16264" s="1245"/>
    </row>
    <row r="16265" spans="8:9">
      <c r="H16265" s="1245"/>
      <c r="I16265" s="1245"/>
    </row>
    <row r="16266" spans="8:9">
      <c r="H16266" s="1245"/>
      <c r="I16266" s="1245"/>
    </row>
    <row r="16267" spans="8:9">
      <c r="H16267" s="1245"/>
      <c r="I16267" s="1245"/>
    </row>
    <row r="16268" spans="8:9">
      <c r="H16268" s="1245"/>
      <c r="I16268" s="1245"/>
    </row>
    <row r="16269" spans="8:9">
      <c r="H16269" s="1245"/>
      <c r="I16269" s="1245"/>
    </row>
    <row r="16270" spans="8:9">
      <c r="H16270" s="1245"/>
      <c r="I16270" s="1245"/>
    </row>
    <row r="16271" spans="8:9">
      <c r="H16271" s="1245"/>
      <c r="I16271" s="1245"/>
    </row>
    <row r="16272" spans="8:9">
      <c r="H16272" s="1245"/>
      <c r="I16272" s="1245"/>
    </row>
    <row r="16273" spans="8:9">
      <c r="H16273" s="1245"/>
      <c r="I16273" s="1245"/>
    </row>
    <row r="16274" spans="8:9">
      <c r="H16274" s="1245"/>
      <c r="I16274" s="1245"/>
    </row>
    <row r="16275" spans="8:9">
      <c r="H16275" s="1245"/>
      <c r="I16275" s="1245"/>
    </row>
    <row r="16276" spans="8:9">
      <c r="H16276" s="1245"/>
      <c r="I16276" s="1245"/>
    </row>
    <row r="16277" spans="8:9">
      <c r="H16277" s="1245"/>
      <c r="I16277" s="1245"/>
    </row>
    <row r="16278" spans="8:9">
      <c r="H16278" s="1245"/>
      <c r="I16278" s="1245"/>
    </row>
    <row r="16279" spans="8:9">
      <c r="H16279" s="1245"/>
      <c r="I16279" s="1245"/>
    </row>
    <row r="16280" spans="8:9">
      <c r="H16280" s="1245"/>
      <c r="I16280" s="1245"/>
    </row>
    <row r="16281" spans="8:9">
      <c r="H16281" s="1245"/>
      <c r="I16281" s="1245"/>
    </row>
    <row r="16282" spans="8:9">
      <c r="H16282" s="1245"/>
      <c r="I16282" s="1245"/>
    </row>
    <row r="16283" spans="8:9">
      <c r="H16283" s="1245"/>
      <c r="I16283" s="1245"/>
    </row>
    <row r="16284" spans="8:9">
      <c r="H16284" s="1245"/>
      <c r="I16284" s="1245"/>
    </row>
    <row r="16285" spans="8:9">
      <c r="H16285" s="1245"/>
      <c r="I16285" s="1245"/>
    </row>
    <row r="16286" spans="8:9">
      <c r="H16286" s="1245"/>
      <c r="I16286" s="1245"/>
    </row>
    <row r="16287" spans="8:9">
      <c r="H16287" s="1245"/>
      <c r="I16287" s="1245"/>
    </row>
    <row r="16288" spans="8:9">
      <c r="H16288" s="1245"/>
      <c r="I16288" s="1245"/>
    </row>
    <row r="16289" spans="8:9">
      <c r="H16289" s="1245"/>
      <c r="I16289" s="1245"/>
    </row>
    <row r="16290" spans="8:9">
      <c r="H16290" s="1245"/>
      <c r="I16290" s="1245"/>
    </row>
    <row r="16291" spans="8:9">
      <c r="H16291" s="1245"/>
      <c r="I16291" s="1245"/>
    </row>
    <row r="16292" spans="8:9">
      <c r="H16292" s="1245"/>
      <c r="I16292" s="1245"/>
    </row>
    <row r="16293" spans="8:9">
      <c r="H16293" s="1245"/>
      <c r="I16293" s="1245"/>
    </row>
    <row r="16294" spans="8:9">
      <c r="H16294" s="1245"/>
      <c r="I16294" s="1245"/>
    </row>
    <row r="16295" spans="8:9">
      <c r="H16295" s="1245"/>
      <c r="I16295" s="1245"/>
    </row>
    <row r="16296" spans="8:9">
      <c r="H16296" s="1245"/>
      <c r="I16296" s="1245"/>
    </row>
    <row r="16297" spans="8:9">
      <c r="H16297" s="1245"/>
      <c r="I16297" s="1245"/>
    </row>
    <row r="16298" spans="8:9">
      <c r="H16298" s="1245"/>
      <c r="I16298" s="1245"/>
    </row>
    <row r="16299" spans="8:9">
      <c r="H16299" s="1245"/>
      <c r="I16299" s="1245"/>
    </row>
    <row r="16300" spans="8:9">
      <c r="H16300" s="1245"/>
      <c r="I16300" s="1245"/>
    </row>
    <row r="16301" spans="8:9">
      <c r="H16301" s="1245"/>
      <c r="I16301" s="1245"/>
    </row>
    <row r="16302" spans="8:9">
      <c r="H16302" s="1245"/>
      <c r="I16302" s="1245"/>
    </row>
    <row r="16303" spans="8:9">
      <c r="H16303" s="1245"/>
      <c r="I16303" s="1245"/>
    </row>
    <row r="16304" spans="8:9">
      <c r="H16304" s="1245"/>
      <c r="I16304" s="1245"/>
    </row>
    <row r="16305" spans="8:9">
      <c r="H16305" s="1245"/>
      <c r="I16305" s="1245"/>
    </row>
    <row r="16306" spans="8:9">
      <c r="H16306" s="1245"/>
      <c r="I16306" s="1245"/>
    </row>
    <row r="16307" spans="8:9">
      <c r="H16307" s="1245"/>
      <c r="I16307" s="1245"/>
    </row>
    <row r="16308" spans="8:9">
      <c r="H16308" s="1245"/>
      <c r="I16308" s="1245"/>
    </row>
    <row r="16309" spans="8:9">
      <c r="H16309" s="1245"/>
      <c r="I16309" s="1245"/>
    </row>
    <row r="16310" spans="8:9">
      <c r="H16310" s="1245"/>
      <c r="I16310" s="1245"/>
    </row>
    <row r="16311" spans="8:9">
      <c r="H16311" s="1245"/>
      <c r="I16311" s="1245"/>
    </row>
    <row r="16312" spans="8:9">
      <c r="H16312" s="1245"/>
      <c r="I16312" s="1245"/>
    </row>
    <row r="16313" spans="8:9">
      <c r="H16313" s="1245"/>
      <c r="I16313" s="1245"/>
    </row>
    <row r="16314" spans="8:9">
      <c r="H16314" s="1245"/>
      <c r="I16314" s="1245"/>
    </row>
    <row r="16315" spans="8:9">
      <c r="H16315" s="1245"/>
      <c r="I16315" s="1245"/>
    </row>
    <row r="16316" spans="8:9">
      <c r="H16316" s="1245"/>
      <c r="I16316" s="1245"/>
    </row>
    <row r="16317" spans="8:9">
      <c r="H16317" s="1245"/>
      <c r="I16317" s="1245"/>
    </row>
    <row r="16318" spans="8:9">
      <c r="H16318" s="1245"/>
      <c r="I16318" s="1245"/>
    </row>
    <row r="16319" spans="8:9">
      <c r="H16319" s="1245"/>
      <c r="I16319" s="1245"/>
    </row>
    <row r="16320" spans="8:9">
      <c r="H16320" s="1245"/>
      <c r="I16320" s="1245"/>
    </row>
    <row r="16321" spans="8:9">
      <c r="H16321" s="1245"/>
      <c r="I16321" s="1245"/>
    </row>
    <row r="16322" spans="8:9">
      <c r="H16322" s="1245"/>
      <c r="I16322" s="1245"/>
    </row>
    <row r="16323" spans="8:9">
      <c r="H16323" s="1245"/>
      <c r="I16323" s="1245"/>
    </row>
    <row r="16324" spans="8:9">
      <c r="H16324" s="1245"/>
      <c r="I16324" s="1245"/>
    </row>
    <row r="16325" spans="8:9">
      <c r="H16325" s="1245"/>
      <c r="I16325" s="1245"/>
    </row>
    <row r="16326" spans="8:9">
      <c r="H16326" s="1245"/>
      <c r="I16326" s="1245"/>
    </row>
    <row r="16327" spans="8:9">
      <c r="H16327" s="1245"/>
      <c r="I16327" s="1245"/>
    </row>
    <row r="16328" spans="8:9">
      <c r="H16328" s="1245"/>
      <c r="I16328" s="1245"/>
    </row>
    <row r="16329" spans="8:9">
      <c r="H16329" s="1245"/>
      <c r="I16329" s="1245"/>
    </row>
    <row r="16330" spans="8:9">
      <c r="H16330" s="1245"/>
      <c r="I16330" s="1245"/>
    </row>
    <row r="16331" spans="8:9">
      <c r="H16331" s="1245"/>
      <c r="I16331" s="1245"/>
    </row>
    <row r="16332" spans="8:9">
      <c r="H16332" s="1245"/>
      <c r="I16332" s="1245"/>
    </row>
    <row r="16333" spans="8:9">
      <c r="H16333" s="1245"/>
      <c r="I16333" s="1245"/>
    </row>
    <row r="16334" spans="8:9">
      <c r="H16334" s="1245"/>
      <c r="I16334" s="1245"/>
    </row>
    <row r="16335" spans="8:9">
      <c r="H16335" s="1245"/>
      <c r="I16335" s="1245"/>
    </row>
    <row r="16336" spans="8:9">
      <c r="H16336" s="1245"/>
      <c r="I16336" s="1245"/>
    </row>
    <row r="16337" spans="8:9">
      <c r="H16337" s="1245"/>
      <c r="I16337" s="1245"/>
    </row>
    <row r="16338" spans="8:9">
      <c r="H16338" s="1245"/>
      <c r="I16338" s="1245"/>
    </row>
    <row r="16339" spans="8:9">
      <c r="H16339" s="1245"/>
      <c r="I16339" s="1245"/>
    </row>
    <row r="16340" spans="8:9">
      <c r="H16340" s="1245"/>
      <c r="I16340" s="1245"/>
    </row>
    <row r="16341" spans="8:9">
      <c r="H16341" s="1245"/>
      <c r="I16341" s="1245"/>
    </row>
    <row r="16342" spans="8:9">
      <c r="H16342" s="1245"/>
      <c r="I16342" s="1245"/>
    </row>
    <row r="16343" spans="8:9">
      <c r="H16343" s="1245"/>
      <c r="I16343" s="1245"/>
    </row>
    <row r="16344" spans="8:9">
      <c r="H16344" s="1245"/>
      <c r="I16344" s="1245"/>
    </row>
    <row r="16345" spans="8:9">
      <c r="H16345" s="1245"/>
      <c r="I16345" s="1245"/>
    </row>
    <row r="16346" spans="8:9">
      <c r="H16346" s="1245"/>
      <c r="I16346" s="1245"/>
    </row>
    <row r="16347" spans="8:9">
      <c r="H16347" s="1245"/>
      <c r="I16347" s="1245"/>
    </row>
    <row r="16348" spans="8:9">
      <c r="H16348" s="1245"/>
      <c r="I16348" s="1245"/>
    </row>
    <row r="16349" spans="8:9">
      <c r="H16349" s="1245"/>
      <c r="I16349" s="1245"/>
    </row>
    <row r="16350" spans="8:9">
      <c r="H16350" s="1245"/>
      <c r="I16350" s="1245"/>
    </row>
    <row r="16351" spans="8:9">
      <c r="H16351" s="1245"/>
      <c r="I16351" s="1245"/>
    </row>
    <row r="16352" spans="8:9">
      <c r="H16352" s="1245"/>
      <c r="I16352" s="1245"/>
    </row>
    <row r="16353" spans="8:9">
      <c r="H16353" s="1245"/>
      <c r="I16353" s="1245"/>
    </row>
    <row r="16354" spans="8:9">
      <c r="H16354" s="1245"/>
      <c r="I16354" s="1245"/>
    </row>
    <row r="16355" spans="8:9">
      <c r="H16355" s="1245"/>
      <c r="I16355" s="1245"/>
    </row>
    <row r="16356" spans="8:9">
      <c r="H16356" s="1245"/>
      <c r="I16356" s="1245"/>
    </row>
    <row r="16357" spans="8:9">
      <c r="H16357" s="1245"/>
      <c r="I16357" s="1245"/>
    </row>
    <row r="16358" spans="8:9">
      <c r="H16358" s="1245"/>
      <c r="I16358" s="1245"/>
    </row>
    <row r="16359" spans="8:9">
      <c r="H16359" s="1245"/>
      <c r="I16359" s="1245"/>
    </row>
    <row r="16360" spans="8:9">
      <c r="H16360" s="1245"/>
      <c r="I16360" s="1245"/>
    </row>
    <row r="16361" spans="8:9">
      <c r="H16361" s="1245"/>
      <c r="I16361" s="1245"/>
    </row>
    <row r="16362" spans="8:9">
      <c r="H16362" s="1245"/>
      <c r="I16362" s="1245"/>
    </row>
    <row r="16363" spans="8:9">
      <c r="H16363" s="1245"/>
      <c r="I16363" s="1245"/>
    </row>
    <row r="16364" spans="8:9">
      <c r="H16364" s="1245"/>
      <c r="I16364" s="1245"/>
    </row>
    <row r="16365" spans="8:9">
      <c r="H16365" s="1245"/>
      <c r="I16365" s="1245"/>
    </row>
    <row r="16366" spans="8:9">
      <c r="H16366" s="1245"/>
      <c r="I16366" s="1245"/>
    </row>
    <row r="16367" spans="8:9">
      <c r="H16367" s="1245"/>
      <c r="I16367" s="1245"/>
    </row>
    <row r="16368" spans="8:9">
      <c r="H16368" s="1245"/>
      <c r="I16368" s="1245"/>
    </row>
    <row r="16369" spans="8:9">
      <c r="H16369" s="1245"/>
      <c r="I16369" s="1245"/>
    </row>
    <row r="16370" spans="8:9">
      <c r="H16370" s="1245"/>
      <c r="I16370" s="1245"/>
    </row>
    <row r="16371" spans="8:9">
      <c r="H16371" s="1245"/>
      <c r="I16371" s="1245"/>
    </row>
    <row r="16372" spans="8:9">
      <c r="H16372" s="1245"/>
      <c r="I16372" s="1245"/>
    </row>
    <row r="16373" spans="8:9">
      <c r="H16373" s="1245"/>
      <c r="I16373" s="1245"/>
    </row>
    <row r="16374" spans="8:9">
      <c r="H16374" s="1245"/>
      <c r="I16374" s="1245"/>
    </row>
    <row r="16375" spans="8:9">
      <c r="H16375" s="1245"/>
      <c r="I16375" s="1245"/>
    </row>
    <row r="16376" spans="8:9">
      <c r="H16376" s="1245"/>
      <c r="I16376" s="1245"/>
    </row>
    <row r="16377" spans="8:9">
      <c r="H16377" s="1245"/>
      <c r="I16377" s="1245"/>
    </row>
    <row r="16378" spans="8:9">
      <c r="H16378" s="1245"/>
      <c r="I16378" s="1245"/>
    </row>
    <row r="16379" spans="8:9">
      <c r="H16379" s="1245"/>
      <c r="I16379" s="1245"/>
    </row>
    <row r="16380" spans="8:9">
      <c r="H16380" s="1245"/>
      <c r="I16380" s="1245"/>
    </row>
    <row r="16381" spans="8:9">
      <c r="H16381" s="1245"/>
      <c r="I16381" s="1245"/>
    </row>
    <row r="16382" spans="8:9">
      <c r="H16382" s="1245"/>
      <c r="I16382" s="1245"/>
    </row>
    <row r="16383" spans="8:9">
      <c r="H16383" s="1245"/>
      <c r="I16383" s="1245"/>
    </row>
    <row r="16384" spans="8:9">
      <c r="H16384" s="1245"/>
      <c r="I16384" s="1245"/>
    </row>
    <row r="16385" spans="8:9">
      <c r="H16385" s="1245"/>
      <c r="I16385" s="1245"/>
    </row>
    <row r="16386" spans="8:9">
      <c r="H16386" s="1245"/>
      <c r="I16386" s="1245"/>
    </row>
    <row r="16387" spans="8:9">
      <c r="H16387" s="1245"/>
      <c r="I16387" s="1245"/>
    </row>
    <row r="16388" spans="8:9">
      <c r="H16388" s="1245"/>
      <c r="I16388" s="1245"/>
    </row>
    <row r="16389" spans="8:9">
      <c r="H16389" s="1245"/>
      <c r="I16389" s="1245"/>
    </row>
    <row r="16390" spans="8:9">
      <c r="H16390" s="1245"/>
      <c r="I16390" s="1245"/>
    </row>
    <row r="16391" spans="8:9">
      <c r="H16391" s="1245"/>
      <c r="I16391" s="1245"/>
    </row>
    <row r="16392" spans="8:9">
      <c r="H16392" s="1245"/>
      <c r="I16392" s="1245"/>
    </row>
    <row r="16393" spans="8:9">
      <c r="H16393" s="1245"/>
      <c r="I16393" s="1245"/>
    </row>
    <row r="16394" spans="8:9">
      <c r="H16394" s="1245"/>
      <c r="I16394" s="1245"/>
    </row>
    <row r="16395" spans="8:9">
      <c r="H16395" s="1245"/>
      <c r="I16395" s="1245"/>
    </row>
    <row r="16396" spans="8:9">
      <c r="H16396" s="1245"/>
      <c r="I16396" s="1245"/>
    </row>
    <row r="16397" spans="8:9">
      <c r="H16397" s="1245"/>
      <c r="I16397" s="1245"/>
    </row>
    <row r="16398" spans="8:9">
      <c r="H16398" s="1245"/>
      <c r="I16398" s="1245"/>
    </row>
    <row r="16399" spans="8:9">
      <c r="H16399" s="1245"/>
      <c r="I16399" s="1245"/>
    </row>
    <row r="16400" spans="8:9">
      <c r="H16400" s="1245"/>
      <c r="I16400" s="1245"/>
    </row>
    <row r="16401" spans="8:9">
      <c r="H16401" s="1245"/>
      <c r="I16401" s="1245"/>
    </row>
    <row r="16402" spans="8:9">
      <c r="H16402" s="1245"/>
      <c r="I16402" s="1245"/>
    </row>
    <row r="16403" spans="8:9">
      <c r="H16403" s="1245"/>
      <c r="I16403" s="1245"/>
    </row>
    <row r="16404" spans="8:9">
      <c r="H16404" s="1245"/>
      <c r="I16404" s="1245"/>
    </row>
    <row r="16405" spans="8:9">
      <c r="H16405" s="1245"/>
      <c r="I16405" s="1245"/>
    </row>
    <row r="16406" spans="8:9">
      <c r="H16406" s="1245"/>
      <c r="I16406" s="1245"/>
    </row>
    <row r="16407" spans="8:9">
      <c r="H16407" s="1245"/>
      <c r="I16407" s="1245"/>
    </row>
    <row r="16408" spans="8:9">
      <c r="H16408" s="1245"/>
      <c r="I16408" s="1245"/>
    </row>
    <row r="16409" spans="8:9">
      <c r="H16409" s="1245"/>
      <c r="I16409" s="1245"/>
    </row>
    <row r="16410" spans="8:9">
      <c r="H16410" s="1245"/>
      <c r="I16410" s="1245"/>
    </row>
    <row r="16411" spans="8:9">
      <c r="H16411" s="1245"/>
      <c r="I16411" s="1245"/>
    </row>
    <row r="16412" spans="8:9">
      <c r="H16412" s="1245"/>
      <c r="I16412" s="1245"/>
    </row>
    <row r="16413" spans="8:9">
      <c r="H16413" s="1245"/>
      <c r="I16413" s="1245"/>
    </row>
    <row r="16414" spans="8:9">
      <c r="H16414" s="1245"/>
      <c r="I16414" s="1245"/>
    </row>
    <row r="16415" spans="8:9">
      <c r="H16415" s="1245"/>
      <c r="I16415" s="1245"/>
    </row>
    <row r="16416" spans="8:9">
      <c r="H16416" s="1245"/>
      <c r="I16416" s="1245"/>
    </row>
    <row r="16417" spans="8:9">
      <c r="H16417" s="1245"/>
      <c r="I16417" s="1245"/>
    </row>
    <row r="16418" spans="8:9">
      <c r="H16418" s="1245"/>
      <c r="I16418" s="1245"/>
    </row>
    <row r="16419" spans="8:9">
      <c r="H16419" s="1245"/>
      <c r="I16419" s="1245"/>
    </row>
    <row r="16420" spans="8:9">
      <c r="H16420" s="1245"/>
      <c r="I16420" s="1245"/>
    </row>
    <row r="16421" spans="8:9">
      <c r="H16421" s="1245"/>
      <c r="I16421" s="1245"/>
    </row>
    <row r="16422" spans="8:9">
      <c r="H16422" s="1245"/>
      <c r="I16422" s="1245"/>
    </row>
    <row r="16423" spans="8:9">
      <c r="H16423" s="1245"/>
      <c r="I16423" s="1245"/>
    </row>
    <row r="16424" spans="8:9">
      <c r="H16424" s="1245"/>
      <c r="I16424" s="1245"/>
    </row>
    <row r="16425" spans="8:9">
      <c r="H16425" s="1245"/>
      <c r="I16425" s="1245"/>
    </row>
    <row r="16426" spans="8:9">
      <c r="H16426" s="1245"/>
      <c r="I16426" s="1245"/>
    </row>
    <row r="16427" spans="8:9">
      <c r="H16427" s="1245"/>
      <c r="I16427" s="1245"/>
    </row>
    <row r="16428" spans="8:9">
      <c r="H16428" s="1245"/>
      <c r="I16428" s="1245"/>
    </row>
    <row r="16429" spans="8:9">
      <c r="H16429" s="1245"/>
      <c r="I16429" s="1245"/>
    </row>
    <row r="16430" spans="8:9">
      <c r="H16430" s="1245"/>
      <c r="I16430" s="1245"/>
    </row>
    <row r="16431" spans="8:9">
      <c r="H16431" s="1245"/>
      <c r="I16431" s="1245"/>
    </row>
    <row r="16432" spans="8:9">
      <c r="H16432" s="1245"/>
      <c r="I16432" s="1245"/>
    </row>
    <row r="16433" spans="8:9">
      <c r="H16433" s="1245"/>
      <c r="I16433" s="1245"/>
    </row>
    <row r="16434" spans="8:9">
      <c r="H16434" s="1245"/>
      <c r="I16434" s="1245"/>
    </row>
    <row r="16435" spans="8:9">
      <c r="H16435" s="1245"/>
      <c r="I16435" s="1245"/>
    </row>
    <row r="16436" spans="8:9">
      <c r="H16436" s="1245"/>
      <c r="I16436" s="1245"/>
    </row>
    <row r="16437" spans="8:9">
      <c r="H16437" s="1245"/>
      <c r="I16437" s="1245"/>
    </row>
    <row r="16438" spans="8:9">
      <c r="H16438" s="1245"/>
      <c r="I16438" s="1245"/>
    </row>
    <row r="16439" spans="8:9">
      <c r="H16439" s="1245"/>
      <c r="I16439" s="1245"/>
    </row>
    <row r="16440" spans="8:9">
      <c r="H16440" s="1245"/>
      <c r="I16440" s="1245"/>
    </row>
    <row r="16441" spans="8:9">
      <c r="H16441" s="1245"/>
      <c r="I16441" s="1245"/>
    </row>
    <row r="16442" spans="8:9">
      <c r="H16442" s="1245"/>
      <c r="I16442" s="1245"/>
    </row>
    <row r="16443" spans="8:9">
      <c r="H16443" s="1245"/>
      <c r="I16443" s="1245"/>
    </row>
    <row r="16444" spans="8:9">
      <c r="H16444" s="1245"/>
      <c r="I16444" s="1245"/>
    </row>
    <row r="16445" spans="8:9">
      <c r="H16445" s="1245"/>
      <c r="I16445" s="1245"/>
    </row>
    <row r="16446" spans="8:9">
      <c r="H16446" s="1245"/>
      <c r="I16446" s="1245"/>
    </row>
    <row r="16447" spans="8:9">
      <c r="H16447" s="1245"/>
      <c r="I16447" s="1245"/>
    </row>
    <row r="16448" spans="8:9">
      <c r="H16448" s="1245"/>
      <c r="I16448" s="1245"/>
    </row>
    <row r="16449" spans="8:9">
      <c r="H16449" s="1245"/>
      <c r="I16449" s="1245"/>
    </row>
    <row r="16450" spans="8:9">
      <c r="H16450" s="1245"/>
      <c r="I16450" s="1245"/>
    </row>
    <row r="16451" spans="8:9">
      <c r="H16451" s="1245"/>
      <c r="I16451" s="1245"/>
    </row>
    <row r="16452" spans="8:9">
      <c r="H16452" s="1245"/>
      <c r="I16452" s="1245"/>
    </row>
    <row r="16453" spans="8:9">
      <c r="H16453" s="1245"/>
      <c r="I16453" s="1245"/>
    </row>
    <row r="16454" spans="8:9">
      <c r="H16454" s="1245"/>
      <c r="I16454" s="1245"/>
    </row>
    <row r="16455" spans="8:9">
      <c r="H16455" s="1245"/>
      <c r="I16455" s="1245"/>
    </row>
    <row r="16456" spans="8:9">
      <c r="H16456" s="1245"/>
      <c r="I16456" s="1245"/>
    </row>
    <row r="16457" spans="8:9">
      <c r="H16457" s="1245"/>
      <c r="I16457" s="1245"/>
    </row>
    <row r="16458" spans="8:9">
      <c r="H16458" s="1245"/>
      <c r="I16458" s="1245"/>
    </row>
    <row r="16459" spans="8:9">
      <c r="H16459" s="1245"/>
      <c r="I16459" s="1245"/>
    </row>
    <row r="16460" spans="8:9">
      <c r="H16460" s="1245"/>
      <c r="I16460" s="1245"/>
    </row>
    <row r="16461" spans="8:9">
      <c r="H16461" s="1245"/>
      <c r="I16461" s="1245"/>
    </row>
    <row r="16462" spans="8:9">
      <c r="H16462" s="1245"/>
      <c r="I16462" s="1245"/>
    </row>
    <row r="16463" spans="8:9">
      <c r="H16463" s="1245"/>
      <c r="I16463" s="1245"/>
    </row>
    <row r="16464" spans="8:9">
      <c r="H16464" s="1245"/>
      <c r="I16464" s="1245"/>
    </row>
    <row r="16465" spans="8:9">
      <c r="H16465" s="1245"/>
      <c r="I16465" s="1245"/>
    </row>
    <row r="16466" spans="8:9">
      <c r="H16466" s="1245"/>
      <c r="I16466" s="1245"/>
    </row>
    <row r="16467" spans="8:9">
      <c r="H16467" s="1245"/>
      <c r="I16467" s="1245"/>
    </row>
    <row r="16468" spans="8:9">
      <c r="H16468" s="1245"/>
      <c r="I16468" s="1245"/>
    </row>
    <row r="16469" spans="8:9">
      <c r="H16469" s="1245"/>
      <c r="I16469" s="1245"/>
    </row>
    <row r="16470" spans="8:9">
      <c r="H16470" s="1245"/>
      <c r="I16470" s="1245"/>
    </row>
    <row r="16471" spans="8:9">
      <c r="H16471" s="1245"/>
      <c r="I16471" s="1245"/>
    </row>
    <row r="16472" spans="8:9">
      <c r="H16472" s="1245"/>
      <c r="I16472" s="1245"/>
    </row>
    <row r="16473" spans="8:9">
      <c r="H16473" s="1245"/>
      <c r="I16473" s="1245"/>
    </row>
    <row r="16474" spans="8:9">
      <c r="H16474" s="1245"/>
      <c r="I16474" s="1245"/>
    </row>
    <row r="16475" spans="8:9">
      <c r="H16475" s="1245"/>
      <c r="I16475" s="1245"/>
    </row>
    <row r="16476" spans="8:9">
      <c r="H16476" s="1245"/>
      <c r="I16476" s="1245"/>
    </row>
    <row r="16477" spans="8:9">
      <c r="H16477" s="1245"/>
      <c r="I16477" s="1245"/>
    </row>
    <row r="16478" spans="8:9">
      <c r="H16478" s="1245"/>
      <c r="I16478" s="1245"/>
    </row>
    <row r="16479" spans="8:9">
      <c r="H16479" s="1245"/>
      <c r="I16479" s="1245"/>
    </row>
    <row r="16480" spans="8:9">
      <c r="H16480" s="1245"/>
      <c r="I16480" s="1245"/>
    </row>
    <row r="16481" spans="8:9">
      <c r="H16481" s="1245"/>
      <c r="I16481" s="1245"/>
    </row>
    <row r="16482" spans="8:9">
      <c r="H16482" s="1245"/>
      <c r="I16482" s="1245"/>
    </row>
    <row r="16483" spans="8:9">
      <c r="H16483" s="1245"/>
      <c r="I16483" s="1245"/>
    </row>
    <row r="16484" spans="8:9">
      <c r="H16484" s="1245"/>
      <c r="I16484" s="1245"/>
    </row>
    <row r="16485" spans="8:9">
      <c r="H16485" s="1245"/>
      <c r="I16485" s="1245"/>
    </row>
    <row r="16486" spans="8:9">
      <c r="H16486" s="1245"/>
      <c r="I16486" s="1245"/>
    </row>
    <row r="16487" spans="8:9">
      <c r="H16487" s="1245"/>
      <c r="I16487" s="1245"/>
    </row>
    <row r="16488" spans="8:9">
      <c r="H16488" s="1245"/>
      <c r="I16488" s="1245"/>
    </row>
    <row r="16489" spans="8:9">
      <c r="H16489" s="1245"/>
      <c r="I16489" s="1245"/>
    </row>
    <row r="16490" spans="8:9">
      <c r="H16490" s="1245"/>
      <c r="I16490" s="1245"/>
    </row>
    <row r="16491" spans="8:9">
      <c r="H16491" s="1245"/>
      <c r="I16491" s="1245"/>
    </row>
    <row r="16492" spans="8:9">
      <c r="H16492" s="1245"/>
      <c r="I16492" s="1245"/>
    </row>
    <row r="16493" spans="8:9">
      <c r="H16493" s="1245"/>
      <c r="I16493" s="1245"/>
    </row>
    <row r="16494" spans="8:9">
      <c r="H16494" s="1245"/>
      <c r="I16494" s="1245"/>
    </row>
    <row r="16495" spans="8:9">
      <c r="H16495" s="1245"/>
      <c r="I16495" s="1245"/>
    </row>
    <row r="16496" spans="8:9">
      <c r="H16496" s="1245"/>
      <c r="I16496" s="1245"/>
    </row>
    <row r="16497" spans="8:9">
      <c r="H16497" s="1245"/>
      <c r="I16497" s="1245"/>
    </row>
    <row r="16498" spans="8:9">
      <c r="H16498" s="1245"/>
      <c r="I16498" s="1245"/>
    </row>
    <row r="16499" spans="8:9">
      <c r="H16499" s="1245"/>
      <c r="I16499" s="1245"/>
    </row>
    <row r="16500" spans="8:9">
      <c r="H16500" s="1245"/>
      <c r="I16500" s="1245"/>
    </row>
    <row r="16501" spans="8:9">
      <c r="H16501" s="1245"/>
      <c r="I16501" s="1245"/>
    </row>
    <row r="16502" spans="8:9">
      <c r="H16502" s="1245"/>
      <c r="I16502" s="1245"/>
    </row>
    <row r="16503" spans="8:9">
      <c r="H16503" s="1245"/>
      <c r="I16503" s="1245"/>
    </row>
    <row r="16504" spans="8:9">
      <c r="H16504" s="1245"/>
      <c r="I16504" s="1245"/>
    </row>
    <row r="16505" spans="8:9">
      <c r="H16505" s="1245"/>
      <c r="I16505" s="1245"/>
    </row>
    <row r="16506" spans="8:9">
      <c r="H16506" s="1245"/>
      <c r="I16506" s="1245"/>
    </row>
    <row r="16507" spans="8:9">
      <c r="H16507" s="1245"/>
      <c r="I16507" s="1245"/>
    </row>
    <row r="16508" spans="8:9">
      <c r="H16508" s="1245"/>
      <c r="I16508" s="1245"/>
    </row>
    <row r="16509" spans="8:9">
      <c r="H16509" s="1245"/>
      <c r="I16509" s="1245"/>
    </row>
    <row r="16510" spans="8:9">
      <c r="H16510" s="1245"/>
      <c r="I16510" s="1245"/>
    </row>
    <row r="16511" spans="8:9">
      <c r="H16511" s="1245"/>
      <c r="I16511" s="1245"/>
    </row>
    <row r="16512" spans="8:9">
      <c r="H16512" s="1245"/>
      <c r="I16512" s="1245"/>
    </row>
    <row r="16513" spans="8:9">
      <c r="H16513" s="1245"/>
      <c r="I16513" s="1245"/>
    </row>
    <row r="16514" spans="8:9">
      <c r="H16514" s="1245"/>
      <c r="I16514" s="1245"/>
    </row>
    <row r="16515" spans="8:9">
      <c r="H16515" s="1245"/>
      <c r="I16515" s="1245"/>
    </row>
    <row r="16516" spans="8:9">
      <c r="H16516" s="1245"/>
      <c r="I16516" s="1245"/>
    </row>
    <row r="16517" spans="8:9">
      <c r="H16517" s="1245"/>
      <c r="I16517" s="1245"/>
    </row>
    <row r="16518" spans="8:9">
      <c r="H16518" s="1245"/>
      <c r="I16518" s="1245"/>
    </row>
    <row r="16519" spans="8:9">
      <c r="H16519" s="1245"/>
      <c r="I16519" s="1245"/>
    </row>
    <row r="16520" spans="8:9">
      <c r="H16520" s="1245"/>
      <c r="I16520" s="1245"/>
    </row>
    <row r="16521" spans="8:9">
      <c r="H16521" s="1245"/>
      <c r="I16521" s="1245"/>
    </row>
    <row r="16522" spans="8:9">
      <c r="H16522" s="1245"/>
      <c r="I16522" s="1245"/>
    </row>
    <row r="16523" spans="8:9">
      <c r="H16523" s="1245"/>
      <c r="I16523" s="1245"/>
    </row>
    <row r="16524" spans="8:9">
      <c r="H16524" s="1245"/>
      <c r="I16524" s="1245"/>
    </row>
    <row r="16525" spans="8:9">
      <c r="H16525" s="1245"/>
      <c r="I16525" s="1245"/>
    </row>
    <row r="16526" spans="8:9">
      <c r="H16526" s="1245"/>
      <c r="I16526" s="1245"/>
    </row>
    <row r="16527" spans="8:9">
      <c r="H16527" s="1245"/>
      <c r="I16527" s="1245"/>
    </row>
    <row r="16528" spans="8:9">
      <c r="H16528" s="1245"/>
      <c r="I16528" s="1245"/>
    </row>
    <row r="16529" spans="8:9">
      <c r="H16529" s="1245"/>
      <c r="I16529" s="1245"/>
    </row>
    <row r="16530" spans="8:9">
      <c r="H16530" s="1245"/>
      <c r="I16530" s="1245"/>
    </row>
    <row r="16531" spans="8:9">
      <c r="H16531" s="1245"/>
      <c r="I16531" s="1245"/>
    </row>
    <row r="16532" spans="8:9">
      <c r="H16532" s="1245"/>
      <c r="I16532" s="1245"/>
    </row>
    <row r="16533" spans="8:9">
      <c r="H16533" s="1245"/>
      <c r="I16533" s="1245"/>
    </row>
    <row r="16534" spans="8:9">
      <c r="H16534" s="1245"/>
      <c r="I16534" s="1245"/>
    </row>
    <row r="16535" spans="8:9">
      <c r="H16535" s="1245"/>
      <c r="I16535" s="1245"/>
    </row>
    <row r="16536" spans="8:9">
      <c r="H16536" s="1245"/>
      <c r="I16536" s="1245"/>
    </row>
    <row r="16537" spans="8:9">
      <c r="H16537" s="1245"/>
      <c r="I16537" s="1245"/>
    </row>
    <row r="16538" spans="8:9">
      <c r="H16538" s="1245"/>
      <c r="I16538" s="1245"/>
    </row>
    <row r="16539" spans="8:9">
      <c r="H16539" s="1245"/>
      <c r="I16539" s="1245"/>
    </row>
    <row r="16540" spans="8:9">
      <c r="H16540" s="1245"/>
      <c r="I16540" s="1245"/>
    </row>
    <row r="16541" spans="8:9">
      <c r="H16541" s="1245"/>
      <c r="I16541" s="1245"/>
    </row>
    <row r="16542" spans="8:9">
      <c r="H16542" s="1245"/>
      <c r="I16542" s="1245"/>
    </row>
    <row r="16543" spans="8:9">
      <c r="H16543" s="1245"/>
      <c r="I16543" s="1245"/>
    </row>
    <row r="16544" spans="8:9">
      <c r="H16544" s="1245"/>
      <c r="I16544" s="1245"/>
    </row>
    <row r="16545" spans="8:9">
      <c r="H16545" s="1245"/>
      <c r="I16545" s="1245"/>
    </row>
    <row r="16546" spans="8:9">
      <c r="H16546" s="1245"/>
      <c r="I16546" s="1245"/>
    </row>
    <row r="16547" spans="8:9">
      <c r="H16547" s="1245"/>
      <c r="I16547" s="1245"/>
    </row>
    <row r="16548" spans="8:9">
      <c r="H16548" s="1245"/>
      <c r="I16548" s="1245"/>
    </row>
    <row r="16549" spans="8:9">
      <c r="H16549" s="1245"/>
      <c r="I16549" s="1245"/>
    </row>
    <row r="16550" spans="8:9">
      <c r="H16550" s="1245"/>
      <c r="I16550" s="1245"/>
    </row>
    <row r="16551" spans="8:9">
      <c r="H16551" s="1245"/>
      <c r="I16551" s="1245"/>
    </row>
    <row r="16552" spans="8:9">
      <c r="H16552" s="1245"/>
      <c r="I16552" s="1245"/>
    </row>
    <row r="16553" spans="8:9">
      <c r="H16553" s="1245"/>
      <c r="I16553" s="1245"/>
    </row>
    <row r="16554" spans="8:9">
      <c r="H16554" s="1245"/>
      <c r="I16554" s="1245"/>
    </row>
    <row r="16555" spans="8:9">
      <c r="H16555" s="1245"/>
      <c r="I16555" s="1245"/>
    </row>
    <row r="16556" spans="8:9">
      <c r="H16556" s="1245"/>
      <c r="I16556" s="1245"/>
    </row>
    <row r="16557" spans="8:9">
      <c r="H16557" s="1245"/>
      <c r="I16557" s="1245"/>
    </row>
    <row r="16558" spans="8:9">
      <c r="H16558" s="1245"/>
      <c r="I16558" s="1245"/>
    </row>
    <row r="16559" spans="8:9">
      <c r="H16559" s="1245"/>
      <c r="I16559" s="1245"/>
    </row>
    <row r="16560" spans="8:9">
      <c r="H16560" s="1245"/>
      <c r="I16560" s="1245"/>
    </row>
    <row r="16561" spans="8:9">
      <c r="H16561" s="1245"/>
      <c r="I16561" s="1245"/>
    </row>
    <row r="16562" spans="8:9">
      <c r="H16562" s="1245"/>
      <c r="I16562" s="1245"/>
    </row>
    <row r="16563" spans="8:9">
      <c r="H16563" s="1245"/>
      <c r="I16563" s="1245"/>
    </row>
    <row r="16564" spans="8:9">
      <c r="H16564" s="1245"/>
      <c r="I16564" s="1245"/>
    </row>
    <row r="16565" spans="8:9">
      <c r="H16565" s="1245"/>
      <c r="I16565" s="1245"/>
    </row>
    <row r="16566" spans="8:9">
      <c r="H16566" s="1245"/>
      <c r="I16566" s="1245"/>
    </row>
    <row r="16567" spans="8:9">
      <c r="H16567" s="1245"/>
      <c r="I16567" s="1245"/>
    </row>
    <row r="16568" spans="8:9">
      <c r="H16568" s="1245"/>
      <c r="I16568" s="1245"/>
    </row>
    <row r="16569" spans="8:9">
      <c r="H16569" s="1245"/>
      <c r="I16569" s="1245"/>
    </row>
    <row r="16570" spans="8:9">
      <c r="H16570" s="1245"/>
      <c r="I16570" s="1245"/>
    </row>
    <row r="16571" spans="8:9">
      <c r="H16571" s="1245"/>
      <c r="I16571" s="1245"/>
    </row>
    <row r="16572" spans="8:9">
      <c r="H16572" s="1245"/>
      <c r="I16572" s="1245"/>
    </row>
    <row r="16573" spans="8:9">
      <c r="H16573" s="1245"/>
      <c r="I16573" s="1245"/>
    </row>
    <row r="16574" spans="8:9">
      <c r="H16574" s="1245"/>
      <c r="I16574" s="1245"/>
    </row>
    <row r="16575" spans="8:9">
      <c r="H16575" s="1245"/>
      <c r="I16575" s="1245"/>
    </row>
    <row r="16576" spans="8:9">
      <c r="H16576" s="1245"/>
      <c r="I16576" s="1245"/>
    </row>
    <row r="16577" spans="8:9">
      <c r="H16577" s="1245"/>
      <c r="I16577" s="1245"/>
    </row>
    <row r="16578" spans="8:9">
      <c r="H16578" s="1245"/>
      <c r="I16578" s="1245"/>
    </row>
    <row r="16579" spans="8:9">
      <c r="H16579" s="1245"/>
      <c r="I16579" s="1245"/>
    </row>
    <row r="16580" spans="8:9">
      <c r="H16580" s="1245"/>
      <c r="I16580" s="1245"/>
    </row>
    <row r="16581" spans="8:9">
      <c r="H16581" s="1245"/>
      <c r="I16581" s="1245"/>
    </row>
    <row r="16582" spans="8:9">
      <c r="H16582" s="1245"/>
      <c r="I16582" s="1245"/>
    </row>
    <row r="16583" spans="8:9">
      <c r="H16583" s="1245"/>
      <c r="I16583" s="1245"/>
    </row>
    <row r="16584" spans="8:9">
      <c r="H16584" s="1245"/>
      <c r="I16584" s="1245"/>
    </row>
    <row r="16585" spans="8:9">
      <c r="H16585" s="1245"/>
      <c r="I16585" s="1245"/>
    </row>
    <row r="16586" spans="8:9">
      <c r="H16586" s="1245"/>
      <c r="I16586" s="1245"/>
    </row>
    <row r="16587" spans="8:9">
      <c r="H16587" s="1245"/>
      <c r="I16587" s="1245"/>
    </row>
    <row r="16588" spans="8:9">
      <c r="H16588" s="1245"/>
      <c r="I16588" s="1245"/>
    </row>
    <row r="16589" spans="8:9">
      <c r="H16589" s="1245"/>
      <c r="I16589" s="1245"/>
    </row>
    <row r="16590" spans="8:9">
      <c r="H16590" s="1245"/>
      <c r="I16590" s="1245"/>
    </row>
    <row r="16591" spans="8:9">
      <c r="H16591" s="1245"/>
      <c r="I16591" s="1245"/>
    </row>
    <row r="16592" spans="8:9">
      <c r="H16592" s="1245"/>
      <c r="I16592" s="1245"/>
    </row>
    <row r="16593" spans="8:9">
      <c r="H16593" s="1245"/>
      <c r="I16593" s="1245"/>
    </row>
    <row r="16594" spans="8:9">
      <c r="H16594" s="1245"/>
      <c r="I16594" s="1245"/>
    </row>
    <row r="16595" spans="8:9">
      <c r="H16595" s="1245"/>
      <c r="I16595" s="1245"/>
    </row>
    <row r="16596" spans="8:9">
      <c r="H16596" s="1245"/>
      <c r="I16596" s="1245"/>
    </row>
    <row r="16597" spans="8:9">
      <c r="H16597" s="1245"/>
      <c r="I16597" s="1245"/>
    </row>
    <row r="16598" spans="8:9">
      <c r="H16598" s="1245"/>
      <c r="I16598" s="1245"/>
    </row>
    <row r="16599" spans="8:9">
      <c r="H16599" s="1245"/>
      <c r="I16599" s="1245"/>
    </row>
    <row r="16600" spans="8:9">
      <c r="H16600" s="1245"/>
      <c r="I16600" s="1245"/>
    </row>
    <row r="16601" spans="8:9">
      <c r="H16601" s="1245"/>
      <c r="I16601" s="1245"/>
    </row>
    <row r="16602" spans="8:9">
      <c r="H16602" s="1245"/>
      <c r="I16602" s="1245"/>
    </row>
    <row r="16603" spans="8:9">
      <c r="H16603" s="1245"/>
      <c r="I16603" s="1245"/>
    </row>
    <row r="16604" spans="8:9">
      <c r="H16604" s="1245"/>
      <c r="I16604" s="1245"/>
    </row>
    <row r="16605" spans="8:9">
      <c r="H16605" s="1245"/>
      <c r="I16605" s="1245"/>
    </row>
    <row r="16606" spans="8:9">
      <c r="H16606" s="1245"/>
      <c r="I16606" s="1245"/>
    </row>
    <row r="16607" spans="8:9">
      <c r="H16607" s="1245"/>
      <c r="I16607" s="1245"/>
    </row>
    <row r="16608" spans="8:9">
      <c r="H16608" s="1245"/>
      <c r="I16608" s="1245"/>
    </row>
    <row r="16609" spans="8:9">
      <c r="H16609" s="1245"/>
      <c r="I16609" s="1245"/>
    </row>
    <row r="16610" spans="8:9">
      <c r="H16610" s="1245"/>
      <c r="I16610" s="1245"/>
    </row>
    <row r="16611" spans="8:9">
      <c r="H16611" s="1245"/>
      <c r="I16611" s="1245"/>
    </row>
    <row r="16612" spans="8:9">
      <c r="H16612" s="1245"/>
      <c r="I16612" s="1245"/>
    </row>
    <row r="16613" spans="8:9">
      <c r="H16613" s="1245"/>
      <c r="I16613" s="1245"/>
    </row>
    <row r="16614" spans="8:9">
      <c r="H16614" s="1245"/>
      <c r="I16614" s="1245"/>
    </row>
    <row r="16615" spans="8:9">
      <c r="H16615" s="1245"/>
      <c r="I16615" s="1245"/>
    </row>
    <row r="16616" spans="8:9">
      <c r="H16616" s="1245"/>
      <c r="I16616" s="1245"/>
    </row>
    <row r="16617" spans="8:9">
      <c r="H16617" s="1245"/>
      <c r="I16617" s="1245"/>
    </row>
    <row r="16618" spans="8:9">
      <c r="H16618" s="1245"/>
      <c r="I16618" s="1245"/>
    </row>
    <row r="16619" spans="8:9">
      <c r="H16619" s="1245"/>
      <c r="I16619" s="1245"/>
    </row>
    <row r="16620" spans="8:9">
      <c r="H16620" s="1245"/>
      <c r="I16620" s="1245"/>
    </row>
    <row r="16621" spans="8:9">
      <c r="H16621" s="1245"/>
      <c r="I16621" s="1245"/>
    </row>
    <row r="16622" spans="8:9">
      <c r="H16622" s="1245"/>
      <c r="I16622" s="1245"/>
    </row>
    <row r="16623" spans="8:9">
      <c r="H16623" s="1245"/>
      <c r="I16623" s="1245"/>
    </row>
    <row r="16624" spans="8:9">
      <c r="H16624" s="1245"/>
      <c r="I16624" s="1245"/>
    </row>
    <row r="16625" spans="8:9">
      <c r="H16625" s="1245"/>
      <c r="I16625" s="1245"/>
    </row>
    <row r="16626" spans="8:9">
      <c r="H16626" s="1245"/>
      <c r="I16626" s="1245"/>
    </row>
    <row r="16627" spans="8:9">
      <c r="H16627" s="1245"/>
      <c r="I16627" s="1245"/>
    </row>
    <row r="16628" spans="8:9">
      <c r="H16628" s="1245"/>
      <c r="I16628" s="1245"/>
    </row>
    <row r="16629" spans="8:9">
      <c r="H16629" s="1245"/>
      <c r="I16629" s="1245"/>
    </row>
    <row r="16630" spans="8:9">
      <c r="H16630" s="1245"/>
      <c r="I16630" s="1245"/>
    </row>
    <row r="16631" spans="8:9">
      <c r="H16631" s="1245"/>
      <c r="I16631" s="1245"/>
    </row>
    <row r="16632" spans="8:9">
      <c r="H16632" s="1245"/>
      <c r="I16632" s="1245"/>
    </row>
    <row r="16633" spans="8:9">
      <c r="H16633" s="1245"/>
      <c r="I16633" s="1245"/>
    </row>
    <row r="16634" spans="8:9">
      <c r="H16634" s="1245"/>
      <c r="I16634" s="1245"/>
    </row>
    <row r="16635" spans="8:9">
      <c r="H16635" s="1245"/>
      <c r="I16635" s="1245"/>
    </row>
    <row r="16636" spans="8:9">
      <c r="H16636" s="1245"/>
      <c r="I16636" s="1245"/>
    </row>
    <row r="16637" spans="8:9">
      <c r="H16637" s="1245"/>
      <c r="I16637" s="1245"/>
    </row>
    <row r="16638" spans="8:9">
      <c r="H16638" s="1245"/>
      <c r="I16638" s="1245"/>
    </row>
    <row r="16639" spans="8:9">
      <c r="H16639" s="1245"/>
      <c r="I16639" s="1245"/>
    </row>
    <row r="16640" spans="8:9">
      <c r="H16640" s="1245"/>
      <c r="I16640" s="1245"/>
    </row>
    <row r="16641" spans="8:9">
      <c r="H16641" s="1245"/>
      <c r="I16641" s="1245"/>
    </row>
    <row r="16642" spans="8:9">
      <c r="H16642" s="1245"/>
      <c r="I16642" s="1245"/>
    </row>
    <row r="16643" spans="8:9">
      <c r="H16643" s="1245"/>
      <c r="I16643" s="1245"/>
    </row>
    <row r="16644" spans="8:9">
      <c r="H16644" s="1245"/>
      <c r="I16644" s="1245"/>
    </row>
    <row r="16645" spans="8:9">
      <c r="H16645" s="1245"/>
      <c r="I16645" s="1245"/>
    </row>
    <row r="16646" spans="8:9">
      <c r="H16646" s="1245"/>
      <c r="I16646" s="1245"/>
    </row>
    <row r="16647" spans="8:9">
      <c r="H16647" s="1245"/>
      <c r="I16647" s="1245"/>
    </row>
    <row r="16648" spans="8:9">
      <c r="H16648" s="1245"/>
      <c r="I16648" s="1245"/>
    </row>
    <row r="16649" spans="8:9">
      <c r="H16649" s="1245"/>
      <c r="I16649" s="1245"/>
    </row>
    <row r="16650" spans="8:9">
      <c r="H16650" s="1245"/>
      <c r="I16650" s="1245"/>
    </row>
    <row r="16651" spans="8:9">
      <c r="H16651" s="1245"/>
      <c r="I16651" s="1245"/>
    </row>
    <row r="16652" spans="8:9">
      <c r="H16652" s="1245"/>
      <c r="I16652" s="1245"/>
    </row>
    <row r="16653" spans="8:9">
      <c r="H16653" s="1245"/>
      <c r="I16653" s="1245"/>
    </row>
    <row r="16654" spans="8:9">
      <c r="H16654" s="1245"/>
      <c r="I16654" s="1245"/>
    </row>
    <row r="16655" spans="8:9">
      <c r="H16655" s="1245"/>
      <c r="I16655" s="1245"/>
    </row>
    <row r="16656" spans="8:9">
      <c r="H16656" s="1245"/>
      <c r="I16656" s="1245"/>
    </row>
    <row r="16657" spans="8:9">
      <c r="H16657" s="1245"/>
      <c r="I16657" s="1245"/>
    </row>
    <row r="16658" spans="8:9">
      <c r="H16658" s="1245"/>
      <c r="I16658" s="1245"/>
    </row>
    <row r="16659" spans="8:9">
      <c r="H16659" s="1245"/>
      <c r="I16659" s="1245"/>
    </row>
    <row r="16660" spans="8:9">
      <c r="H16660" s="1245"/>
      <c r="I16660" s="1245"/>
    </row>
    <row r="16661" spans="8:9">
      <c r="H16661" s="1245"/>
      <c r="I16661" s="1245"/>
    </row>
    <row r="16662" spans="8:9">
      <c r="H16662" s="1245"/>
      <c r="I16662" s="1245"/>
    </row>
    <row r="16663" spans="8:9">
      <c r="H16663" s="1245"/>
      <c r="I16663" s="1245"/>
    </row>
    <row r="16664" spans="8:9">
      <c r="H16664" s="1245"/>
      <c r="I16664" s="1245"/>
    </row>
    <row r="16665" spans="8:9">
      <c r="H16665" s="1245"/>
      <c r="I16665" s="1245"/>
    </row>
    <row r="16666" spans="8:9">
      <c r="H16666" s="1245"/>
      <c r="I16666" s="1245"/>
    </row>
    <row r="16667" spans="8:9">
      <c r="H16667" s="1245"/>
      <c r="I16667" s="1245"/>
    </row>
    <row r="16668" spans="8:9">
      <c r="H16668" s="1245"/>
      <c r="I16668" s="1245"/>
    </row>
    <row r="16669" spans="8:9">
      <c r="H16669" s="1245"/>
      <c r="I16669" s="1245"/>
    </row>
    <row r="16670" spans="8:9">
      <c r="H16670" s="1245"/>
      <c r="I16670" s="1245"/>
    </row>
    <row r="16671" spans="8:9">
      <c r="H16671" s="1245"/>
      <c r="I16671" s="1245"/>
    </row>
    <row r="16672" spans="8:9">
      <c r="H16672" s="1245"/>
      <c r="I16672" s="1245"/>
    </row>
    <row r="16673" spans="8:9">
      <c r="H16673" s="1245"/>
      <c r="I16673" s="1245"/>
    </row>
    <row r="16674" spans="8:9">
      <c r="H16674" s="1245"/>
      <c r="I16674" s="1245"/>
    </row>
    <row r="16675" spans="8:9">
      <c r="H16675" s="1245"/>
      <c r="I16675" s="1245"/>
    </row>
    <row r="16676" spans="8:9">
      <c r="H16676" s="1245"/>
      <c r="I16676" s="1245"/>
    </row>
    <row r="16677" spans="8:9">
      <c r="H16677" s="1245"/>
      <c r="I16677" s="1245"/>
    </row>
    <row r="16678" spans="8:9">
      <c r="H16678" s="1245"/>
      <c r="I16678" s="1245"/>
    </row>
    <row r="16679" spans="8:9">
      <c r="H16679" s="1245"/>
      <c r="I16679" s="1245"/>
    </row>
    <row r="16680" spans="8:9">
      <c r="H16680" s="1245"/>
      <c r="I16680" s="1245"/>
    </row>
    <row r="16681" spans="8:9">
      <c r="H16681" s="1245"/>
      <c r="I16681" s="1245"/>
    </row>
    <row r="16682" spans="8:9">
      <c r="H16682" s="1245"/>
      <c r="I16682" s="1245"/>
    </row>
    <row r="16683" spans="8:9">
      <c r="H16683" s="1245"/>
      <c r="I16683" s="1245"/>
    </row>
    <row r="16684" spans="8:9">
      <c r="H16684" s="1245"/>
      <c r="I16684" s="1245"/>
    </row>
    <row r="16685" spans="8:9">
      <c r="H16685" s="1245"/>
      <c r="I16685" s="1245"/>
    </row>
    <row r="16686" spans="8:9">
      <c r="H16686" s="1245"/>
      <c r="I16686" s="1245"/>
    </row>
    <row r="16687" spans="8:9">
      <c r="H16687" s="1245"/>
      <c r="I16687" s="1245"/>
    </row>
    <row r="16688" spans="8:9">
      <c r="H16688" s="1245"/>
      <c r="I16688" s="1245"/>
    </row>
    <row r="16689" spans="8:9">
      <c r="H16689" s="1245"/>
      <c r="I16689" s="1245"/>
    </row>
    <row r="16690" spans="8:9">
      <c r="H16690" s="1245"/>
      <c r="I16690" s="1245"/>
    </row>
    <row r="16691" spans="8:9">
      <c r="H16691" s="1245"/>
      <c r="I16691" s="1245"/>
    </row>
    <row r="16692" spans="8:9">
      <c r="H16692" s="1245"/>
      <c r="I16692" s="1245"/>
    </row>
    <row r="16693" spans="8:9">
      <c r="H16693" s="1245"/>
      <c r="I16693" s="1245"/>
    </row>
    <row r="16694" spans="8:9">
      <c r="H16694" s="1245"/>
      <c r="I16694" s="1245"/>
    </row>
    <row r="16695" spans="8:9">
      <c r="H16695" s="1245"/>
      <c r="I16695" s="1245"/>
    </row>
    <row r="16696" spans="8:9">
      <c r="H16696" s="1245"/>
      <c r="I16696" s="1245"/>
    </row>
    <row r="16697" spans="8:9">
      <c r="H16697" s="1245"/>
      <c r="I16697" s="1245"/>
    </row>
    <row r="16698" spans="8:9">
      <c r="H16698" s="1245"/>
      <c r="I16698" s="1245"/>
    </row>
    <row r="16699" spans="8:9">
      <c r="H16699" s="1245"/>
      <c r="I16699" s="1245"/>
    </row>
    <row r="16700" spans="8:9">
      <c r="H16700" s="1245"/>
      <c r="I16700" s="1245"/>
    </row>
    <row r="16701" spans="8:9">
      <c r="H16701" s="1245"/>
      <c r="I16701" s="1245"/>
    </row>
    <row r="16702" spans="8:9">
      <c r="H16702" s="1245"/>
      <c r="I16702" s="1245"/>
    </row>
    <row r="16703" spans="8:9">
      <c r="H16703" s="1245"/>
      <c r="I16703" s="1245"/>
    </row>
    <row r="16704" spans="8:9">
      <c r="H16704" s="1245"/>
      <c r="I16704" s="1245"/>
    </row>
    <row r="16705" spans="8:9">
      <c r="H16705" s="1245"/>
      <c r="I16705" s="1245"/>
    </row>
    <row r="16706" spans="8:9">
      <c r="H16706" s="1245"/>
      <c r="I16706" s="1245"/>
    </row>
    <row r="16707" spans="8:9">
      <c r="H16707" s="1245"/>
      <c r="I16707" s="1245"/>
    </row>
    <row r="16708" spans="8:9">
      <c r="H16708" s="1245"/>
      <c r="I16708" s="1245"/>
    </row>
    <row r="16709" spans="8:9">
      <c r="H16709" s="1245"/>
      <c r="I16709" s="1245"/>
    </row>
    <row r="16710" spans="8:9">
      <c r="H16710" s="1245"/>
      <c r="I16710" s="1245"/>
    </row>
    <row r="16711" spans="8:9">
      <c r="H16711" s="1245"/>
      <c r="I16711" s="1245"/>
    </row>
    <row r="16712" spans="8:9">
      <c r="H16712" s="1245"/>
      <c r="I16712" s="1245"/>
    </row>
    <row r="16713" spans="8:9">
      <c r="H16713" s="1245"/>
      <c r="I16713" s="1245"/>
    </row>
    <row r="16714" spans="8:9">
      <c r="H16714" s="1245"/>
      <c r="I16714" s="1245"/>
    </row>
    <row r="16715" spans="8:9">
      <c r="H16715" s="1245"/>
      <c r="I16715" s="1245"/>
    </row>
    <row r="16716" spans="8:9">
      <c r="H16716" s="1245"/>
      <c r="I16716" s="1245"/>
    </row>
    <row r="16717" spans="8:9">
      <c r="H16717" s="1245"/>
      <c r="I16717" s="1245"/>
    </row>
    <row r="16718" spans="8:9">
      <c r="H16718" s="1245"/>
      <c r="I16718" s="1245"/>
    </row>
    <row r="16719" spans="8:9">
      <c r="H16719" s="1245"/>
      <c r="I16719" s="1245"/>
    </row>
    <row r="16720" spans="8:9">
      <c r="H16720" s="1245"/>
      <c r="I16720" s="1245"/>
    </row>
    <row r="16721" spans="8:9">
      <c r="H16721" s="1245"/>
      <c r="I16721" s="1245"/>
    </row>
    <row r="16722" spans="8:9">
      <c r="H16722" s="1245"/>
      <c r="I16722" s="1245"/>
    </row>
    <row r="16723" spans="8:9">
      <c r="H16723" s="1245"/>
      <c r="I16723" s="1245"/>
    </row>
    <row r="16724" spans="8:9">
      <c r="H16724" s="1245"/>
      <c r="I16724" s="1245"/>
    </row>
    <row r="16725" spans="8:9">
      <c r="H16725" s="1245"/>
      <c r="I16725" s="1245"/>
    </row>
    <row r="16726" spans="8:9">
      <c r="H16726" s="1245"/>
      <c r="I16726" s="1245"/>
    </row>
    <row r="16727" spans="8:9">
      <c r="H16727" s="1245"/>
      <c r="I16727" s="1245"/>
    </row>
    <row r="16728" spans="8:9">
      <c r="H16728" s="1245"/>
      <c r="I16728" s="1245"/>
    </row>
    <row r="16729" spans="8:9">
      <c r="H16729" s="1245"/>
      <c r="I16729" s="1245"/>
    </row>
    <row r="16730" spans="8:9">
      <c r="H16730" s="1245"/>
      <c r="I16730" s="1245"/>
    </row>
    <row r="16731" spans="8:9">
      <c r="H16731" s="1245"/>
      <c r="I16731" s="1245"/>
    </row>
    <row r="16732" spans="8:9">
      <c r="H16732" s="1245"/>
      <c r="I16732" s="1245"/>
    </row>
    <row r="16733" spans="8:9">
      <c r="H16733" s="1245"/>
      <c r="I16733" s="1245"/>
    </row>
    <row r="16734" spans="8:9">
      <c r="H16734" s="1245"/>
      <c r="I16734" s="1245"/>
    </row>
    <row r="16735" spans="8:9">
      <c r="H16735" s="1245"/>
      <c r="I16735" s="1245"/>
    </row>
    <row r="16736" spans="8:9">
      <c r="H16736" s="1245"/>
      <c r="I16736" s="1245"/>
    </row>
    <row r="16737" spans="8:9">
      <c r="H16737" s="1245"/>
      <c r="I16737" s="1245"/>
    </row>
    <row r="16738" spans="8:9">
      <c r="H16738" s="1245"/>
      <c r="I16738" s="1245"/>
    </row>
    <row r="16739" spans="8:9">
      <c r="H16739" s="1245"/>
      <c r="I16739" s="1245"/>
    </row>
    <row r="16740" spans="8:9">
      <c r="H16740" s="1245"/>
      <c r="I16740" s="1245"/>
    </row>
    <row r="16741" spans="8:9">
      <c r="H16741" s="1245"/>
      <c r="I16741" s="1245"/>
    </row>
    <row r="16742" spans="8:9">
      <c r="H16742" s="1245"/>
      <c r="I16742" s="1245"/>
    </row>
    <row r="16743" spans="8:9">
      <c r="H16743" s="1245"/>
      <c r="I16743" s="1245"/>
    </row>
    <row r="16744" spans="8:9">
      <c r="H16744" s="1245"/>
      <c r="I16744" s="1245"/>
    </row>
    <row r="16745" spans="8:9">
      <c r="H16745" s="1245"/>
      <c r="I16745" s="1245"/>
    </row>
    <row r="16746" spans="8:9">
      <c r="H16746" s="1245"/>
      <c r="I16746" s="1245"/>
    </row>
    <row r="16747" spans="8:9">
      <c r="H16747" s="1245"/>
      <c r="I16747" s="1245"/>
    </row>
    <row r="16748" spans="8:9">
      <c r="H16748" s="1245"/>
      <c r="I16748" s="1245"/>
    </row>
    <row r="16749" spans="8:9">
      <c r="H16749" s="1245"/>
      <c r="I16749" s="1245"/>
    </row>
    <row r="16750" spans="8:9">
      <c r="H16750" s="1245"/>
      <c r="I16750" s="1245"/>
    </row>
    <row r="16751" spans="8:9">
      <c r="H16751" s="1245"/>
      <c r="I16751" s="1245"/>
    </row>
    <row r="16752" spans="8:9">
      <c r="H16752" s="1245"/>
      <c r="I16752" s="1245"/>
    </row>
    <row r="16753" spans="8:9">
      <c r="H16753" s="1245"/>
      <c r="I16753" s="1245"/>
    </row>
    <row r="16754" spans="8:9">
      <c r="H16754" s="1245"/>
      <c r="I16754" s="1245"/>
    </row>
    <row r="16755" spans="8:9">
      <c r="H16755" s="1245"/>
      <c r="I16755" s="1245"/>
    </row>
    <row r="16756" spans="8:9">
      <c r="H16756" s="1245"/>
      <c r="I16756" s="1245"/>
    </row>
    <row r="16757" spans="8:9">
      <c r="H16757" s="1245"/>
      <c r="I16757" s="1245"/>
    </row>
    <row r="16758" spans="8:9">
      <c r="H16758" s="1245"/>
      <c r="I16758" s="1245"/>
    </row>
    <row r="16759" spans="8:9">
      <c r="H16759" s="1245"/>
      <c r="I16759" s="1245"/>
    </row>
    <row r="16760" spans="8:9">
      <c r="H16760" s="1245"/>
      <c r="I16760" s="1245"/>
    </row>
    <row r="16761" spans="8:9">
      <c r="H16761" s="1245"/>
      <c r="I16761" s="1245"/>
    </row>
    <row r="16762" spans="8:9">
      <c r="H16762" s="1245"/>
      <c r="I16762" s="1245"/>
    </row>
    <row r="16763" spans="8:9">
      <c r="H16763" s="1245"/>
      <c r="I16763" s="1245"/>
    </row>
    <row r="16764" spans="8:9">
      <c r="H16764" s="1245"/>
      <c r="I16764" s="1245"/>
    </row>
    <row r="16765" spans="8:9">
      <c r="H16765" s="1245"/>
      <c r="I16765" s="1245"/>
    </row>
    <row r="16766" spans="8:9">
      <c r="H16766" s="1245"/>
      <c r="I16766" s="1245"/>
    </row>
    <row r="16767" spans="8:9">
      <c r="H16767" s="1245"/>
      <c r="I16767" s="1245"/>
    </row>
    <row r="16768" spans="8:9">
      <c r="H16768" s="1245"/>
      <c r="I16768" s="1245"/>
    </row>
    <row r="16769" spans="8:9">
      <c r="H16769" s="1245"/>
      <c r="I16769" s="1245"/>
    </row>
    <row r="16770" spans="8:9">
      <c r="H16770" s="1245"/>
      <c r="I16770" s="1245"/>
    </row>
    <row r="16771" spans="8:9">
      <c r="H16771" s="1245"/>
      <c r="I16771" s="1245"/>
    </row>
    <row r="16772" spans="8:9">
      <c r="H16772" s="1245"/>
      <c r="I16772" s="1245"/>
    </row>
    <row r="16773" spans="8:9">
      <c r="H16773" s="1245"/>
      <c r="I16773" s="1245"/>
    </row>
    <row r="16774" spans="8:9">
      <c r="H16774" s="1245"/>
      <c r="I16774" s="1245"/>
    </row>
    <row r="16775" spans="8:9">
      <c r="H16775" s="1245"/>
      <c r="I16775" s="1245"/>
    </row>
    <row r="16776" spans="8:9">
      <c r="H16776" s="1245"/>
      <c r="I16776" s="1245"/>
    </row>
    <row r="16777" spans="8:9">
      <c r="H16777" s="1245"/>
      <c r="I16777" s="1245"/>
    </row>
    <row r="16778" spans="8:9">
      <c r="H16778" s="1245"/>
      <c r="I16778" s="1245"/>
    </row>
    <row r="16779" spans="8:9">
      <c r="H16779" s="1245"/>
      <c r="I16779" s="1245"/>
    </row>
    <row r="16780" spans="8:9">
      <c r="H16780" s="1245"/>
      <c r="I16780" s="1245"/>
    </row>
    <row r="16781" spans="8:9">
      <c r="H16781" s="1245"/>
      <c r="I16781" s="1245"/>
    </row>
    <row r="16782" spans="8:9">
      <c r="H16782" s="1245"/>
      <c r="I16782" s="1245"/>
    </row>
    <row r="16783" spans="8:9">
      <c r="H16783" s="1245"/>
      <c r="I16783" s="1245"/>
    </row>
    <row r="16784" spans="8:9">
      <c r="H16784" s="1245"/>
      <c r="I16784" s="1245"/>
    </row>
    <row r="16785" spans="8:9">
      <c r="H16785" s="1245"/>
      <c r="I16785" s="1245"/>
    </row>
    <row r="16786" spans="8:9">
      <c r="H16786" s="1245"/>
      <c r="I16786" s="1245"/>
    </row>
    <row r="16787" spans="8:9">
      <c r="H16787" s="1245"/>
      <c r="I16787" s="1245"/>
    </row>
    <row r="16788" spans="8:9">
      <c r="H16788" s="1245"/>
      <c r="I16788" s="1245"/>
    </row>
    <row r="16789" spans="8:9">
      <c r="H16789" s="1245"/>
      <c r="I16789" s="1245"/>
    </row>
    <row r="16790" spans="8:9">
      <c r="H16790" s="1245"/>
      <c r="I16790" s="1245"/>
    </row>
    <row r="16791" spans="8:9">
      <c r="H16791" s="1245"/>
      <c r="I16791" s="1245"/>
    </row>
    <row r="16792" spans="8:9">
      <c r="H16792" s="1245"/>
      <c r="I16792" s="1245"/>
    </row>
    <row r="16793" spans="8:9">
      <c r="H16793" s="1245"/>
      <c r="I16793" s="1245"/>
    </row>
    <row r="16794" spans="8:9">
      <c r="H16794" s="1245"/>
      <c r="I16794" s="1245"/>
    </row>
    <row r="16795" spans="8:9">
      <c r="H16795" s="1245"/>
      <c r="I16795" s="1245"/>
    </row>
    <row r="16796" spans="8:9">
      <c r="H16796" s="1245"/>
      <c r="I16796" s="1245"/>
    </row>
    <row r="16797" spans="8:9">
      <c r="H16797" s="1245"/>
      <c r="I16797" s="1245"/>
    </row>
    <row r="16798" spans="8:9">
      <c r="H16798" s="1245"/>
      <c r="I16798" s="1245"/>
    </row>
    <row r="16799" spans="8:9">
      <c r="H16799" s="1245"/>
      <c r="I16799" s="1245"/>
    </row>
    <row r="16800" spans="8:9">
      <c r="H16800" s="1245"/>
      <c r="I16800" s="1245"/>
    </row>
    <row r="16801" spans="8:9">
      <c r="H16801" s="1245"/>
      <c r="I16801" s="1245"/>
    </row>
    <row r="16802" spans="8:9">
      <c r="H16802" s="1245"/>
      <c r="I16802" s="1245"/>
    </row>
    <row r="16803" spans="8:9">
      <c r="H16803" s="1245"/>
      <c r="I16803" s="1245"/>
    </row>
    <row r="16804" spans="8:9">
      <c r="H16804" s="1245"/>
      <c r="I16804" s="1245"/>
    </row>
    <row r="16805" spans="8:9">
      <c r="H16805" s="1245"/>
      <c r="I16805" s="1245"/>
    </row>
    <row r="16806" spans="8:9">
      <c r="H16806" s="1245"/>
      <c r="I16806" s="1245"/>
    </row>
    <row r="16807" spans="8:9">
      <c r="H16807" s="1245"/>
      <c r="I16807" s="1245"/>
    </row>
    <row r="16808" spans="8:9">
      <c r="H16808" s="1245"/>
      <c r="I16808" s="1245"/>
    </row>
    <row r="16809" spans="8:9">
      <c r="H16809" s="1245"/>
      <c r="I16809" s="1245"/>
    </row>
    <row r="16810" spans="8:9">
      <c r="H16810" s="1245"/>
      <c r="I16810" s="1245"/>
    </row>
    <row r="16811" spans="8:9">
      <c r="H16811" s="1245"/>
      <c r="I16811" s="1245"/>
    </row>
    <row r="16812" spans="8:9">
      <c r="H16812" s="1245"/>
      <c r="I16812" s="1245"/>
    </row>
    <row r="16813" spans="8:9">
      <c r="H16813" s="1245"/>
      <c r="I16813" s="1245"/>
    </row>
    <row r="16814" spans="8:9">
      <c r="H16814" s="1245"/>
      <c r="I16814" s="1245"/>
    </row>
    <row r="16815" spans="8:9">
      <c r="H16815" s="1245"/>
      <c r="I16815" s="1245"/>
    </row>
    <row r="16816" spans="8:9">
      <c r="H16816" s="1245"/>
      <c r="I16816" s="1245"/>
    </row>
    <row r="16817" spans="8:9">
      <c r="H16817" s="1245"/>
      <c r="I16817" s="1245"/>
    </row>
    <row r="16818" spans="8:9">
      <c r="H16818" s="1245"/>
      <c r="I16818" s="1245"/>
    </row>
    <row r="16819" spans="8:9">
      <c r="H16819" s="1245"/>
      <c r="I16819" s="1245"/>
    </row>
    <row r="16820" spans="8:9">
      <c r="H16820" s="1245"/>
      <c r="I16820" s="1245"/>
    </row>
    <row r="16821" spans="8:9">
      <c r="H16821" s="1245"/>
      <c r="I16821" s="1245"/>
    </row>
    <row r="16822" spans="8:9">
      <c r="H16822" s="1245"/>
      <c r="I16822" s="1245"/>
    </row>
    <row r="16823" spans="8:9">
      <c r="H16823" s="1245"/>
      <c r="I16823" s="1245"/>
    </row>
    <row r="16824" spans="8:9">
      <c r="H16824" s="1245"/>
      <c r="I16824" s="1245"/>
    </row>
    <row r="16825" spans="8:9">
      <c r="H16825" s="1245"/>
      <c r="I16825" s="1245"/>
    </row>
    <row r="16826" spans="8:9">
      <c r="H16826" s="1245"/>
      <c r="I16826" s="1245"/>
    </row>
    <row r="16827" spans="8:9">
      <c r="H16827" s="1245"/>
      <c r="I16827" s="1245"/>
    </row>
    <row r="16828" spans="8:9">
      <c r="H16828" s="1245"/>
      <c r="I16828" s="1245"/>
    </row>
    <row r="16829" spans="8:9">
      <c r="H16829" s="1245"/>
      <c r="I16829" s="1245"/>
    </row>
    <row r="16830" spans="8:9">
      <c r="H16830" s="1245"/>
      <c r="I16830" s="1245"/>
    </row>
    <row r="16831" spans="8:9">
      <c r="H16831" s="1245"/>
      <c r="I16831" s="1245"/>
    </row>
    <row r="16832" spans="8:9">
      <c r="H16832" s="1245"/>
      <c r="I16832" s="1245"/>
    </row>
    <row r="16833" spans="8:9">
      <c r="H16833" s="1245"/>
      <c r="I16833" s="1245"/>
    </row>
    <row r="16834" spans="8:9">
      <c r="H16834" s="1245"/>
      <c r="I16834" s="1245"/>
    </row>
    <row r="16835" spans="8:9">
      <c r="H16835" s="1245"/>
      <c r="I16835" s="1245"/>
    </row>
    <row r="16836" spans="8:9">
      <c r="H16836" s="1245"/>
      <c r="I16836" s="1245"/>
    </row>
    <row r="16837" spans="8:9">
      <c r="H16837" s="1245"/>
      <c r="I16837" s="1245"/>
    </row>
    <row r="16838" spans="8:9">
      <c r="H16838" s="1245"/>
      <c r="I16838" s="1245"/>
    </row>
    <row r="16839" spans="8:9">
      <c r="H16839" s="1245"/>
      <c r="I16839" s="1245"/>
    </row>
    <row r="16840" spans="8:9">
      <c r="H16840" s="1245"/>
      <c r="I16840" s="1245"/>
    </row>
    <row r="16841" spans="8:9">
      <c r="H16841" s="1245"/>
      <c r="I16841" s="1245"/>
    </row>
    <row r="16842" spans="8:9">
      <c r="H16842" s="1245"/>
      <c r="I16842" s="1245"/>
    </row>
    <row r="16843" spans="8:9">
      <c r="H16843" s="1245"/>
      <c r="I16843" s="1245"/>
    </row>
    <row r="16844" spans="8:9">
      <c r="H16844" s="1245"/>
      <c r="I16844" s="1245"/>
    </row>
    <row r="16845" spans="8:9">
      <c r="H16845" s="1245"/>
      <c r="I16845" s="1245"/>
    </row>
    <row r="16846" spans="8:9">
      <c r="H16846" s="1245"/>
      <c r="I16846" s="1245"/>
    </row>
    <row r="16847" spans="8:9">
      <c r="H16847" s="1245"/>
      <c r="I16847" s="1245"/>
    </row>
    <row r="16848" spans="8:9">
      <c r="H16848" s="1245"/>
      <c r="I16848" s="1245"/>
    </row>
    <row r="16849" spans="8:9">
      <c r="H16849" s="1245"/>
      <c r="I16849" s="1245"/>
    </row>
    <row r="16850" spans="8:9">
      <c r="H16850" s="1245"/>
      <c r="I16850" s="1245"/>
    </row>
    <row r="16851" spans="8:9">
      <c r="H16851" s="1245"/>
      <c r="I16851" s="1245"/>
    </row>
    <row r="16852" spans="8:9">
      <c r="H16852" s="1245"/>
      <c r="I16852" s="1245"/>
    </row>
    <row r="16853" spans="8:9">
      <c r="H16853" s="1245"/>
      <c r="I16853" s="1245"/>
    </row>
    <row r="16854" spans="8:9">
      <c r="H16854" s="1245"/>
      <c r="I16854" s="1245"/>
    </row>
    <row r="16855" spans="8:9">
      <c r="H16855" s="1245"/>
      <c r="I16855" s="1245"/>
    </row>
    <row r="16856" spans="8:9">
      <c r="H16856" s="1245"/>
      <c r="I16856" s="1245"/>
    </row>
    <row r="16857" spans="8:9">
      <c r="H16857" s="1245"/>
      <c r="I16857" s="1245"/>
    </row>
    <row r="16858" spans="8:9">
      <c r="H16858" s="1245"/>
      <c r="I16858" s="1245"/>
    </row>
    <row r="16859" spans="8:9">
      <c r="H16859" s="1245"/>
      <c r="I16859" s="1245"/>
    </row>
    <row r="16860" spans="8:9">
      <c r="H16860" s="1245"/>
      <c r="I16860" s="1245"/>
    </row>
    <row r="16861" spans="8:9">
      <c r="H16861" s="1245"/>
      <c r="I16861" s="1245"/>
    </row>
    <row r="16862" spans="8:9">
      <c r="H16862" s="1245"/>
      <c r="I16862" s="1245"/>
    </row>
    <row r="16863" spans="8:9">
      <c r="H16863" s="1245"/>
      <c r="I16863" s="1245"/>
    </row>
    <row r="16864" spans="8:9">
      <c r="H16864" s="1245"/>
      <c r="I16864" s="1245"/>
    </row>
    <row r="16865" spans="8:9">
      <c r="H16865" s="1245"/>
      <c r="I16865" s="1245"/>
    </row>
    <row r="16866" spans="8:9">
      <c r="H16866" s="1245"/>
      <c r="I16866" s="1245"/>
    </row>
    <row r="16867" spans="8:9">
      <c r="H16867" s="1245"/>
      <c r="I16867" s="1245"/>
    </row>
    <row r="16868" spans="8:9">
      <c r="H16868" s="1245"/>
      <c r="I16868" s="1245"/>
    </row>
    <row r="16869" spans="8:9">
      <c r="H16869" s="1245"/>
      <c r="I16869" s="1245"/>
    </row>
    <row r="16870" spans="8:9">
      <c r="H16870" s="1245"/>
      <c r="I16870" s="1245"/>
    </row>
    <row r="16871" spans="8:9">
      <c r="H16871" s="1245"/>
      <c r="I16871" s="1245"/>
    </row>
    <row r="16872" spans="8:9">
      <c r="H16872" s="1245"/>
      <c r="I16872" s="1245"/>
    </row>
    <row r="16873" spans="8:9">
      <c r="H16873" s="1245"/>
      <c r="I16873" s="1245"/>
    </row>
    <row r="16874" spans="8:9">
      <c r="H16874" s="1245"/>
      <c r="I16874" s="1245"/>
    </row>
    <row r="16875" spans="8:9">
      <c r="H16875" s="1245"/>
      <c r="I16875" s="1245"/>
    </row>
    <row r="16876" spans="8:9">
      <c r="H16876" s="1245"/>
      <c r="I16876" s="1245"/>
    </row>
    <row r="16877" spans="8:9">
      <c r="H16877" s="1245"/>
      <c r="I16877" s="1245"/>
    </row>
    <row r="16878" spans="8:9">
      <c r="H16878" s="1245"/>
      <c r="I16878" s="1245"/>
    </row>
    <row r="16879" spans="8:9">
      <c r="H16879" s="1245"/>
      <c r="I16879" s="1245"/>
    </row>
    <row r="16880" spans="8:9">
      <c r="H16880" s="1245"/>
      <c r="I16880" s="1245"/>
    </row>
    <row r="16881" spans="8:9">
      <c r="H16881" s="1245"/>
      <c r="I16881" s="1245"/>
    </row>
    <row r="16882" spans="8:9">
      <c r="H16882" s="1245"/>
      <c r="I16882" s="1245"/>
    </row>
    <row r="16883" spans="8:9">
      <c r="H16883" s="1245"/>
      <c r="I16883" s="1245"/>
    </row>
    <row r="16884" spans="8:9">
      <c r="H16884" s="1245"/>
      <c r="I16884" s="1245"/>
    </row>
    <row r="16885" spans="8:9">
      <c r="H16885" s="1245"/>
      <c r="I16885" s="1245"/>
    </row>
    <row r="16886" spans="8:9">
      <c r="H16886" s="1245"/>
      <c r="I16886" s="1245"/>
    </row>
    <row r="16887" spans="8:9">
      <c r="H16887" s="1245"/>
      <c r="I16887" s="1245"/>
    </row>
    <row r="16888" spans="8:9">
      <c r="H16888" s="1245"/>
      <c r="I16888" s="1245"/>
    </row>
    <row r="16889" spans="8:9">
      <c r="H16889" s="1245"/>
      <c r="I16889" s="1245"/>
    </row>
    <row r="16890" spans="8:9">
      <c r="H16890" s="1245"/>
      <c r="I16890" s="1245"/>
    </row>
    <row r="16891" spans="8:9">
      <c r="H16891" s="1245"/>
      <c r="I16891" s="1245"/>
    </row>
    <row r="16892" spans="8:9">
      <c r="H16892" s="1245"/>
      <c r="I16892" s="1245"/>
    </row>
    <row r="16893" spans="8:9">
      <c r="H16893" s="1245"/>
      <c r="I16893" s="1245"/>
    </row>
    <row r="16894" spans="8:9">
      <c r="H16894" s="1245"/>
      <c r="I16894" s="1245"/>
    </row>
    <row r="16895" spans="8:9">
      <c r="H16895" s="1245"/>
      <c r="I16895" s="1245"/>
    </row>
    <row r="16896" spans="8:9">
      <c r="H16896" s="1245"/>
      <c r="I16896" s="1245"/>
    </row>
    <row r="16897" spans="8:9">
      <c r="H16897" s="1245"/>
      <c r="I16897" s="1245"/>
    </row>
    <row r="16898" spans="8:9">
      <c r="H16898" s="1245"/>
      <c r="I16898" s="1245"/>
    </row>
    <row r="16899" spans="8:9">
      <c r="H16899" s="1245"/>
      <c r="I16899" s="1245"/>
    </row>
    <row r="16900" spans="8:9">
      <c r="H16900" s="1245"/>
      <c r="I16900" s="1245"/>
    </row>
    <row r="16901" spans="8:9">
      <c r="H16901" s="1245"/>
      <c r="I16901" s="1245"/>
    </row>
    <row r="16902" spans="8:9">
      <c r="H16902" s="1245"/>
      <c r="I16902" s="1245"/>
    </row>
    <row r="16903" spans="8:9">
      <c r="H16903" s="1245"/>
      <c r="I16903" s="1245"/>
    </row>
    <row r="16904" spans="8:9">
      <c r="H16904" s="1245"/>
      <c r="I16904" s="1245"/>
    </row>
    <row r="16905" spans="8:9">
      <c r="H16905" s="1245"/>
      <c r="I16905" s="1245"/>
    </row>
    <row r="16906" spans="8:9">
      <c r="H16906" s="1245"/>
      <c r="I16906" s="1245"/>
    </row>
    <row r="16907" spans="8:9">
      <c r="H16907" s="1245"/>
      <c r="I16907" s="1245"/>
    </row>
    <row r="16908" spans="8:9">
      <c r="H16908" s="1245"/>
      <c r="I16908" s="1245"/>
    </row>
    <row r="16909" spans="8:9">
      <c r="H16909" s="1245"/>
      <c r="I16909" s="1245"/>
    </row>
    <row r="16910" spans="8:9">
      <c r="H16910" s="1245"/>
      <c r="I16910" s="1245"/>
    </row>
    <row r="16911" spans="8:9">
      <c r="H16911" s="1245"/>
      <c r="I16911" s="1245"/>
    </row>
    <row r="16912" spans="8:9">
      <c r="H16912" s="1245"/>
      <c r="I16912" s="1245"/>
    </row>
    <row r="16913" spans="8:9">
      <c r="H16913" s="1245"/>
      <c r="I16913" s="1245"/>
    </row>
    <row r="16914" spans="8:9">
      <c r="H16914" s="1245"/>
      <c r="I16914" s="1245"/>
    </row>
    <row r="16915" spans="8:9">
      <c r="H16915" s="1245"/>
      <c r="I16915" s="1245"/>
    </row>
    <row r="16916" spans="8:9">
      <c r="H16916" s="1245"/>
      <c r="I16916" s="1245"/>
    </row>
    <row r="16917" spans="8:9">
      <c r="H16917" s="1245"/>
      <c r="I16917" s="1245"/>
    </row>
    <row r="16918" spans="8:9">
      <c r="H16918" s="1245"/>
      <c r="I16918" s="1245"/>
    </row>
    <row r="16919" spans="8:9">
      <c r="H16919" s="1245"/>
      <c r="I16919" s="1245"/>
    </row>
    <row r="16920" spans="8:9">
      <c r="H16920" s="1245"/>
      <c r="I16920" s="1245"/>
    </row>
    <row r="16921" spans="8:9">
      <c r="H16921" s="1245"/>
      <c r="I16921" s="1245"/>
    </row>
    <row r="16922" spans="8:9">
      <c r="H16922" s="1245"/>
      <c r="I16922" s="1245"/>
    </row>
    <row r="16923" spans="8:9">
      <c r="H16923" s="1245"/>
      <c r="I16923" s="1245"/>
    </row>
    <row r="16924" spans="8:9">
      <c r="H16924" s="1245"/>
      <c r="I16924" s="1245"/>
    </row>
    <row r="16925" spans="8:9">
      <c r="H16925" s="1245"/>
      <c r="I16925" s="1245"/>
    </row>
    <row r="16926" spans="8:9">
      <c r="H16926" s="1245"/>
      <c r="I16926" s="1245"/>
    </row>
    <row r="16927" spans="8:9">
      <c r="H16927" s="1245"/>
      <c r="I16927" s="1245"/>
    </row>
    <row r="16928" spans="8:9">
      <c r="H16928" s="1245"/>
      <c r="I16928" s="1245"/>
    </row>
    <row r="16929" spans="8:9">
      <c r="H16929" s="1245"/>
      <c r="I16929" s="1245"/>
    </row>
    <row r="16930" spans="8:9">
      <c r="H16930" s="1245"/>
      <c r="I16930" s="1245"/>
    </row>
    <row r="16931" spans="8:9">
      <c r="H16931" s="1245"/>
      <c r="I16931" s="1245"/>
    </row>
    <row r="16932" spans="8:9">
      <c r="H16932" s="1245"/>
      <c r="I16932" s="1245"/>
    </row>
    <row r="16933" spans="8:9">
      <c r="H16933" s="1245"/>
      <c r="I16933" s="1245"/>
    </row>
    <row r="16934" spans="8:9">
      <c r="H16934" s="1245"/>
      <c r="I16934" s="1245"/>
    </row>
    <row r="16935" spans="8:9">
      <c r="H16935" s="1245"/>
      <c r="I16935" s="1245"/>
    </row>
    <row r="16936" spans="8:9">
      <c r="H16936" s="1245"/>
      <c r="I16936" s="1245"/>
    </row>
    <row r="16937" spans="8:9">
      <c r="H16937" s="1245"/>
      <c r="I16937" s="1245"/>
    </row>
    <row r="16938" spans="8:9">
      <c r="H16938" s="1245"/>
      <c r="I16938" s="1245"/>
    </row>
    <row r="16939" spans="8:9">
      <c r="H16939" s="1245"/>
      <c r="I16939" s="1245"/>
    </row>
    <row r="16940" spans="8:9">
      <c r="H16940" s="1245"/>
      <c r="I16940" s="1245"/>
    </row>
    <row r="16941" spans="8:9">
      <c r="H16941" s="1245"/>
      <c r="I16941" s="1245"/>
    </row>
    <row r="16942" spans="8:9">
      <c r="H16942" s="1245"/>
      <c r="I16942" s="1245"/>
    </row>
    <row r="16943" spans="8:9">
      <c r="H16943" s="1245"/>
      <c r="I16943" s="1245"/>
    </row>
    <row r="16944" spans="8:9">
      <c r="H16944" s="1245"/>
      <c r="I16944" s="1245"/>
    </row>
    <row r="16945" spans="8:9">
      <c r="H16945" s="1245"/>
      <c r="I16945" s="1245"/>
    </row>
    <row r="16946" spans="8:9">
      <c r="H16946" s="1245"/>
      <c r="I16946" s="1245"/>
    </row>
    <row r="16947" spans="8:9">
      <c r="H16947" s="1245"/>
      <c r="I16947" s="1245"/>
    </row>
    <row r="16948" spans="8:9">
      <c r="H16948" s="1245"/>
      <c r="I16948" s="1245"/>
    </row>
    <row r="16949" spans="8:9">
      <c r="H16949" s="1245"/>
      <c r="I16949" s="1245"/>
    </row>
    <row r="16950" spans="8:9">
      <c r="H16950" s="1245"/>
      <c r="I16950" s="1245"/>
    </row>
    <row r="16951" spans="8:9">
      <c r="H16951" s="1245"/>
      <c r="I16951" s="1245"/>
    </row>
    <row r="16952" spans="8:9">
      <c r="H16952" s="1245"/>
      <c r="I16952" s="1245"/>
    </row>
    <row r="16953" spans="8:9">
      <c r="H16953" s="1245"/>
      <c r="I16953" s="1245"/>
    </row>
    <row r="16954" spans="8:9">
      <c r="H16954" s="1245"/>
      <c r="I16954" s="1245"/>
    </row>
    <row r="16955" spans="8:9">
      <c r="H16955" s="1245"/>
      <c r="I16955" s="1245"/>
    </row>
    <row r="16956" spans="8:9">
      <c r="H16956" s="1245"/>
      <c r="I16956" s="1245"/>
    </row>
    <row r="16957" spans="8:9">
      <c r="H16957" s="1245"/>
      <c r="I16957" s="1245"/>
    </row>
    <row r="16958" spans="8:9">
      <c r="H16958" s="1245"/>
      <c r="I16958" s="1245"/>
    </row>
    <row r="16959" spans="8:9">
      <c r="H16959" s="1245"/>
      <c r="I16959" s="1245"/>
    </row>
    <row r="16960" spans="8:9">
      <c r="H16960" s="1245"/>
      <c r="I16960" s="1245"/>
    </row>
    <row r="16961" spans="8:9">
      <c r="H16961" s="1245"/>
      <c r="I16961" s="1245"/>
    </row>
    <row r="16962" spans="8:9">
      <c r="H16962" s="1245"/>
      <c r="I16962" s="1245"/>
    </row>
    <row r="16963" spans="8:9">
      <c r="H16963" s="1245"/>
      <c r="I16963" s="1245"/>
    </row>
    <row r="16964" spans="8:9">
      <c r="H16964" s="1245"/>
      <c r="I16964" s="1245"/>
    </row>
    <row r="16965" spans="8:9">
      <c r="H16965" s="1245"/>
      <c r="I16965" s="1245"/>
    </row>
    <row r="16966" spans="8:9">
      <c r="H16966" s="1245"/>
      <c r="I16966" s="1245"/>
    </row>
    <row r="16967" spans="8:9">
      <c r="H16967" s="1245"/>
      <c r="I16967" s="1245"/>
    </row>
    <row r="16968" spans="8:9">
      <c r="H16968" s="1245"/>
      <c r="I16968" s="1245"/>
    </row>
    <row r="16969" spans="8:9">
      <c r="H16969" s="1245"/>
      <c r="I16969" s="1245"/>
    </row>
    <row r="16970" spans="8:9">
      <c r="H16970" s="1245"/>
      <c r="I16970" s="1245"/>
    </row>
    <row r="16971" spans="8:9">
      <c r="H16971" s="1245"/>
      <c r="I16971" s="1245"/>
    </row>
    <row r="16972" spans="8:9">
      <c r="H16972" s="1245"/>
      <c r="I16972" s="1245"/>
    </row>
    <row r="16973" spans="8:9">
      <c r="H16973" s="1245"/>
      <c r="I16973" s="1245"/>
    </row>
    <row r="16974" spans="8:9">
      <c r="H16974" s="1245"/>
      <c r="I16974" s="1245"/>
    </row>
    <row r="16975" spans="8:9">
      <c r="H16975" s="1245"/>
      <c r="I16975" s="1245"/>
    </row>
    <row r="16976" spans="8:9">
      <c r="H16976" s="1245"/>
      <c r="I16976" s="1245"/>
    </row>
    <row r="16977" spans="8:9">
      <c r="H16977" s="1245"/>
      <c r="I16977" s="1245"/>
    </row>
    <row r="16978" spans="8:9">
      <c r="H16978" s="1245"/>
      <c r="I16978" s="1245"/>
    </row>
    <row r="16979" spans="8:9">
      <c r="H16979" s="1245"/>
      <c r="I16979" s="1245"/>
    </row>
    <row r="16980" spans="8:9">
      <c r="H16980" s="1245"/>
      <c r="I16980" s="1245"/>
    </row>
    <row r="16981" spans="8:9">
      <c r="H16981" s="1245"/>
      <c r="I16981" s="1245"/>
    </row>
    <row r="16982" spans="8:9">
      <c r="H16982" s="1245"/>
      <c r="I16982" s="1245"/>
    </row>
    <row r="16983" spans="8:9">
      <c r="H16983" s="1245"/>
      <c r="I16983" s="1245"/>
    </row>
    <row r="16984" spans="8:9">
      <c r="H16984" s="1245"/>
      <c r="I16984" s="1245"/>
    </row>
    <row r="16985" spans="8:9">
      <c r="H16985" s="1245"/>
      <c r="I16985" s="1245"/>
    </row>
    <row r="16986" spans="8:9">
      <c r="H16986" s="1245"/>
      <c r="I16986" s="1245"/>
    </row>
    <row r="16987" spans="8:9">
      <c r="H16987" s="1245"/>
      <c r="I16987" s="1245"/>
    </row>
    <row r="16988" spans="8:9">
      <c r="H16988" s="1245"/>
      <c r="I16988" s="1245"/>
    </row>
    <row r="16989" spans="8:9">
      <c r="H16989" s="1245"/>
      <c r="I16989" s="1245"/>
    </row>
    <row r="16990" spans="8:9">
      <c r="H16990" s="1245"/>
      <c r="I16990" s="1245"/>
    </row>
    <row r="16991" spans="8:9">
      <c r="H16991" s="1245"/>
      <c r="I16991" s="1245"/>
    </row>
    <row r="16992" spans="8:9">
      <c r="H16992" s="1245"/>
      <c r="I16992" s="1245"/>
    </row>
    <row r="16993" spans="8:9">
      <c r="H16993" s="1245"/>
      <c r="I16993" s="1245"/>
    </row>
    <row r="16994" spans="8:9">
      <c r="H16994" s="1245"/>
      <c r="I16994" s="1245"/>
    </row>
    <row r="16995" spans="8:9">
      <c r="H16995" s="1245"/>
      <c r="I16995" s="1245"/>
    </row>
    <row r="16996" spans="8:9">
      <c r="H16996" s="1245"/>
      <c r="I16996" s="1245"/>
    </row>
    <row r="16997" spans="8:9">
      <c r="H16997" s="1245"/>
      <c r="I16997" s="1245"/>
    </row>
    <row r="16998" spans="8:9">
      <c r="H16998" s="1245"/>
      <c r="I16998" s="1245"/>
    </row>
    <row r="16999" spans="8:9">
      <c r="H16999" s="1245"/>
      <c r="I16999" s="1245"/>
    </row>
    <row r="17000" spans="8:9">
      <c r="H17000" s="1245"/>
      <c r="I17000" s="1245"/>
    </row>
    <row r="17001" spans="8:9">
      <c r="H17001" s="1245"/>
      <c r="I17001" s="1245"/>
    </row>
    <row r="17002" spans="8:9">
      <c r="H17002" s="1245"/>
      <c r="I17002" s="1245"/>
    </row>
    <row r="17003" spans="8:9">
      <c r="H17003" s="1245"/>
      <c r="I17003" s="1245"/>
    </row>
    <row r="17004" spans="8:9">
      <c r="H17004" s="1245"/>
      <c r="I17004" s="1245"/>
    </row>
    <row r="17005" spans="8:9">
      <c r="H17005" s="1245"/>
      <c r="I17005" s="1245"/>
    </row>
    <row r="17006" spans="8:9">
      <c r="H17006" s="1245"/>
      <c r="I17006" s="1245"/>
    </row>
    <row r="17007" spans="8:9">
      <c r="H17007" s="1245"/>
      <c r="I17007" s="1245"/>
    </row>
    <row r="17008" spans="8:9">
      <c r="H17008" s="1245"/>
      <c r="I17008" s="1245"/>
    </row>
    <row r="17009" spans="8:9">
      <c r="H17009" s="1245"/>
      <c r="I17009" s="1245"/>
    </row>
    <row r="17010" spans="8:9">
      <c r="H17010" s="1245"/>
      <c r="I17010" s="1245"/>
    </row>
    <row r="17011" spans="8:9">
      <c r="H17011" s="1245"/>
      <c r="I17011" s="1245"/>
    </row>
    <row r="17012" spans="8:9">
      <c r="H17012" s="1245"/>
      <c r="I17012" s="1245"/>
    </row>
    <row r="17013" spans="8:9">
      <c r="H17013" s="1245"/>
      <c r="I17013" s="1245"/>
    </row>
    <row r="17014" spans="8:9">
      <c r="H17014" s="1245"/>
      <c r="I17014" s="1245"/>
    </row>
    <row r="17015" spans="8:9">
      <c r="H17015" s="1245"/>
      <c r="I17015" s="1245"/>
    </row>
    <row r="17016" spans="8:9">
      <c r="H17016" s="1245"/>
      <c r="I17016" s="1245"/>
    </row>
    <row r="17017" spans="8:9">
      <c r="H17017" s="1245"/>
      <c r="I17017" s="1245"/>
    </row>
    <row r="17018" spans="8:9">
      <c r="H17018" s="1245"/>
      <c r="I17018" s="1245"/>
    </row>
    <row r="17019" spans="8:9">
      <c r="H17019" s="1245"/>
      <c r="I17019" s="1245"/>
    </row>
    <row r="17020" spans="8:9">
      <c r="H17020" s="1245"/>
      <c r="I17020" s="1245"/>
    </row>
    <row r="17021" spans="8:9">
      <c r="H17021" s="1245"/>
      <c r="I17021" s="1245"/>
    </row>
    <row r="17022" spans="8:9">
      <c r="H17022" s="1245"/>
      <c r="I17022" s="1245"/>
    </row>
    <row r="17023" spans="8:9">
      <c r="H17023" s="1245"/>
      <c r="I17023" s="1245"/>
    </row>
    <row r="17024" spans="8:9">
      <c r="H17024" s="1245"/>
      <c r="I17024" s="1245"/>
    </row>
    <row r="17025" spans="8:9">
      <c r="H17025" s="1245"/>
      <c r="I17025" s="1245"/>
    </row>
    <row r="17026" spans="8:9">
      <c r="H17026" s="1245"/>
      <c r="I17026" s="1245"/>
    </row>
    <row r="17027" spans="8:9">
      <c r="H17027" s="1245"/>
      <c r="I17027" s="1245"/>
    </row>
    <row r="17028" spans="8:9">
      <c r="H17028" s="1245"/>
      <c r="I17028" s="1245"/>
    </row>
    <row r="17029" spans="8:9">
      <c r="H17029" s="1245"/>
      <c r="I17029" s="1245"/>
    </row>
    <row r="17030" spans="8:9">
      <c r="H17030" s="1245"/>
      <c r="I17030" s="1245"/>
    </row>
    <row r="17031" spans="8:9">
      <c r="H17031" s="1245"/>
      <c r="I17031" s="1245"/>
    </row>
    <row r="17032" spans="8:9">
      <c r="H17032" s="1245"/>
      <c r="I17032" s="1245"/>
    </row>
    <row r="17033" spans="8:9">
      <c r="H17033" s="1245"/>
      <c r="I17033" s="1245"/>
    </row>
    <row r="17034" spans="8:9">
      <c r="H17034" s="1245"/>
      <c r="I17034" s="1245"/>
    </row>
    <row r="17035" spans="8:9">
      <c r="H17035" s="1245"/>
      <c r="I17035" s="1245"/>
    </row>
    <row r="17036" spans="8:9">
      <c r="H17036" s="1245"/>
      <c r="I17036" s="1245"/>
    </row>
    <row r="17037" spans="8:9">
      <c r="H17037" s="1245"/>
      <c r="I17037" s="1245"/>
    </row>
    <row r="17038" spans="8:9">
      <c r="H17038" s="1245"/>
      <c r="I17038" s="1245"/>
    </row>
    <row r="17039" spans="8:9">
      <c r="H17039" s="1245"/>
      <c r="I17039" s="1245"/>
    </row>
    <row r="17040" spans="8:9">
      <c r="H17040" s="1245"/>
      <c r="I17040" s="1245"/>
    </row>
    <row r="17041" spans="8:9">
      <c r="H17041" s="1245"/>
      <c r="I17041" s="1245"/>
    </row>
    <row r="17042" spans="8:9">
      <c r="H17042" s="1245"/>
      <c r="I17042" s="1245"/>
    </row>
    <row r="17043" spans="8:9">
      <c r="H17043" s="1245"/>
      <c r="I17043" s="1245"/>
    </row>
    <row r="17044" spans="8:9">
      <c r="H17044" s="1245"/>
      <c r="I17044" s="1245"/>
    </row>
    <row r="17045" spans="8:9">
      <c r="H17045" s="1245"/>
      <c r="I17045" s="1245"/>
    </row>
    <row r="17046" spans="8:9">
      <c r="H17046" s="1245"/>
      <c r="I17046" s="1245"/>
    </row>
    <row r="17047" spans="8:9">
      <c r="H17047" s="1245"/>
      <c r="I17047" s="1245"/>
    </row>
    <row r="17048" spans="8:9">
      <c r="H17048" s="1245"/>
      <c r="I17048" s="1245"/>
    </row>
    <row r="17049" spans="8:9">
      <c r="H17049" s="1245"/>
      <c r="I17049" s="1245"/>
    </row>
    <row r="17050" spans="8:9">
      <c r="H17050" s="1245"/>
      <c r="I17050" s="1245"/>
    </row>
    <row r="17051" spans="8:9">
      <c r="H17051" s="1245"/>
      <c r="I17051" s="1245"/>
    </row>
    <row r="17052" spans="8:9">
      <c r="H17052" s="1245"/>
      <c r="I17052" s="1245"/>
    </row>
    <row r="17053" spans="8:9">
      <c r="H17053" s="1245"/>
      <c r="I17053" s="1245"/>
    </row>
    <row r="17054" spans="8:9">
      <c r="H17054" s="1245"/>
      <c r="I17054" s="1245"/>
    </row>
    <row r="17055" spans="8:9">
      <c r="H17055" s="1245"/>
      <c r="I17055" s="1245"/>
    </row>
    <row r="17056" spans="8:9">
      <c r="H17056" s="1245"/>
      <c r="I17056" s="1245"/>
    </row>
    <row r="17057" spans="8:9">
      <c r="H17057" s="1245"/>
      <c r="I17057" s="1245"/>
    </row>
    <row r="17058" spans="8:9">
      <c r="H17058" s="1245"/>
      <c r="I17058" s="1245"/>
    </row>
    <row r="17059" spans="8:9">
      <c r="H17059" s="1245"/>
      <c r="I17059" s="1245"/>
    </row>
    <row r="17060" spans="8:9">
      <c r="H17060" s="1245"/>
      <c r="I17060" s="1245"/>
    </row>
    <row r="17061" spans="8:9">
      <c r="H17061" s="1245"/>
      <c r="I17061" s="1245"/>
    </row>
    <row r="17062" spans="8:9">
      <c r="H17062" s="1245"/>
      <c r="I17062" s="1245"/>
    </row>
    <row r="17063" spans="8:9">
      <c r="H17063" s="1245"/>
      <c r="I17063" s="1245"/>
    </row>
    <row r="17064" spans="8:9">
      <c r="H17064" s="1245"/>
      <c r="I17064" s="1245"/>
    </row>
    <row r="17065" spans="8:9">
      <c r="H17065" s="1245"/>
      <c r="I17065" s="1245"/>
    </row>
    <row r="17066" spans="8:9">
      <c r="H17066" s="1245"/>
      <c r="I17066" s="1245"/>
    </row>
    <row r="17067" spans="8:9">
      <c r="H17067" s="1245"/>
      <c r="I17067" s="1245"/>
    </row>
    <row r="17068" spans="8:9">
      <c r="H17068" s="1245"/>
      <c r="I17068" s="1245"/>
    </row>
    <row r="17069" spans="8:9">
      <c r="H17069" s="1245"/>
      <c r="I17069" s="1245"/>
    </row>
    <row r="17070" spans="8:9">
      <c r="H17070" s="1245"/>
      <c r="I17070" s="1245"/>
    </row>
    <row r="17071" spans="8:9">
      <c r="H17071" s="1245"/>
      <c r="I17071" s="1245"/>
    </row>
    <row r="17072" spans="8:9">
      <c r="H17072" s="1245"/>
      <c r="I17072" s="1245"/>
    </row>
    <row r="17073" spans="8:9">
      <c r="H17073" s="1245"/>
      <c r="I17073" s="1245"/>
    </row>
    <row r="17074" spans="8:9">
      <c r="H17074" s="1245"/>
      <c r="I17074" s="1245"/>
    </row>
    <row r="17075" spans="8:9">
      <c r="H17075" s="1245"/>
      <c r="I17075" s="1245"/>
    </row>
    <row r="17076" spans="8:9">
      <c r="H17076" s="1245"/>
      <c r="I17076" s="1245"/>
    </row>
    <row r="17077" spans="8:9">
      <c r="H17077" s="1245"/>
      <c r="I17077" s="1245"/>
    </row>
    <row r="17078" spans="8:9">
      <c r="H17078" s="1245"/>
      <c r="I17078" s="1245"/>
    </row>
    <row r="17079" spans="8:9">
      <c r="H17079" s="1245"/>
      <c r="I17079" s="1245"/>
    </row>
    <row r="17080" spans="8:9">
      <c r="H17080" s="1245"/>
      <c r="I17080" s="1245"/>
    </row>
    <row r="17081" spans="8:9">
      <c r="H17081" s="1245"/>
      <c r="I17081" s="1245"/>
    </row>
    <row r="17082" spans="8:9">
      <c r="H17082" s="1245"/>
      <c r="I17082" s="1245"/>
    </row>
    <row r="17083" spans="8:9">
      <c r="H17083" s="1245"/>
      <c r="I17083" s="1245"/>
    </row>
    <row r="17084" spans="8:9">
      <c r="H17084" s="1245"/>
      <c r="I17084" s="1245"/>
    </row>
    <row r="17085" spans="8:9">
      <c r="H17085" s="1245"/>
      <c r="I17085" s="1245"/>
    </row>
    <row r="17086" spans="8:9">
      <c r="H17086" s="1245"/>
      <c r="I17086" s="1245"/>
    </row>
    <row r="17087" spans="8:9">
      <c r="H17087" s="1245"/>
      <c r="I17087" s="1245"/>
    </row>
    <row r="17088" spans="8:9">
      <c r="H17088" s="1245"/>
      <c r="I17088" s="1245"/>
    </row>
    <row r="17089" spans="8:9">
      <c r="H17089" s="1245"/>
      <c r="I17089" s="1245"/>
    </row>
    <row r="17090" spans="8:9">
      <c r="H17090" s="1245"/>
      <c r="I17090" s="1245"/>
    </row>
    <row r="17091" spans="8:9">
      <c r="H17091" s="1245"/>
      <c r="I17091" s="1245"/>
    </row>
    <row r="17092" spans="8:9">
      <c r="H17092" s="1245"/>
      <c r="I17092" s="1245"/>
    </row>
    <row r="17093" spans="8:9">
      <c r="H17093" s="1245"/>
      <c r="I17093" s="1245"/>
    </row>
    <row r="17094" spans="8:9">
      <c r="H17094" s="1245"/>
      <c r="I17094" s="1245"/>
    </row>
    <row r="17095" spans="8:9">
      <c r="H17095" s="1245"/>
      <c r="I17095" s="1245"/>
    </row>
    <row r="17096" spans="8:9">
      <c r="H17096" s="1245"/>
      <c r="I17096" s="1245"/>
    </row>
    <row r="17097" spans="8:9">
      <c r="H17097" s="1245"/>
      <c r="I17097" s="1245"/>
    </row>
    <row r="17098" spans="8:9">
      <c r="H17098" s="1245"/>
      <c r="I17098" s="1245"/>
    </row>
    <row r="17099" spans="8:9">
      <c r="H17099" s="1245"/>
      <c r="I17099" s="1245"/>
    </row>
    <row r="17100" spans="8:9">
      <c r="H17100" s="1245"/>
      <c r="I17100" s="1245"/>
    </row>
    <row r="17101" spans="8:9">
      <c r="H17101" s="1245"/>
      <c r="I17101" s="1245"/>
    </row>
    <row r="17102" spans="8:9">
      <c r="H17102" s="1245"/>
      <c r="I17102" s="1245"/>
    </row>
    <row r="17103" spans="8:9">
      <c r="H17103" s="1245"/>
      <c r="I17103" s="1245"/>
    </row>
    <row r="17104" spans="8:9">
      <c r="H17104" s="1245"/>
      <c r="I17104" s="1245"/>
    </row>
    <row r="17105" spans="8:9">
      <c r="H17105" s="1245"/>
      <c r="I17105" s="1245"/>
    </row>
    <row r="17106" spans="8:9">
      <c r="H17106" s="1245"/>
      <c r="I17106" s="1245"/>
    </row>
    <row r="17107" spans="8:9">
      <c r="H17107" s="1245"/>
      <c r="I17107" s="1245"/>
    </row>
    <row r="17108" spans="8:9">
      <c r="H17108" s="1245"/>
      <c r="I17108" s="1245"/>
    </row>
    <row r="17109" spans="8:9">
      <c r="H17109" s="1245"/>
      <c r="I17109" s="1245"/>
    </row>
    <row r="17110" spans="8:9">
      <c r="H17110" s="1245"/>
      <c r="I17110" s="1245"/>
    </row>
    <row r="17111" spans="8:9">
      <c r="H17111" s="1245"/>
      <c r="I17111" s="1245"/>
    </row>
    <row r="17112" spans="8:9">
      <c r="H17112" s="1245"/>
      <c r="I17112" s="1245"/>
    </row>
    <row r="17113" spans="8:9">
      <c r="H17113" s="1245"/>
      <c r="I17113" s="1245"/>
    </row>
    <row r="17114" spans="8:9">
      <c r="H17114" s="1245"/>
      <c r="I17114" s="1245"/>
    </row>
    <row r="17115" spans="8:9">
      <c r="H17115" s="1245"/>
      <c r="I17115" s="1245"/>
    </row>
    <row r="17116" spans="8:9">
      <c r="H17116" s="1245"/>
      <c r="I17116" s="1245"/>
    </row>
    <row r="17117" spans="8:9">
      <c r="H17117" s="1245"/>
      <c r="I17117" s="1245"/>
    </row>
    <row r="17118" spans="8:9">
      <c r="H17118" s="1245"/>
      <c r="I17118" s="1245"/>
    </row>
    <row r="17119" spans="8:9">
      <c r="H17119" s="1245"/>
      <c r="I17119" s="1245"/>
    </row>
    <row r="17120" spans="8:9">
      <c r="H17120" s="1245"/>
      <c r="I17120" s="1245"/>
    </row>
    <row r="17121" spans="8:9">
      <c r="H17121" s="1245"/>
      <c r="I17121" s="1245"/>
    </row>
    <row r="17122" spans="8:9">
      <c r="H17122" s="1245"/>
      <c r="I17122" s="1245"/>
    </row>
    <row r="17123" spans="8:9">
      <c r="H17123" s="1245"/>
      <c r="I17123" s="1245"/>
    </row>
    <row r="17124" spans="8:9">
      <c r="H17124" s="1245"/>
      <c r="I17124" s="1245"/>
    </row>
    <row r="17125" spans="8:9">
      <c r="H17125" s="1245"/>
      <c r="I17125" s="1245"/>
    </row>
    <row r="17126" spans="8:9">
      <c r="H17126" s="1245"/>
      <c r="I17126" s="1245"/>
    </row>
    <row r="17127" spans="8:9">
      <c r="H17127" s="1245"/>
      <c r="I17127" s="1245"/>
    </row>
    <row r="17128" spans="8:9">
      <c r="H17128" s="1245"/>
      <c r="I17128" s="1245"/>
    </row>
    <row r="17129" spans="8:9">
      <c r="H17129" s="1245"/>
      <c r="I17129" s="1245"/>
    </row>
    <row r="17130" spans="8:9">
      <c r="H17130" s="1245"/>
      <c r="I17130" s="1245"/>
    </row>
    <row r="17131" spans="8:9">
      <c r="H17131" s="1245"/>
      <c r="I17131" s="1245"/>
    </row>
    <row r="17132" spans="8:9">
      <c r="H17132" s="1245"/>
      <c r="I17132" s="1245"/>
    </row>
    <row r="17133" spans="8:9">
      <c r="H17133" s="1245"/>
      <c r="I17133" s="1245"/>
    </row>
    <row r="17134" spans="8:9">
      <c r="H17134" s="1245"/>
      <c r="I17134" s="1245"/>
    </row>
    <row r="17135" spans="8:9">
      <c r="H17135" s="1245"/>
      <c r="I17135" s="1245"/>
    </row>
    <row r="17136" spans="8:9">
      <c r="H17136" s="1245"/>
      <c r="I17136" s="1245"/>
    </row>
    <row r="17137" spans="8:9">
      <c r="H17137" s="1245"/>
      <c r="I17137" s="1245"/>
    </row>
    <row r="17138" spans="8:9">
      <c r="H17138" s="1245"/>
      <c r="I17138" s="1245"/>
    </row>
    <row r="17139" spans="8:9">
      <c r="H17139" s="1245"/>
      <c r="I17139" s="1245"/>
    </row>
    <row r="17140" spans="8:9">
      <c r="H17140" s="1245"/>
      <c r="I17140" s="1245"/>
    </row>
    <row r="17141" spans="8:9">
      <c r="H17141" s="1245"/>
      <c r="I17141" s="1245"/>
    </row>
    <row r="17142" spans="8:9">
      <c r="H17142" s="1245"/>
      <c r="I17142" s="1245"/>
    </row>
    <row r="17143" spans="8:9">
      <c r="H17143" s="1245"/>
      <c r="I17143" s="1245"/>
    </row>
    <row r="17144" spans="8:9">
      <c r="H17144" s="1245"/>
      <c r="I17144" s="1245"/>
    </row>
    <row r="17145" spans="8:9">
      <c r="H17145" s="1245"/>
      <c r="I17145" s="1245"/>
    </row>
    <row r="17146" spans="8:9">
      <c r="H17146" s="1245"/>
      <c r="I17146" s="1245"/>
    </row>
    <row r="17147" spans="8:9">
      <c r="H17147" s="1245"/>
      <c r="I17147" s="1245"/>
    </row>
    <row r="17148" spans="8:9">
      <c r="H17148" s="1245"/>
      <c r="I17148" s="1245"/>
    </row>
    <row r="17149" spans="8:9">
      <c r="H17149" s="1245"/>
      <c r="I17149" s="1245"/>
    </row>
    <row r="17150" spans="8:9">
      <c r="H17150" s="1245"/>
      <c r="I17150" s="1245"/>
    </row>
    <row r="17151" spans="8:9">
      <c r="H17151" s="1245"/>
      <c r="I17151" s="1245"/>
    </row>
    <row r="17152" spans="8:9">
      <c r="H17152" s="1245"/>
      <c r="I17152" s="1245"/>
    </row>
    <row r="17153" spans="8:9">
      <c r="H17153" s="1245"/>
      <c r="I17153" s="1245"/>
    </row>
    <row r="17154" spans="8:9">
      <c r="H17154" s="1245"/>
      <c r="I17154" s="1245"/>
    </row>
    <row r="17155" spans="8:9">
      <c r="H17155" s="1245"/>
      <c r="I17155" s="1245"/>
    </row>
    <row r="17156" spans="8:9">
      <c r="H17156" s="1245"/>
      <c r="I17156" s="1245"/>
    </row>
    <row r="17157" spans="8:9">
      <c r="H17157" s="1245"/>
      <c r="I17157" s="1245"/>
    </row>
    <row r="17158" spans="8:9">
      <c r="H17158" s="1245"/>
      <c r="I17158" s="1245"/>
    </row>
    <row r="17159" spans="8:9">
      <c r="H17159" s="1245"/>
      <c r="I17159" s="1245"/>
    </row>
    <row r="17160" spans="8:9">
      <c r="H17160" s="1245"/>
      <c r="I17160" s="1245"/>
    </row>
    <row r="17161" spans="8:9">
      <c r="H17161" s="1245"/>
      <c r="I17161" s="1245"/>
    </row>
    <row r="17162" spans="8:9">
      <c r="H17162" s="1245"/>
      <c r="I17162" s="1245"/>
    </row>
    <row r="17163" spans="8:9">
      <c r="H17163" s="1245"/>
      <c r="I17163" s="1245"/>
    </row>
    <row r="17164" spans="8:9">
      <c r="H17164" s="1245"/>
      <c r="I17164" s="1245"/>
    </row>
    <row r="17165" spans="8:9">
      <c r="H17165" s="1245"/>
      <c r="I17165" s="1245"/>
    </row>
    <row r="17166" spans="8:9">
      <c r="H17166" s="1245"/>
      <c r="I17166" s="1245"/>
    </row>
    <row r="17167" spans="8:9">
      <c r="H17167" s="1245"/>
      <c r="I17167" s="1245"/>
    </row>
    <row r="17168" spans="8:9">
      <c r="H17168" s="1245"/>
      <c r="I17168" s="1245"/>
    </row>
    <row r="17169" spans="8:9">
      <c r="H17169" s="1245"/>
      <c r="I17169" s="1245"/>
    </row>
    <row r="17170" spans="8:9">
      <c r="H17170" s="1245"/>
      <c r="I17170" s="1245"/>
    </row>
    <row r="17171" spans="8:9">
      <c r="H17171" s="1245"/>
      <c r="I17171" s="1245"/>
    </row>
    <row r="17172" spans="8:9">
      <c r="H17172" s="1245"/>
      <c r="I17172" s="1245"/>
    </row>
    <row r="17173" spans="8:9">
      <c r="H17173" s="1245"/>
      <c r="I17173" s="1245"/>
    </row>
    <row r="17174" spans="8:9">
      <c r="H17174" s="1245"/>
      <c r="I17174" s="1245"/>
    </row>
    <row r="17175" spans="8:9">
      <c r="H17175" s="1245"/>
      <c r="I17175" s="1245"/>
    </row>
    <row r="17176" spans="8:9">
      <c r="H17176" s="1245"/>
      <c r="I17176" s="1245"/>
    </row>
    <row r="17177" spans="8:9">
      <c r="H17177" s="1245"/>
      <c r="I17177" s="1245"/>
    </row>
    <row r="17178" spans="8:9">
      <c r="H17178" s="1245"/>
      <c r="I17178" s="1245"/>
    </row>
    <row r="17179" spans="8:9">
      <c r="H17179" s="1245"/>
      <c r="I17179" s="1245"/>
    </row>
    <row r="17180" spans="8:9">
      <c r="H17180" s="1245"/>
      <c r="I17180" s="1245"/>
    </row>
    <row r="17181" spans="8:9">
      <c r="H17181" s="1245"/>
      <c r="I17181" s="1245"/>
    </row>
    <row r="17182" spans="8:9">
      <c r="H17182" s="1245"/>
      <c r="I17182" s="1245"/>
    </row>
    <row r="17183" spans="8:9">
      <c r="H17183" s="1245"/>
      <c r="I17183" s="1245"/>
    </row>
    <row r="17184" spans="8:9">
      <c r="H17184" s="1245"/>
      <c r="I17184" s="1245"/>
    </row>
    <row r="17185" spans="8:9">
      <c r="H17185" s="1245"/>
      <c r="I17185" s="1245"/>
    </row>
    <row r="17186" spans="8:9">
      <c r="H17186" s="1245"/>
      <c r="I17186" s="1245"/>
    </row>
    <row r="17187" spans="8:9">
      <c r="H17187" s="1245"/>
      <c r="I17187" s="1245"/>
    </row>
    <row r="17188" spans="8:9">
      <c r="H17188" s="1245"/>
      <c r="I17188" s="1245"/>
    </row>
    <row r="17189" spans="8:9">
      <c r="H17189" s="1245"/>
      <c r="I17189" s="1245"/>
    </row>
    <row r="17190" spans="8:9">
      <c r="H17190" s="1245"/>
      <c r="I17190" s="1245"/>
    </row>
    <row r="17191" spans="8:9">
      <c r="H17191" s="1245"/>
      <c r="I17191" s="1245"/>
    </row>
    <row r="17192" spans="8:9">
      <c r="H17192" s="1245"/>
      <c r="I17192" s="1245"/>
    </row>
    <row r="17193" spans="8:9">
      <c r="H17193" s="1245"/>
      <c r="I17193" s="1245"/>
    </row>
    <row r="17194" spans="8:9">
      <c r="H17194" s="1245"/>
      <c r="I17194" s="1245"/>
    </row>
    <row r="17195" spans="8:9">
      <c r="H17195" s="1245"/>
      <c r="I17195" s="1245"/>
    </row>
    <row r="17196" spans="8:9">
      <c r="H17196" s="1245"/>
      <c r="I17196" s="1245"/>
    </row>
    <row r="17197" spans="8:9">
      <c r="H17197" s="1245"/>
      <c r="I17197" s="1245"/>
    </row>
    <row r="17198" spans="8:9">
      <c r="H17198" s="1245"/>
      <c r="I17198" s="1245"/>
    </row>
    <row r="17199" spans="8:9">
      <c r="H17199" s="1245"/>
      <c r="I17199" s="1245"/>
    </row>
    <row r="17200" spans="8:9">
      <c r="H17200" s="1245"/>
      <c r="I17200" s="1245"/>
    </row>
    <row r="17201" spans="8:9">
      <c r="H17201" s="1245"/>
      <c r="I17201" s="1245"/>
    </row>
    <row r="17202" spans="8:9">
      <c r="H17202" s="1245"/>
      <c r="I17202" s="1245"/>
    </row>
    <row r="17203" spans="8:9">
      <c r="H17203" s="1245"/>
      <c r="I17203" s="1245"/>
    </row>
    <row r="17204" spans="8:9">
      <c r="H17204" s="1245"/>
      <c r="I17204" s="1245"/>
    </row>
    <row r="17205" spans="8:9">
      <c r="H17205" s="1245"/>
      <c r="I17205" s="1245"/>
    </row>
    <row r="17206" spans="8:9">
      <c r="H17206" s="1245"/>
      <c r="I17206" s="1245"/>
    </row>
    <row r="17207" spans="8:9">
      <c r="H17207" s="1245"/>
      <c r="I17207" s="1245"/>
    </row>
    <row r="17208" spans="8:9">
      <c r="H17208" s="1245"/>
      <c r="I17208" s="1245"/>
    </row>
    <row r="17209" spans="8:9">
      <c r="H17209" s="1245"/>
      <c r="I17209" s="1245"/>
    </row>
    <row r="17210" spans="8:9">
      <c r="H17210" s="1245"/>
      <c r="I17210" s="1245"/>
    </row>
    <row r="17211" spans="8:9">
      <c r="H17211" s="1245"/>
      <c r="I17211" s="1245"/>
    </row>
    <row r="17212" spans="8:9">
      <c r="H17212" s="1245"/>
      <c r="I17212" s="1245"/>
    </row>
    <row r="17213" spans="8:9">
      <c r="H17213" s="1245"/>
      <c r="I17213" s="1245"/>
    </row>
    <row r="17214" spans="8:9">
      <c r="H17214" s="1245"/>
      <c r="I17214" s="1245"/>
    </row>
    <row r="17215" spans="8:9">
      <c r="H17215" s="1245"/>
      <c r="I17215" s="1245"/>
    </row>
    <row r="17216" spans="8:9">
      <c r="H17216" s="1245"/>
      <c r="I17216" s="1245"/>
    </row>
    <row r="17217" spans="8:9">
      <c r="H17217" s="1245"/>
      <c r="I17217" s="1245"/>
    </row>
    <row r="17218" spans="8:9">
      <c r="H17218" s="1245"/>
      <c r="I17218" s="1245"/>
    </row>
    <row r="17219" spans="8:9">
      <c r="H17219" s="1245"/>
      <c r="I17219" s="1245"/>
    </row>
    <row r="17220" spans="8:9">
      <c r="H17220" s="1245"/>
      <c r="I17220" s="1245"/>
    </row>
    <row r="17221" spans="8:9">
      <c r="H17221" s="1245"/>
      <c r="I17221" s="1245"/>
    </row>
    <row r="17222" spans="8:9">
      <c r="H17222" s="1245"/>
      <c r="I17222" s="1245"/>
    </row>
    <row r="17223" spans="8:9">
      <c r="H17223" s="1245"/>
      <c r="I17223" s="1245"/>
    </row>
    <row r="17224" spans="8:9">
      <c r="H17224" s="1245"/>
      <c r="I17224" s="1245"/>
    </row>
    <row r="17225" spans="8:9">
      <c r="H17225" s="1245"/>
      <c r="I17225" s="1245"/>
    </row>
    <row r="17226" spans="8:9">
      <c r="H17226" s="1245"/>
      <c r="I17226" s="1245"/>
    </row>
    <row r="17227" spans="8:9">
      <c r="H17227" s="1245"/>
      <c r="I17227" s="1245"/>
    </row>
    <row r="17228" spans="8:9">
      <c r="H17228" s="1245"/>
      <c r="I17228" s="1245"/>
    </row>
    <row r="17229" spans="8:9">
      <c r="H17229" s="1245"/>
      <c r="I17229" s="1245"/>
    </row>
    <row r="17230" spans="8:9">
      <c r="H17230" s="1245"/>
      <c r="I17230" s="1245"/>
    </row>
    <row r="17231" spans="8:9">
      <c r="H17231" s="1245"/>
      <c r="I17231" s="1245"/>
    </row>
    <row r="17232" spans="8:9">
      <c r="H17232" s="1245"/>
      <c r="I17232" s="1245"/>
    </row>
    <row r="17233" spans="8:9">
      <c r="H17233" s="1245"/>
      <c r="I17233" s="1245"/>
    </row>
    <row r="17234" spans="8:9">
      <c r="H17234" s="1245"/>
      <c r="I17234" s="1245"/>
    </row>
    <row r="17235" spans="8:9">
      <c r="H17235" s="1245"/>
      <c r="I17235" s="1245"/>
    </row>
    <row r="17236" spans="8:9">
      <c r="H17236" s="1245"/>
      <c r="I17236" s="1245"/>
    </row>
    <row r="17237" spans="8:9">
      <c r="H17237" s="1245"/>
      <c r="I17237" s="1245"/>
    </row>
    <row r="17238" spans="8:9">
      <c r="H17238" s="1245"/>
      <c r="I17238" s="1245"/>
    </row>
    <row r="17239" spans="8:9">
      <c r="H17239" s="1245"/>
      <c r="I17239" s="1245"/>
    </row>
    <row r="17240" spans="8:9">
      <c r="H17240" s="1245"/>
      <c r="I17240" s="1245"/>
    </row>
    <row r="17241" spans="8:9">
      <c r="H17241" s="1245"/>
      <c r="I17241" s="1245"/>
    </row>
    <row r="17242" spans="8:9">
      <c r="H17242" s="1245"/>
      <c r="I17242" s="1245"/>
    </row>
    <row r="17243" spans="8:9">
      <c r="H17243" s="1245"/>
      <c r="I17243" s="1245"/>
    </row>
    <row r="17244" spans="8:9">
      <c r="H17244" s="1245"/>
      <c r="I17244" s="1245"/>
    </row>
    <row r="17245" spans="8:9">
      <c r="H17245" s="1245"/>
      <c r="I17245" s="1245"/>
    </row>
    <row r="17246" spans="8:9">
      <c r="H17246" s="1245"/>
      <c r="I17246" s="1245"/>
    </row>
    <row r="17247" spans="8:9">
      <c r="H17247" s="1245"/>
      <c r="I17247" s="1245"/>
    </row>
    <row r="17248" spans="8:9">
      <c r="H17248" s="1245"/>
      <c r="I17248" s="1245"/>
    </row>
    <row r="17249" spans="8:9">
      <c r="H17249" s="1245"/>
      <c r="I17249" s="1245"/>
    </row>
    <row r="17250" spans="8:9">
      <c r="H17250" s="1245"/>
      <c r="I17250" s="1245"/>
    </row>
    <row r="17251" spans="8:9">
      <c r="H17251" s="1245"/>
      <c r="I17251" s="1245"/>
    </row>
    <row r="17252" spans="8:9">
      <c r="H17252" s="1245"/>
      <c r="I17252" s="1245"/>
    </row>
    <row r="17253" spans="8:9">
      <c r="H17253" s="1245"/>
      <c r="I17253" s="1245"/>
    </row>
    <row r="17254" spans="8:9">
      <c r="H17254" s="1245"/>
      <c r="I17254" s="1245"/>
    </row>
    <row r="17255" spans="8:9">
      <c r="H17255" s="1245"/>
      <c r="I17255" s="1245"/>
    </row>
    <row r="17256" spans="8:9">
      <c r="H17256" s="1245"/>
      <c r="I17256" s="1245"/>
    </row>
    <row r="17257" spans="8:9">
      <c r="H17257" s="1245"/>
      <c r="I17257" s="1245"/>
    </row>
    <row r="17258" spans="8:9">
      <c r="H17258" s="1245"/>
      <c r="I17258" s="1245"/>
    </row>
    <row r="17259" spans="8:9">
      <c r="H17259" s="1245"/>
      <c r="I17259" s="1245"/>
    </row>
    <row r="17260" spans="8:9">
      <c r="H17260" s="1245"/>
      <c r="I17260" s="1245"/>
    </row>
    <row r="17261" spans="8:9">
      <c r="H17261" s="1245"/>
      <c r="I17261" s="1245"/>
    </row>
    <row r="17262" spans="8:9">
      <c r="H17262" s="1245"/>
      <c r="I17262" s="1245"/>
    </row>
    <row r="17263" spans="8:9">
      <c r="H17263" s="1245"/>
      <c r="I17263" s="1245"/>
    </row>
    <row r="17264" spans="8:9">
      <c r="H17264" s="1245"/>
      <c r="I17264" s="1245"/>
    </row>
    <row r="17265" spans="8:9">
      <c r="H17265" s="1245"/>
      <c r="I17265" s="1245"/>
    </row>
    <row r="17266" spans="8:9">
      <c r="H17266" s="1245"/>
      <c r="I17266" s="1245"/>
    </row>
    <row r="17267" spans="8:9">
      <c r="H17267" s="1245"/>
      <c r="I17267" s="1245"/>
    </row>
    <row r="17268" spans="8:9">
      <c r="H17268" s="1245"/>
      <c r="I17268" s="1245"/>
    </row>
    <row r="17269" spans="8:9">
      <c r="H17269" s="1245"/>
      <c r="I17269" s="1245"/>
    </row>
    <row r="17270" spans="8:9">
      <c r="H17270" s="1245"/>
      <c r="I17270" s="1245"/>
    </row>
    <row r="17271" spans="8:9">
      <c r="H17271" s="1245"/>
      <c r="I17271" s="1245"/>
    </row>
    <row r="17272" spans="8:9">
      <c r="H17272" s="1245"/>
      <c r="I17272" s="1245"/>
    </row>
    <row r="17273" spans="8:9">
      <c r="H17273" s="1245"/>
      <c r="I17273" s="1245"/>
    </row>
    <row r="17274" spans="8:9">
      <c r="H17274" s="1245"/>
      <c r="I17274" s="1245"/>
    </row>
    <row r="17275" spans="8:9">
      <c r="H17275" s="1245"/>
      <c r="I17275" s="1245"/>
    </row>
    <row r="17276" spans="8:9">
      <c r="H17276" s="1245"/>
      <c r="I17276" s="1245"/>
    </row>
    <row r="17277" spans="8:9">
      <c r="H17277" s="1245"/>
      <c r="I17277" s="1245"/>
    </row>
    <row r="17278" spans="8:9">
      <c r="H17278" s="1245"/>
      <c r="I17278" s="1245"/>
    </row>
    <row r="17279" spans="8:9">
      <c r="H17279" s="1245"/>
      <c r="I17279" s="1245"/>
    </row>
    <row r="17280" spans="8:9">
      <c r="H17280" s="1245"/>
      <c r="I17280" s="1245"/>
    </row>
    <row r="17281" spans="8:9">
      <c r="H17281" s="1245"/>
      <c r="I17281" s="1245"/>
    </row>
    <row r="17282" spans="8:9">
      <c r="H17282" s="1245"/>
      <c r="I17282" s="1245"/>
    </row>
    <row r="17283" spans="8:9">
      <c r="H17283" s="1245"/>
      <c r="I17283" s="1245"/>
    </row>
    <row r="17284" spans="8:9">
      <c r="H17284" s="1245"/>
      <c r="I17284" s="1245"/>
    </row>
    <row r="17285" spans="8:9">
      <c r="H17285" s="1245"/>
      <c r="I17285" s="1245"/>
    </row>
    <row r="17286" spans="8:9">
      <c r="H17286" s="1245"/>
      <c r="I17286" s="1245"/>
    </row>
    <row r="17287" spans="8:9">
      <c r="H17287" s="1245"/>
      <c r="I17287" s="1245"/>
    </row>
    <row r="17288" spans="8:9">
      <c r="H17288" s="1245"/>
      <c r="I17288" s="1245"/>
    </row>
    <row r="17289" spans="8:9">
      <c r="H17289" s="1245"/>
      <c r="I17289" s="1245"/>
    </row>
    <row r="17290" spans="8:9">
      <c r="H17290" s="1245"/>
      <c r="I17290" s="1245"/>
    </row>
    <row r="17291" spans="8:9">
      <c r="H17291" s="1245"/>
      <c r="I17291" s="1245"/>
    </row>
    <row r="17292" spans="8:9">
      <c r="H17292" s="1245"/>
      <c r="I17292" s="1245"/>
    </row>
    <row r="17293" spans="8:9">
      <c r="H17293" s="1245"/>
      <c r="I17293" s="1245"/>
    </row>
    <row r="17294" spans="8:9">
      <c r="H17294" s="1245"/>
      <c r="I17294" s="1245"/>
    </row>
    <row r="17295" spans="8:9">
      <c r="H17295" s="1245"/>
      <c r="I17295" s="1245"/>
    </row>
    <row r="17296" spans="8:9">
      <c r="H17296" s="1245"/>
      <c r="I17296" s="1245"/>
    </row>
    <row r="17297" spans="8:9">
      <c r="H17297" s="1245"/>
      <c r="I17297" s="1245"/>
    </row>
    <row r="17298" spans="8:9">
      <c r="H17298" s="1245"/>
      <c r="I17298" s="1245"/>
    </row>
    <row r="17299" spans="8:9">
      <c r="H17299" s="1245"/>
      <c r="I17299" s="1245"/>
    </row>
    <row r="17300" spans="8:9">
      <c r="H17300" s="1245"/>
      <c r="I17300" s="1245"/>
    </row>
    <row r="17301" spans="8:9">
      <c r="H17301" s="1245"/>
      <c r="I17301" s="1245"/>
    </row>
    <row r="17302" spans="8:9">
      <c r="H17302" s="1245"/>
      <c r="I17302" s="1245"/>
    </row>
    <row r="17303" spans="8:9">
      <c r="H17303" s="1245"/>
      <c r="I17303" s="1245"/>
    </row>
    <row r="17304" spans="8:9">
      <c r="H17304" s="1245"/>
      <c r="I17304" s="1245"/>
    </row>
    <row r="17305" spans="8:9">
      <c r="H17305" s="1245"/>
      <c r="I17305" s="1245"/>
    </row>
    <row r="17306" spans="8:9">
      <c r="H17306" s="1245"/>
      <c r="I17306" s="1245"/>
    </row>
    <row r="17307" spans="8:9">
      <c r="H17307" s="1245"/>
      <c r="I17307" s="1245"/>
    </row>
    <row r="17308" spans="8:9">
      <c r="H17308" s="1245"/>
      <c r="I17308" s="1245"/>
    </row>
    <row r="17309" spans="8:9">
      <c r="H17309" s="1245"/>
      <c r="I17309" s="1245"/>
    </row>
    <row r="17310" spans="8:9">
      <c r="H17310" s="1245"/>
      <c r="I17310" s="1245"/>
    </row>
    <row r="17311" spans="8:9">
      <c r="H17311" s="1245"/>
      <c r="I17311" s="1245"/>
    </row>
    <row r="17312" spans="8:9">
      <c r="H17312" s="1245"/>
      <c r="I17312" s="1245"/>
    </row>
    <row r="17313" spans="8:9">
      <c r="H17313" s="1245"/>
      <c r="I17313" s="1245"/>
    </row>
    <row r="17314" spans="8:9">
      <c r="H17314" s="1245"/>
      <c r="I17314" s="1245"/>
    </row>
    <row r="17315" spans="8:9">
      <c r="H17315" s="1245"/>
      <c r="I17315" s="1245"/>
    </row>
    <row r="17316" spans="8:9">
      <c r="H17316" s="1245"/>
      <c r="I17316" s="1245"/>
    </row>
    <row r="17317" spans="8:9">
      <c r="H17317" s="1245"/>
      <c r="I17317" s="1245"/>
    </row>
    <row r="17318" spans="8:9">
      <c r="H17318" s="1245"/>
      <c r="I17318" s="1245"/>
    </row>
    <row r="17319" spans="8:9">
      <c r="H17319" s="1245"/>
      <c r="I17319" s="1245"/>
    </row>
    <row r="17320" spans="8:9">
      <c r="H17320" s="1245"/>
      <c r="I17320" s="1245"/>
    </row>
    <row r="17321" spans="8:9">
      <c r="H17321" s="1245"/>
      <c r="I17321" s="1245"/>
    </row>
    <row r="17322" spans="8:9">
      <c r="H17322" s="1245"/>
      <c r="I17322" s="1245"/>
    </row>
    <row r="17323" spans="8:9">
      <c r="H17323" s="1245"/>
      <c r="I17323" s="1245"/>
    </row>
    <row r="17324" spans="8:9">
      <c r="H17324" s="1245"/>
      <c r="I17324" s="1245"/>
    </row>
    <row r="17325" spans="8:9">
      <c r="H17325" s="1245"/>
      <c r="I17325" s="1245"/>
    </row>
    <row r="17326" spans="8:9">
      <c r="H17326" s="1245"/>
      <c r="I17326" s="1245"/>
    </row>
    <row r="17327" spans="8:9">
      <c r="H17327" s="1245"/>
      <c r="I17327" s="1245"/>
    </row>
    <row r="17328" spans="8:9">
      <c r="H17328" s="1245"/>
      <c r="I17328" s="1245"/>
    </row>
    <row r="17329" spans="8:9">
      <c r="H17329" s="1245"/>
      <c r="I17329" s="1245"/>
    </row>
    <row r="17330" spans="8:9">
      <c r="H17330" s="1245"/>
      <c r="I17330" s="1245"/>
    </row>
    <row r="17331" spans="8:9">
      <c r="H17331" s="1245"/>
      <c r="I17331" s="1245"/>
    </row>
    <row r="17332" spans="8:9">
      <c r="H17332" s="1245"/>
      <c r="I17332" s="1245"/>
    </row>
    <row r="17333" spans="8:9">
      <c r="H17333" s="1245"/>
      <c r="I17333" s="1245"/>
    </row>
    <row r="17334" spans="8:9">
      <c r="H17334" s="1245"/>
      <c r="I17334" s="1245"/>
    </row>
    <row r="17335" spans="8:9">
      <c r="H17335" s="1245"/>
      <c r="I17335" s="1245"/>
    </row>
    <row r="17336" spans="8:9">
      <c r="H17336" s="1245"/>
      <c r="I17336" s="1245"/>
    </row>
    <row r="17337" spans="8:9">
      <c r="H17337" s="1245"/>
      <c r="I17337" s="1245"/>
    </row>
    <row r="17338" spans="8:9">
      <c r="H17338" s="1245"/>
      <c r="I17338" s="1245"/>
    </row>
    <row r="17339" spans="8:9">
      <c r="H17339" s="1245"/>
      <c r="I17339" s="1245"/>
    </row>
    <row r="17340" spans="8:9">
      <c r="H17340" s="1245"/>
      <c r="I17340" s="1245"/>
    </row>
    <row r="17341" spans="8:9">
      <c r="H17341" s="1245"/>
      <c r="I17341" s="1245"/>
    </row>
    <row r="17342" spans="8:9">
      <c r="H17342" s="1245"/>
      <c r="I17342" s="1245"/>
    </row>
    <row r="17343" spans="8:9">
      <c r="H17343" s="1245"/>
      <c r="I17343" s="1245"/>
    </row>
    <row r="17344" spans="8:9">
      <c r="H17344" s="1245"/>
      <c r="I17344" s="1245"/>
    </row>
    <row r="17345" spans="8:9">
      <c r="H17345" s="1245"/>
      <c r="I17345" s="1245"/>
    </row>
    <row r="17346" spans="8:9">
      <c r="H17346" s="1245"/>
      <c r="I17346" s="1245"/>
    </row>
    <row r="17347" spans="8:9">
      <c r="H17347" s="1245"/>
      <c r="I17347" s="1245"/>
    </row>
    <row r="17348" spans="8:9">
      <c r="H17348" s="1245"/>
      <c r="I17348" s="1245"/>
    </row>
    <row r="17349" spans="8:9">
      <c r="H17349" s="1245"/>
      <c r="I17349" s="1245"/>
    </row>
    <row r="17350" spans="8:9">
      <c r="H17350" s="1245"/>
      <c r="I17350" s="1245"/>
    </row>
    <row r="17351" spans="8:9">
      <c r="H17351" s="1245"/>
      <c r="I17351" s="1245"/>
    </row>
    <row r="17352" spans="8:9">
      <c r="H17352" s="1245"/>
      <c r="I17352" s="1245"/>
    </row>
    <row r="17353" spans="8:9">
      <c r="H17353" s="1245"/>
      <c r="I17353" s="1245"/>
    </row>
    <row r="17354" spans="8:9">
      <c r="H17354" s="1245"/>
      <c r="I17354" s="1245"/>
    </row>
    <row r="17355" spans="8:9">
      <c r="H17355" s="1245"/>
      <c r="I17355" s="1245"/>
    </row>
    <row r="17356" spans="8:9">
      <c r="H17356" s="1245"/>
      <c r="I17356" s="1245"/>
    </row>
    <row r="17357" spans="8:9">
      <c r="H17357" s="1245"/>
      <c r="I17357" s="1245"/>
    </row>
    <row r="17358" spans="8:9">
      <c r="H17358" s="1245"/>
      <c r="I17358" s="1245"/>
    </row>
    <row r="17359" spans="8:9">
      <c r="H17359" s="1245"/>
      <c r="I17359" s="1245"/>
    </row>
    <row r="17360" spans="8:9">
      <c r="H17360" s="1245"/>
      <c r="I17360" s="1245"/>
    </row>
    <row r="17361" spans="8:9">
      <c r="H17361" s="1245"/>
      <c r="I17361" s="1245"/>
    </row>
    <row r="17362" spans="8:9">
      <c r="H17362" s="1245"/>
      <c r="I17362" s="1245"/>
    </row>
    <row r="17363" spans="8:9">
      <c r="H17363" s="1245"/>
      <c r="I17363" s="1245"/>
    </row>
    <row r="17364" spans="8:9">
      <c r="H17364" s="1245"/>
      <c r="I17364" s="1245"/>
    </row>
    <row r="17365" spans="8:9">
      <c r="H17365" s="1245"/>
      <c r="I17365" s="1245"/>
    </row>
    <row r="17366" spans="8:9">
      <c r="H17366" s="1245"/>
      <c r="I17366" s="1245"/>
    </row>
    <row r="17367" spans="8:9">
      <c r="H17367" s="1245"/>
      <c r="I17367" s="1245"/>
    </row>
    <row r="17368" spans="8:9">
      <c r="H17368" s="1245"/>
      <c r="I17368" s="1245"/>
    </row>
    <row r="17369" spans="8:9">
      <c r="H17369" s="1245"/>
      <c r="I17369" s="1245"/>
    </row>
    <row r="17370" spans="8:9">
      <c r="H17370" s="1245"/>
      <c r="I17370" s="1245"/>
    </row>
    <row r="17371" spans="8:9">
      <c r="H17371" s="1245"/>
      <c r="I17371" s="1245"/>
    </row>
    <row r="17372" spans="8:9">
      <c r="H17372" s="1245"/>
      <c r="I17372" s="1245"/>
    </row>
    <row r="17373" spans="8:9">
      <c r="H17373" s="1245"/>
      <c r="I17373" s="1245"/>
    </row>
    <row r="17374" spans="8:9">
      <c r="H17374" s="1245"/>
      <c r="I17374" s="1245"/>
    </row>
    <row r="17375" spans="8:9">
      <c r="H17375" s="1245"/>
      <c r="I17375" s="1245"/>
    </row>
    <row r="17376" spans="8:9">
      <c r="H17376" s="1245"/>
      <c r="I17376" s="1245"/>
    </row>
    <row r="17377" spans="8:9">
      <c r="H17377" s="1245"/>
      <c r="I17377" s="1245"/>
    </row>
    <row r="17378" spans="8:9">
      <c r="H17378" s="1245"/>
      <c r="I17378" s="1245"/>
    </row>
    <row r="17379" spans="8:9">
      <c r="H17379" s="1245"/>
      <c r="I17379" s="1245"/>
    </row>
    <row r="17380" spans="8:9">
      <c r="H17380" s="1245"/>
      <c r="I17380" s="1245"/>
    </row>
    <row r="17381" spans="8:9">
      <c r="H17381" s="1245"/>
      <c r="I17381" s="1245"/>
    </row>
    <row r="17382" spans="8:9">
      <c r="H17382" s="1245"/>
      <c r="I17382" s="1245"/>
    </row>
    <row r="17383" spans="8:9">
      <c r="H17383" s="1245"/>
      <c r="I17383" s="1245"/>
    </row>
    <row r="17384" spans="8:9">
      <c r="H17384" s="1245"/>
      <c r="I17384" s="1245"/>
    </row>
    <row r="17385" spans="8:9">
      <c r="H17385" s="1245"/>
      <c r="I17385" s="1245"/>
    </row>
    <row r="17386" spans="8:9">
      <c r="H17386" s="1245"/>
      <c r="I17386" s="1245"/>
    </row>
    <row r="17387" spans="8:9">
      <c r="H17387" s="1245"/>
      <c r="I17387" s="1245"/>
    </row>
    <row r="17388" spans="8:9">
      <c r="H17388" s="1245"/>
      <c r="I17388" s="1245"/>
    </row>
    <row r="17389" spans="8:9">
      <c r="H17389" s="1245"/>
      <c r="I17389" s="1245"/>
    </row>
    <row r="17390" spans="8:9">
      <c r="H17390" s="1245"/>
      <c r="I17390" s="1245"/>
    </row>
    <row r="17391" spans="8:9">
      <c r="H17391" s="1245"/>
      <c r="I17391" s="1245"/>
    </row>
    <row r="17392" spans="8:9">
      <c r="H17392" s="1245"/>
      <c r="I17392" s="1245"/>
    </row>
    <row r="17393" spans="8:9">
      <c r="H17393" s="1245"/>
      <c r="I17393" s="1245"/>
    </row>
    <row r="17394" spans="8:9">
      <c r="H17394" s="1245"/>
      <c r="I17394" s="1245"/>
    </row>
    <row r="17395" spans="8:9">
      <c r="H17395" s="1245"/>
      <c r="I17395" s="1245"/>
    </row>
    <row r="17396" spans="8:9">
      <c r="H17396" s="1245"/>
      <c r="I17396" s="1245"/>
    </row>
    <row r="17397" spans="8:9">
      <c r="H17397" s="1245"/>
      <c r="I17397" s="1245"/>
    </row>
    <row r="17398" spans="8:9">
      <c r="H17398" s="1245"/>
      <c r="I17398" s="1245"/>
    </row>
    <row r="17399" spans="8:9">
      <c r="H17399" s="1245"/>
      <c r="I17399" s="1245"/>
    </row>
    <row r="17400" spans="8:9">
      <c r="H17400" s="1245"/>
      <c r="I17400" s="1245"/>
    </row>
    <row r="17401" spans="8:9">
      <c r="H17401" s="1245"/>
      <c r="I17401" s="1245"/>
    </row>
    <row r="17402" spans="8:9">
      <c r="H17402" s="1245"/>
      <c r="I17402" s="1245"/>
    </row>
    <row r="17403" spans="8:9">
      <c r="H17403" s="1245"/>
      <c r="I17403" s="1245"/>
    </row>
    <row r="17404" spans="8:9">
      <c r="H17404" s="1245"/>
      <c r="I17404" s="1245"/>
    </row>
    <row r="17405" spans="8:9">
      <c r="H17405" s="1245"/>
      <c r="I17405" s="1245"/>
    </row>
    <row r="17406" spans="8:9">
      <c r="H17406" s="1245"/>
      <c r="I17406" s="1245"/>
    </row>
    <row r="17407" spans="8:9">
      <c r="H17407" s="1245"/>
      <c r="I17407" s="1245"/>
    </row>
    <row r="17408" spans="8:9">
      <c r="H17408" s="1245"/>
      <c r="I17408" s="1245"/>
    </row>
    <row r="17409" spans="8:9">
      <c r="H17409" s="1245"/>
      <c r="I17409" s="1245"/>
    </row>
    <row r="17410" spans="8:9">
      <c r="H17410" s="1245"/>
      <c r="I17410" s="1245"/>
    </row>
    <row r="17411" spans="8:9">
      <c r="H17411" s="1245"/>
      <c r="I17411" s="1245"/>
    </row>
    <row r="17412" spans="8:9">
      <c r="H17412" s="1245"/>
      <c r="I17412" s="1245"/>
    </row>
    <row r="17413" spans="8:9">
      <c r="H17413" s="1245"/>
      <c r="I17413" s="1245"/>
    </row>
    <row r="17414" spans="8:9">
      <c r="H17414" s="1245"/>
      <c r="I17414" s="1245"/>
    </row>
    <row r="17415" spans="8:9">
      <c r="H17415" s="1245"/>
      <c r="I17415" s="1245"/>
    </row>
    <row r="17416" spans="8:9">
      <c r="H17416" s="1245"/>
      <c r="I17416" s="1245"/>
    </row>
    <row r="17417" spans="8:9">
      <c r="H17417" s="1245"/>
      <c r="I17417" s="1245"/>
    </row>
    <row r="17418" spans="8:9">
      <c r="H17418" s="1245"/>
      <c r="I17418" s="1245"/>
    </row>
    <row r="17419" spans="8:9">
      <c r="H17419" s="1245"/>
      <c r="I17419" s="1245"/>
    </row>
    <row r="17420" spans="8:9">
      <c r="H17420" s="1245"/>
      <c r="I17420" s="1245"/>
    </row>
    <row r="17421" spans="8:9">
      <c r="H17421" s="1245"/>
      <c r="I17421" s="1245"/>
    </row>
    <row r="17422" spans="8:9">
      <c r="H17422" s="1245"/>
      <c r="I17422" s="1245"/>
    </row>
    <row r="17423" spans="8:9">
      <c r="H17423" s="1245"/>
      <c r="I17423" s="1245"/>
    </row>
    <row r="17424" spans="8:9">
      <c r="H17424" s="1245"/>
      <c r="I17424" s="1245"/>
    </row>
    <row r="17425" spans="8:9">
      <c r="H17425" s="1245"/>
      <c r="I17425" s="1245"/>
    </row>
    <row r="17426" spans="8:9">
      <c r="H17426" s="1245"/>
      <c r="I17426" s="1245"/>
    </row>
    <row r="17427" spans="8:9">
      <c r="H17427" s="1245"/>
      <c r="I17427" s="1245"/>
    </row>
    <row r="17428" spans="8:9">
      <c r="H17428" s="1245"/>
      <c r="I17428" s="1245"/>
    </row>
    <row r="17429" spans="8:9">
      <c r="H17429" s="1245"/>
      <c r="I17429" s="1245"/>
    </row>
    <row r="17430" spans="8:9">
      <c r="H17430" s="1245"/>
      <c r="I17430" s="1245"/>
    </row>
    <row r="17431" spans="8:9">
      <c r="H17431" s="1245"/>
      <c r="I17431" s="1245"/>
    </row>
    <row r="17432" spans="8:9">
      <c r="H17432" s="1245"/>
      <c r="I17432" s="1245"/>
    </row>
    <row r="17433" spans="8:9">
      <c r="H17433" s="1245"/>
      <c r="I17433" s="1245"/>
    </row>
    <row r="17434" spans="8:9">
      <c r="H17434" s="1245"/>
      <c r="I17434" s="1245"/>
    </row>
    <row r="17435" spans="8:9">
      <c r="H17435" s="1245"/>
      <c r="I17435" s="1245"/>
    </row>
    <row r="17436" spans="8:9">
      <c r="H17436" s="1245"/>
      <c r="I17436" s="1245"/>
    </row>
    <row r="17437" spans="8:9">
      <c r="H17437" s="1245"/>
      <c r="I17437" s="1245"/>
    </row>
    <row r="17438" spans="8:9">
      <c r="H17438" s="1245"/>
      <c r="I17438" s="1245"/>
    </row>
    <row r="17439" spans="8:9">
      <c r="H17439" s="1245"/>
      <c r="I17439" s="1245"/>
    </row>
    <row r="17440" spans="8:9">
      <c r="H17440" s="1245"/>
      <c r="I17440" s="1245"/>
    </row>
    <row r="17441" spans="8:9">
      <c r="H17441" s="1245"/>
      <c r="I17441" s="1245"/>
    </row>
    <row r="17442" spans="8:9">
      <c r="H17442" s="1245"/>
      <c r="I17442" s="1245"/>
    </row>
    <row r="17443" spans="8:9">
      <c r="H17443" s="1245"/>
      <c r="I17443" s="1245"/>
    </row>
    <row r="17444" spans="8:9">
      <c r="H17444" s="1245"/>
      <c r="I17444" s="1245"/>
    </row>
    <row r="17445" spans="8:9">
      <c r="H17445" s="1245"/>
      <c r="I17445" s="1245"/>
    </row>
    <row r="17446" spans="8:9">
      <c r="H17446" s="1245"/>
      <c r="I17446" s="1245"/>
    </row>
    <row r="17447" spans="8:9">
      <c r="H17447" s="1245"/>
      <c r="I17447" s="1245"/>
    </row>
    <row r="17448" spans="8:9">
      <c r="H17448" s="1245"/>
      <c r="I17448" s="1245"/>
    </row>
    <row r="17449" spans="8:9">
      <c r="H17449" s="1245"/>
      <c r="I17449" s="1245"/>
    </row>
    <row r="17450" spans="8:9">
      <c r="H17450" s="1245"/>
      <c r="I17450" s="1245"/>
    </row>
    <row r="17451" spans="8:9">
      <c r="H17451" s="1245"/>
      <c r="I17451" s="1245"/>
    </row>
    <row r="17452" spans="8:9">
      <c r="H17452" s="1245"/>
      <c r="I17452" s="1245"/>
    </row>
    <row r="17453" spans="8:9">
      <c r="H17453" s="1245"/>
      <c r="I17453" s="1245"/>
    </row>
    <row r="17454" spans="8:9">
      <c r="H17454" s="1245"/>
      <c r="I17454" s="1245"/>
    </row>
    <row r="17455" spans="8:9">
      <c r="H17455" s="1245"/>
      <c r="I17455" s="1245"/>
    </row>
    <row r="17456" spans="8:9">
      <c r="H17456" s="1245"/>
      <c r="I17456" s="1245"/>
    </row>
    <row r="17457" spans="8:9">
      <c r="H17457" s="1245"/>
      <c r="I17457" s="1245"/>
    </row>
    <row r="17458" spans="8:9">
      <c r="H17458" s="1245"/>
      <c r="I17458" s="1245"/>
    </row>
    <row r="17459" spans="8:9">
      <c r="H17459" s="1245"/>
      <c r="I17459" s="1245"/>
    </row>
    <row r="17460" spans="8:9">
      <c r="H17460" s="1245"/>
      <c r="I17460" s="1245"/>
    </row>
    <row r="17461" spans="8:9">
      <c r="H17461" s="1245"/>
      <c r="I17461" s="1245"/>
    </row>
    <row r="17462" spans="8:9">
      <c r="H17462" s="1245"/>
      <c r="I17462" s="1245"/>
    </row>
    <row r="17463" spans="8:9">
      <c r="H17463" s="1245"/>
      <c r="I17463" s="1245"/>
    </row>
    <row r="17464" spans="8:9">
      <c r="H17464" s="1245"/>
      <c r="I17464" s="1245"/>
    </row>
    <row r="17465" spans="8:9">
      <c r="H17465" s="1245"/>
      <c r="I17465" s="1245"/>
    </row>
    <row r="17466" spans="8:9">
      <c r="H17466" s="1245"/>
      <c r="I17466" s="1245"/>
    </row>
    <row r="17467" spans="8:9">
      <c r="H17467" s="1245"/>
      <c r="I17467" s="1245"/>
    </row>
    <row r="17468" spans="8:9">
      <c r="H17468" s="1245"/>
      <c r="I17468" s="1245"/>
    </row>
    <row r="17469" spans="8:9">
      <c r="H17469" s="1245"/>
      <c r="I17469" s="1245"/>
    </row>
    <row r="17470" spans="8:9">
      <c r="H17470" s="1245"/>
      <c r="I17470" s="1245"/>
    </row>
    <row r="17471" spans="8:9">
      <c r="H17471" s="1245"/>
      <c r="I17471" s="1245"/>
    </row>
    <row r="17472" spans="8:9">
      <c r="H17472" s="1245"/>
      <c r="I17472" s="1245"/>
    </row>
    <row r="17473" spans="8:9">
      <c r="H17473" s="1245"/>
      <c r="I17473" s="1245"/>
    </row>
    <row r="17474" spans="8:9">
      <c r="H17474" s="1245"/>
      <c r="I17474" s="1245"/>
    </row>
    <row r="17475" spans="8:9">
      <c r="H17475" s="1245"/>
      <c r="I17475" s="1245"/>
    </row>
    <row r="17476" spans="8:9">
      <c r="H17476" s="1245"/>
      <c r="I17476" s="1245"/>
    </row>
    <row r="17477" spans="8:9">
      <c r="H17477" s="1245"/>
      <c r="I17477" s="1245"/>
    </row>
    <row r="17478" spans="8:9">
      <c r="H17478" s="1245"/>
      <c r="I17478" s="1245"/>
    </row>
    <row r="17479" spans="8:9">
      <c r="H17479" s="1245"/>
      <c r="I17479" s="1245"/>
    </row>
    <row r="17480" spans="8:9">
      <c r="H17480" s="1245"/>
      <c r="I17480" s="1245"/>
    </row>
    <row r="17481" spans="8:9">
      <c r="H17481" s="1245"/>
      <c r="I17481" s="1245"/>
    </row>
    <row r="17482" spans="8:9">
      <c r="H17482" s="1245"/>
      <c r="I17482" s="1245"/>
    </row>
    <row r="17483" spans="8:9">
      <c r="H17483" s="1245"/>
      <c r="I17483" s="1245"/>
    </row>
    <row r="17484" spans="8:9">
      <c r="H17484" s="1245"/>
      <c r="I17484" s="1245"/>
    </row>
    <row r="17485" spans="8:9">
      <c r="H17485" s="1245"/>
      <c r="I17485" s="1245"/>
    </row>
    <row r="17486" spans="8:9">
      <c r="H17486" s="1245"/>
      <c r="I17486" s="1245"/>
    </row>
    <row r="17487" spans="8:9">
      <c r="H17487" s="1245"/>
      <c r="I17487" s="1245"/>
    </row>
    <row r="17488" spans="8:9">
      <c r="H17488" s="1245"/>
      <c r="I17488" s="1245"/>
    </row>
    <row r="17489" spans="8:9">
      <c r="H17489" s="1245"/>
      <c r="I17489" s="1245"/>
    </row>
    <row r="17490" spans="8:9">
      <c r="H17490" s="1245"/>
      <c r="I17490" s="1245"/>
    </row>
    <row r="17491" spans="8:9">
      <c r="H17491" s="1245"/>
      <c r="I17491" s="1245"/>
    </row>
    <row r="17492" spans="8:9">
      <c r="H17492" s="1245"/>
      <c r="I17492" s="1245"/>
    </row>
    <row r="17493" spans="8:9">
      <c r="H17493" s="1245"/>
      <c r="I17493" s="1245"/>
    </row>
    <row r="17494" spans="8:9">
      <c r="H17494" s="1245"/>
      <c r="I17494" s="1245"/>
    </row>
    <row r="17495" spans="8:9">
      <c r="H17495" s="1245"/>
      <c r="I17495" s="1245"/>
    </row>
    <row r="17496" spans="8:9">
      <c r="H17496" s="1245"/>
      <c r="I17496" s="1245"/>
    </row>
    <row r="17497" spans="8:9">
      <c r="H17497" s="1245"/>
      <c r="I17497" s="1245"/>
    </row>
    <row r="17498" spans="8:9">
      <c r="H17498" s="1245"/>
      <c r="I17498" s="1245"/>
    </row>
    <row r="17499" spans="8:9">
      <c r="H17499" s="1245"/>
      <c r="I17499" s="1245"/>
    </row>
    <row r="17500" spans="8:9">
      <c r="H17500" s="1245"/>
      <c r="I17500" s="1245"/>
    </row>
    <row r="17501" spans="8:9">
      <c r="H17501" s="1245"/>
      <c r="I17501" s="1245"/>
    </row>
    <row r="17502" spans="8:9">
      <c r="H17502" s="1245"/>
      <c r="I17502" s="1245"/>
    </row>
    <row r="17503" spans="8:9">
      <c r="H17503" s="1245"/>
      <c r="I17503" s="1245"/>
    </row>
    <row r="17504" spans="8:9">
      <c r="H17504" s="1245"/>
      <c r="I17504" s="1245"/>
    </row>
    <row r="17505" spans="8:9">
      <c r="H17505" s="1245"/>
      <c r="I17505" s="1245"/>
    </row>
    <row r="17506" spans="8:9">
      <c r="H17506" s="1245"/>
      <c r="I17506" s="1245"/>
    </row>
    <row r="17507" spans="8:9">
      <c r="H17507" s="1245"/>
      <c r="I17507" s="1245"/>
    </row>
    <row r="17508" spans="8:9">
      <c r="H17508" s="1245"/>
      <c r="I17508" s="1245"/>
    </row>
    <row r="17509" spans="8:9">
      <c r="H17509" s="1245"/>
      <c r="I17509" s="1245"/>
    </row>
    <row r="17510" spans="8:9">
      <c r="H17510" s="1245"/>
      <c r="I17510" s="1245"/>
    </row>
    <row r="17511" spans="8:9">
      <c r="H17511" s="1245"/>
      <c r="I17511" s="1245"/>
    </row>
    <row r="17512" spans="8:9">
      <c r="H17512" s="1245"/>
      <c r="I17512" s="1245"/>
    </row>
    <row r="17513" spans="8:9">
      <c r="H17513" s="1245"/>
      <c r="I17513" s="1245"/>
    </row>
    <row r="17514" spans="8:9">
      <c r="H17514" s="1245"/>
      <c r="I17514" s="1245"/>
    </row>
    <row r="17515" spans="8:9">
      <c r="H17515" s="1245"/>
      <c r="I17515" s="1245"/>
    </row>
    <row r="17516" spans="8:9">
      <c r="H17516" s="1245"/>
      <c r="I17516" s="1245"/>
    </row>
    <row r="17517" spans="8:9">
      <c r="H17517" s="1245"/>
      <c r="I17517" s="1245"/>
    </row>
    <row r="17518" spans="8:9">
      <c r="H17518" s="1245"/>
      <c r="I17518" s="1245"/>
    </row>
    <row r="17519" spans="8:9">
      <c r="H17519" s="1245"/>
      <c r="I17519" s="1245"/>
    </row>
    <row r="17520" spans="8:9">
      <c r="H17520" s="1245"/>
      <c r="I17520" s="1245"/>
    </row>
    <row r="17521" spans="8:9">
      <c r="H17521" s="1245"/>
      <c r="I17521" s="1245"/>
    </row>
    <row r="17522" spans="8:9">
      <c r="H17522" s="1245"/>
      <c r="I17522" s="1245"/>
    </row>
    <row r="17523" spans="8:9">
      <c r="H17523" s="1245"/>
      <c r="I17523" s="1245"/>
    </row>
    <row r="17524" spans="8:9">
      <c r="H17524" s="1245"/>
      <c r="I17524" s="1245"/>
    </row>
    <row r="17525" spans="8:9">
      <c r="H17525" s="1245"/>
      <c r="I17525" s="1245"/>
    </row>
    <row r="17526" spans="8:9">
      <c r="H17526" s="1245"/>
      <c r="I17526" s="1245"/>
    </row>
    <row r="17527" spans="8:9">
      <c r="H17527" s="1245"/>
      <c r="I17527" s="1245"/>
    </row>
    <row r="17528" spans="8:9">
      <c r="H17528" s="1245"/>
      <c r="I17528" s="1245"/>
    </row>
    <row r="17529" spans="8:9">
      <c r="H17529" s="1245"/>
      <c r="I17529" s="1245"/>
    </row>
    <row r="17530" spans="8:9">
      <c r="H17530" s="1245"/>
      <c r="I17530" s="1245"/>
    </row>
    <row r="17531" spans="8:9">
      <c r="H17531" s="1245"/>
      <c r="I17531" s="1245"/>
    </row>
    <row r="17532" spans="8:9">
      <c r="H17532" s="1245"/>
      <c r="I17532" s="1245"/>
    </row>
    <row r="17533" spans="8:9">
      <c r="H17533" s="1245"/>
      <c r="I17533" s="1245"/>
    </row>
    <row r="17534" spans="8:9">
      <c r="H17534" s="1245"/>
      <c r="I17534" s="1245"/>
    </row>
    <row r="17535" spans="8:9">
      <c r="H17535" s="1245"/>
      <c r="I17535" s="1245"/>
    </row>
    <row r="17536" spans="8:9">
      <c r="H17536" s="1245"/>
      <c r="I17536" s="1245"/>
    </row>
    <row r="17537" spans="8:9">
      <c r="H17537" s="1245"/>
      <c r="I17537" s="1245"/>
    </row>
    <row r="17538" spans="8:9">
      <c r="H17538" s="1245"/>
      <c r="I17538" s="1245"/>
    </row>
    <row r="17539" spans="8:9">
      <c r="H17539" s="1245"/>
      <c r="I17539" s="1245"/>
    </row>
    <row r="17540" spans="8:9">
      <c r="H17540" s="1245"/>
      <c r="I17540" s="1245"/>
    </row>
    <row r="17541" spans="8:9">
      <c r="H17541" s="1245"/>
      <c r="I17541" s="1245"/>
    </row>
    <row r="17542" spans="8:9">
      <c r="H17542" s="1245"/>
      <c r="I17542" s="1245"/>
    </row>
    <row r="17543" spans="8:9">
      <c r="H17543" s="1245"/>
      <c r="I17543" s="1245"/>
    </row>
    <row r="17544" spans="8:9">
      <c r="H17544" s="1245"/>
      <c r="I17544" s="1245"/>
    </row>
    <row r="17545" spans="8:9">
      <c r="H17545" s="1245"/>
      <c r="I17545" s="1245"/>
    </row>
    <row r="17546" spans="8:9">
      <c r="H17546" s="1245"/>
      <c r="I17546" s="1245"/>
    </row>
    <row r="17547" spans="8:9">
      <c r="H17547" s="1245"/>
      <c r="I17547" s="1245"/>
    </row>
    <row r="17548" spans="8:9">
      <c r="H17548" s="1245"/>
      <c r="I17548" s="1245"/>
    </row>
    <row r="17549" spans="8:9">
      <c r="H17549" s="1245"/>
      <c r="I17549" s="1245"/>
    </row>
    <row r="17550" spans="8:9">
      <c r="H17550" s="1245"/>
      <c r="I17550" s="1245"/>
    </row>
    <row r="17551" spans="8:9">
      <c r="H17551" s="1245"/>
      <c r="I17551" s="1245"/>
    </row>
    <row r="17552" spans="8:9">
      <c r="H17552" s="1245"/>
      <c r="I17552" s="1245"/>
    </row>
    <row r="17553" spans="8:9">
      <c r="H17553" s="1245"/>
      <c r="I17553" s="1245"/>
    </row>
    <row r="17554" spans="8:9">
      <c r="H17554" s="1245"/>
      <c r="I17554" s="1245"/>
    </row>
    <row r="17555" spans="8:9">
      <c r="H17555" s="1245"/>
      <c r="I17555" s="1245"/>
    </row>
    <row r="17556" spans="8:9">
      <c r="H17556" s="1245"/>
      <c r="I17556" s="1245"/>
    </row>
    <row r="17557" spans="8:9">
      <c r="H17557" s="1245"/>
      <c r="I17557" s="1245"/>
    </row>
    <row r="17558" spans="8:9">
      <c r="H17558" s="1245"/>
      <c r="I17558" s="1245"/>
    </row>
    <row r="17559" spans="8:9">
      <c r="H17559" s="1245"/>
      <c r="I17559" s="1245"/>
    </row>
    <row r="17560" spans="8:9">
      <c r="H17560" s="1245"/>
      <c r="I17560" s="1245"/>
    </row>
    <row r="17561" spans="8:9">
      <c r="H17561" s="1245"/>
      <c r="I17561" s="1245"/>
    </row>
    <row r="17562" spans="8:9">
      <c r="H17562" s="1245"/>
      <c r="I17562" s="1245"/>
    </row>
    <row r="17563" spans="8:9">
      <c r="H17563" s="1245"/>
      <c r="I17563" s="1245"/>
    </row>
    <row r="17564" spans="8:9">
      <c r="H17564" s="1245"/>
      <c r="I17564" s="1245"/>
    </row>
    <row r="17565" spans="8:9">
      <c r="H17565" s="1245"/>
      <c r="I17565" s="1245"/>
    </row>
    <row r="17566" spans="8:9">
      <c r="H17566" s="1245"/>
      <c r="I17566" s="1245"/>
    </row>
    <row r="17567" spans="8:9">
      <c r="H17567" s="1245"/>
      <c r="I17567" s="1245"/>
    </row>
    <row r="17568" spans="8:9">
      <c r="H17568" s="1245"/>
      <c r="I17568" s="1245"/>
    </row>
    <row r="17569" spans="8:9">
      <c r="H17569" s="1245"/>
      <c r="I17569" s="1245"/>
    </row>
    <row r="17570" spans="8:9">
      <c r="H17570" s="1245"/>
      <c r="I17570" s="1245"/>
    </row>
    <row r="17571" spans="8:9">
      <c r="H17571" s="1245"/>
      <c r="I17571" s="1245"/>
    </row>
    <row r="17572" spans="8:9">
      <c r="H17572" s="1245"/>
      <c r="I17572" s="1245"/>
    </row>
    <row r="17573" spans="8:9">
      <c r="H17573" s="1245"/>
      <c r="I17573" s="1245"/>
    </row>
    <row r="17574" spans="8:9">
      <c r="H17574" s="1245"/>
      <c r="I17574" s="1245"/>
    </row>
    <row r="17575" spans="8:9">
      <c r="H17575" s="1245"/>
      <c r="I17575" s="1245"/>
    </row>
    <row r="17576" spans="8:9">
      <c r="H17576" s="1245"/>
      <c r="I17576" s="1245"/>
    </row>
    <row r="17577" spans="8:9">
      <c r="H17577" s="1245"/>
      <c r="I17577" s="1245"/>
    </row>
    <row r="17578" spans="8:9">
      <c r="H17578" s="1245"/>
      <c r="I17578" s="1245"/>
    </row>
    <row r="17579" spans="8:9">
      <c r="H17579" s="1245"/>
      <c r="I17579" s="1245"/>
    </row>
    <row r="17580" spans="8:9">
      <c r="H17580" s="1245"/>
      <c r="I17580" s="1245"/>
    </row>
    <row r="17581" spans="8:9">
      <c r="H17581" s="1245"/>
      <c r="I17581" s="1245"/>
    </row>
    <row r="17582" spans="8:9">
      <c r="H17582" s="1245"/>
      <c r="I17582" s="1245"/>
    </row>
    <row r="17583" spans="8:9">
      <c r="H17583" s="1245"/>
      <c r="I17583" s="1245"/>
    </row>
    <row r="17584" spans="8:9">
      <c r="H17584" s="1245"/>
      <c r="I17584" s="1245"/>
    </row>
    <row r="17585" spans="8:9">
      <c r="H17585" s="1245"/>
      <c r="I17585" s="1245"/>
    </row>
    <row r="17586" spans="8:9">
      <c r="H17586" s="1245"/>
      <c r="I17586" s="1245"/>
    </row>
    <row r="17587" spans="8:9">
      <c r="H17587" s="1245"/>
      <c r="I17587" s="1245"/>
    </row>
    <row r="17588" spans="8:9">
      <c r="H17588" s="1245"/>
      <c r="I17588" s="1245"/>
    </row>
    <row r="17589" spans="8:9">
      <c r="H17589" s="1245"/>
      <c r="I17589" s="1245"/>
    </row>
    <row r="17590" spans="8:9">
      <c r="H17590" s="1245"/>
      <c r="I17590" s="1245"/>
    </row>
    <row r="17591" spans="8:9">
      <c r="H17591" s="1245"/>
      <c r="I17591" s="1245"/>
    </row>
    <row r="17592" spans="8:9">
      <c r="H17592" s="1245"/>
      <c r="I17592" s="1245"/>
    </row>
    <row r="17593" spans="8:9">
      <c r="H17593" s="1245"/>
      <c r="I17593" s="1245"/>
    </row>
    <row r="17594" spans="8:9">
      <c r="H17594" s="1245"/>
      <c r="I17594" s="1245"/>
    </row>
    <row r="17595" spans="8:9">
      <c r="H17595" s="1245"/>
      <c r="I17595" s="1245"/>
    </row>
    <row r="17596" spans="8:9">
      <c r="H17596" s="1245"/>
      <c r="I17596" s="1245"/>
    </row>
    <row r="17597" spans="8:9">
      <c r="H17597" s="1245"/>
      <c r="I17597" s="1245"/>
    </row>
    <row r="17598" spans="8:9">
      <c r="H17598" s="1245"/>
      <c r="I17598" s="1245"/>
    </row>
    <row r="17599" spans="8:9">
      <c r="H17599" s="1245"/>
      <c r="I17599" s="1245"/>
    </row>
    <row r="17600" spans="8:9">
      <c r="H17600" s="1245"/>
      <c r="I17600" s="1245"/>
    </row>
    <row r="17601" spans="8:9">
      <c r="H17601" s="1245"/>
      <c r="I17601" s="1245"/>
    </row>
    <row r="17602" spans="8:9">
      <c r="H17602" s="1245"/>
      <c r="I17602" s="1245"/>
    </row>
    <row r="17603" spans="8:9">
      <c r="H17603" s="1245"/>
      <c r="I17603" s="1245"/>
    </row>
    <row r="17604" spans="8:9">
      <c r="H17604" s="1245"/>
      <c r="I17604" s="1245"/>
    </row>
    <row r="17605" spans="8:9">
      <c r="H17605" s="1245"/>
      <c r="I17605" s="1245"/>
    </row>
    <row r="17606" spans="8:9">
      <c r="H17606" s="1245"/>
      <c r="I17606" s="1245"/>
    </row>
    <row r="17607" spans="8:9">
      <c r="H17607" s="1245"/>
      <c r="I17607" s="1245"/>
    </row>
    <row r="17608" spans="8:9">
      <c r="H17608" s="1245"/>
      <c r="I17608" s="1245"/>
    </row>
    <row r="17609" spans="8:9">
      <c r="H17609" s="1245"/>
      <c r="I17609" s="1245"/>
    </row>
    <row r="17610" spans="8:9">
      <c r="H17610" s="1245"/>
      <c r="I17610" s="1245"/>
    </row>
    <row r="17611" spans="8:9">
      <c r="H17611" s="1245"/>
      <c r="I17611" s="1245"/>
    </row>
    <row r="17612" spans="8:9">
      <c r="H17612" s="1245"/>
      <c r="I17612" s="1245"/>
    </row>
    <row r="17613" spans="8:9">
      <c r="H17613" s="1245"/>
      <c r="I17613" s="1245"/>
    </row>
    <row r="17614" spans="8:9">
      <c r="H17614" s="1245"/>
      <c r="I17614" s="1245"/>
    </row>
    <row r="17615" spans="8:9">
      <c r="H17615" s="1245"/>
      <c r="I17615" s="1245"/>
    </row>
    <row r="17616" spans="8:9">
      <c r="H17616" s="1245"/>
      <c r="I17616" s="1245"/>
    </row>
    <row r="17617" spans="8:9">
      <c r="H17617" s="1245"/>
      <c r="I17617" s="1245"/>
    </row>
    <row r="17618" spans="8:9">
      <c r="H17618" s="1245"/>
      <c r="I17618" s="1245"/>
    </row>
    <row r="17619" spans="8:9">
      <c r="H17619" s="1245"/>
      <c r="I17619" s="1245"/>
    </row>
    <row r="17620" spans="8:9">
      <c r="H17620" s="1245"/>
      <c r="I17620" s="1245"/>
    </row>
    <row r="17621" spans="8:9">
      <c r="H17621" s="1245"/>
      <c r="I17621" s="1245"/>
    </row>
    <row r="17622" spans="8:9">
      <c r="H17622" s="1245"/>
      <c r="I17622" s="1245"/>
    </row>
    <row r="17623" spans="8:9">
      <c r="H17623" s="1245"/>
      <c r="I17623" s="1245"/>
    </row>
    <row r="17624" spans="8:9">
      <c r="H17624" s="1245"/>
      <c r="I17624" s="1245"/>
    </row>
    <row r="17625" spans="8:9">
      <c r="H17625" s="1245"/>
      <c r="I17625" s="1245"/>
    </row>
    <row r="17626" spans="8:9">
      <c r="H17626" s="1245"/>
      <c r="I17626" s="1245"/>
    </row>
    <row r="17627" spans="8:9">
      <c r="H17627" s="1245"/>
      <c r="I17627" s="1245"/>
    </row>
    <row r="17628" spans="8:9">
      <c r="H17628" s="1245"/>
      <c r="I17628" s="1245"/>
    </row>
    <row r="17629" spans="8:9">
      <c r="H17629" s="1245"/>
      <c r="I17629" s="1245"/>
    </row>
    <row r="17630" spans="8:9">
      <c r="H17630" s="1245"/>
      <c r="I17630" s="1245"/>
    </row>
    <row r="17631" spans="8:9">
      <c r="H17631" s="1245"/>
      <c r="I17631" s="1245"/>
    </row>
    <row r="17632" spans="8:9">
      <c r="H17632" s="1245"/>
      <c r="I17632" s="1245"/>
    </row>
    <row r="17633" spans="8:9">
      <c r="H17633" s="1245"/>
      <c r="I17633" s="1245"/>
    </row>
    <row r="17634" spans="8:9">
      <c r="H17634" s="1245"/>
      <c r="I17634" s="1245"/>
    </row>
    <row r="17635" spans="8:9">
      <c r="H17635" s="1245"/>
      <c r="I17635" s="1245"/>
    </row>
    <row r="17636" spans="8:9">
      <c r="H17636" s="1245"/>
      <c r="I17636" s="1245"/>
    </row>
    <row r="17637" spans="8:9">
      <c r="H17637" s="1245"/>
      <c r="I17637" s="1245"/>
    </row>
    <row r="17638" spans="8:9">
      <c r="H17638" s="1245"/>
      <c r="I17638" s="1245"/>
    </row>
    <row r="17639" spans="8:9">
      <c r="H17639" s="1245"/>
      <c r="I17639" s="1245"/>
    </row>
    <row r="17640" spans="8:9">
      <c r="H17640" s="1245"/>
      <c r="I17640" s="1245"/>
    </row>
    <row r="17641" spans="8:9">
      <c r="H17641" s="1245"/>
      <c r="I17641" s="1245"/>
    </row>
    <row r="17642" spans="8:9">
      <c r="H17642" s="1245"/>
      <c r="I17642" s="1245"/>
    </row>
    <row r="17643" spans="8:9">
      <c r="H17643" s="1245"/>
      <c r="I17643" s="1245"/>
    </row>
    <row r="17644" spans="8:9">
      <c r="H17644" s="1245"/>
      <c r="I17644" s="1245"/>
    </row>
    <row r="17645" spans="8:9">
      <c r="H17645" s="1245"/>
      <c r="I17645" s="1245"/>
    </row>
    <row r="17646" spans="8:9">
      <c r="H17646" s="1245"/>
      <c r="I17646" s="1245"/>
    </row>
    <row r="17647" spans="8:9">
      <c r="H17647" s="1245"/>
      <c r="I17647" s="1245"/>
    </row>
    <row r="17648" spans="8:9">
      <c r="H17648" s="1245"/>
      <c r="I17648" s="1245"/>
    </row>
    <row r="17649" spans="8:9">
      <c r="H17649" s="1245"/>
      <c r="I17649" s="1245"/>
    </row>
    <row r="17650" spans="8:9">
      <c r="H17650" s="1245"/>
      <c r="I17650" s="1245"/>
    </row>
    <row r="17651" spans="8:9">
      <c r="H17651" s="1245"/>
      <c r="I17651" s="1245"/>
    </row>
    <row r="17652" spans="8:9">
      <c r="H17652" s="1245"/>
      <c r="I17652" s="1245"/>
    </row>
    <row r="17653" spans="8:9">
      <c r="H17653" s="1245"/>
      <c r="I17653" s="1245"/>
    </row>
    <row r="17654" spans="8:9">
      <c r="H17654" s="1245"/>
      <c r="I17654" s="1245"/>
    </row>
    <row r="17655" spans="8:9">
      <c r="H17655" s="1245"/>
      <c r="I17655" s="1245"/>
    </row>
    <row r="17656" spans="8:9">
      <c r="H17656" s="1245"/>
      <c r="I17656" s="1245"/>
    </row>
    <row r="17657" spans="8:9">
      <c r="H17657" s="1245"/>
      <c r="I17657" s="1245"/>
    </row>
    <row r="17658" spans="8:9">
      <c r="H17658" s="1245"/>
      <c r="I17658" s="1245"/>
    </row>
    <row r="17659" spans="8:9">
      <c r="H17659" s="1245"/>
      <c r="I17659" s="1245"/>
    </row>
    <row r="17660" spans="8:9">
      <c r="H17660" s="1245"/>
      <c r="I17660" s="1245"/>
    </row>
    <row r="17661" spans="8:9">
      <c r="H17661" s="1245"/>
      <c r="I17661" s="1245"/>
    </row>
    <row r="17662" spans="8:9">
      <c r="H17662" s="1245"/>
      <c r="I17662" s="1245"/>
    </row>
    <row r="17663" spans="8:9">
      <c r="H17663" s="1245"/>
      <c r="I17663" s="1245"/>
    </row>
    <row r="17664" spans="8:9">
      <c r="H17664" s="1245"/>
      <c r="I17664" s="1245"/>
    </row>
    <row r="17665" spans="8:9">
      <c r="H17665" s="1245"/>
      <c r="I17665" s="1245"/>
    </row>
    <row r="17666" spans="8:9">
      <c r="H17666" s="1245"/>
      <c r="I17666" s="1245"/>
    </row>
    <row r="17667" spans="8:9">
      <c r="H17667" s="1245"/>
      <c r="I17667" s="1245"/>
    </row>
    <row r="17668" spans="8:9">
      <c r="H17668" s="1245"/>
      <c r="I17668" s="1245"/>
    </row>
    <row r="17669" spans="8:9">
      <c r="H17669" s="1245"/>
      <c r="I17669" s="1245"/>
    </row>
    <row r="17670" spans="8:9">
      <c r="H17670" s="1245"/>
      <c r="I17670" s="1245"/>
    </row>
    <row r="17671" spans="8:9">
      <c r="H17671" s="1245"/>
      <c r="I17671" s="1245"/>
    </row>
    <row r="17672" spans="8:9">
      <c r="H17672" s="1245"/>
      <c r="I17672" s="1245"/>
    </row>
    <row r="17673" spans="8:9">
      <c r="H17673" s="1245"/>
      <c r="I17673" s="1245"/>
    </row>
    <row r="17674" spans="8:9">
      <c r="H17674" s="1245"/>
      <c r="I17674" s="1245"/>
    </row>
    <row r="17675" spans="8:9">
      <c r="H17675" s="1245"/>
      <c r="I17675" s="1245"/>
    </row>
    <row r="17676" spans="8:9">
      <c r="H17676" s="1245"/>
      <c r="I17676" s="1245"/>
    </row>
    <row r="17677" spans="8:9">
      <c r="H17677" s="1245"/>
      <c r="I17677" s="1245"/>
    </row>
    <row r="17678" spans="8:9">
      <c r="H17678" s="1245"/>
      <c r="I17678" s="1245"/>
    </row>
    <row r="17679" spans="8:9">
      <c r="H17679" s="1245"/>
      <c r="I17679" s="1245"/>
    </row>
    <row r="17680" spans="8:9">
      <c r="H17680" s="1245"/>
      <c r="I17680" s="1245"/>
    </row>
    <row r="17681" spans="8:9">
      <c r="H17681" s="1245"/>
      <c r="I17681" s="1245"/>
    </row>
    <row r="17682" spans="8:9">
      <c r="H17682" s="1245"/>
      <c r="I17682" s="1245"/>
    </row>
    <row r="17683" spans="8:9">
      <c r="H17683" s="1245"/>
      <c r="I17683" s="1245"/>
    </row>
    <row r="17684" spans="8:9">
      <c r="H17684" s="1245"/>
      <c r="I17684" s="1245"/>
    </row>
    <row r="17685" spans="8:9">
      <c r="H17685" s="1245"/>
      <c r="I17685" s="1245"/>
    </row>
    <row r="17686" spans="8:9">
      <c r="H17686" s="1245"/>
      <c r="I17686" s="1245"/>
    </row>
    <row r="17687" spans="8:9">
      <c r="H17687" s="1245"/>
      <c r="I17687" s="1245"/>
    </row>
    <row r="17688" spans="8:9">
      <c r="H17688" s="1245"/>
      <c r="I17688" s="1245"/>
    </row>
    <row r="17689" spans="8:9">
      <c r="H17689" s="1245"/>
      <c r="I17689" s="1245"/>
    </row>
    <row r="17690" spans="8:9">
      <c r="H17690" s="1245"/>
      <c r="I17690" s="1245"/>
    </row>
    <row r="17691" spans="8:9">
      <c r="H17691" s="1245"/>
      <c r="I17691" s="1245"/>
    </row>
    <row r="17692" spans="8:9">
      <c r="H17692" s="1245"/>
      <c r="I17692" s="1245"/>
    </row>
    <row r="17693" spans="8:9">
      <c r="H17693" s="1245"/>
      <c r="I17693" s="1245"/>
    </row>
    <row r="17694" spans="8:9">
      <c r="H17694" s="1245"/>
      <c r="I17694" s="1245"/>
    </row>
    <row r="17695" spans="8:9">
      <c r="H17695" s="1245"/>
      <c r="I17695" s="1245"/>
    </row>
    <row r="17696" spans="8:9">
      <c r="H17696" s="1245"/>
      <c r="I17696" s="1245"/>
    </row>
    <row r="17697" spans="8:9">
      <c r="H17697" s="1245"/>
      <c r="I17697" s="1245"/>
    </row>
    <row r="17698" spans="8:9">
      <c r="H17698" s="1245"/>
      <c r="I17698" s="1245"/>
    </row>
    <row r="17699" spans="8:9">
      <c r="H17699" s="1245"/>
      <c r="I17699" s="1245"/>
    </row>
    <row r="17700" spans="8:9">
      <c r="H17700" s="1245"/>
      <c r="I17700" s="1245"/>
    </row>
    <row r="17701" spans="8:9">
      <c r="H17701" s="1245"/>
      <c r="I17701" s="1245"/>
    </row>
    <row r="17702" spans="8:9">
      <c r="H17702" s="1245"/>
      <c r="I17702" s="1245"/>
    </row>
    <row r="17703" spans="8:9">
      <c r="H17703" s="1245"/>
      <c r="I17703" s="1245"/>
    </row>
    <row r="17704" spans="8:9">
      <c r="H17704" s="1245"/>
      <c r="I17704" s="1245"/>
    </row>
    <row r="17705" spans="8:9">
      <c r="H17705" s="1245"/>
      <c r="I17705" s="1245"/>
    </row>
    <row r="17706" spans="8:9">
      <c r="H17706" s="1245"/>
      <c r="I17706" s="1245"/>
    </row>
    <row r="17707" spans="8:9">
      <c r="H17707" s="1245"/>
      <c r="I17707" s="1245"/>
    </row>
    <row r="17708" spans="8:9">
      <c r="H17708" s="1245"/>
      <c r="I17708" s="1245"/>
    </row>
    <row r="17709" spans="8:9">
      <c r="H17709" s="1245"/>
      <c r="I17709" s="1245"/>
    </row>
    <row r="17710" spans="8:9">
      <c r="H17710" s="1245"/>
      <c r="I17710" s="1245"/>
    </row>
    <row r="17711" spans="8:9">
      <c r="H17711" s="1245"/>
      <c r="I17711" s="1245"/>
    </row>
    <row r="17712" spans="8:9">
      <c r="H17712" s="1245"/>
      <c r="I17712" s="1245"/>
    </row>
    <row r="17713" spans="8:9">
      <c r="H17713" s="1245"/>
      <c r="I17713" s="1245"/>
    </row>
    <row r="17714" spans="8:9">
      <c r="H17714" s="1245"/>
      <c r="I17714" s="1245"/>
    </row>
    <row r="17715" spans="8:9">
      <c r="H17715" s="1245"/>
      <c r="I17715" s="1245"/>
    </row>
    <row r="17716" spans="8:9">
      <c r="H17716" s="1245"/>
      <c r="I17716" s="1245"/>
    </row>
    <row r="17717" spans="8:9">
      <c r="H17717" s="1245"/>
      <c r="I17717" s="1245"/>
    </row>
    <row r="17718" spans="8:9">
      <c r="H17718" s="1245"/>
      <c r="I17718" s="1245"/>
    </row>
    <row r="17719" spans="8:9">
      <c r="H17719" s="1245"/>
      <c r="I17719" s="1245"/>
    </row>
    <row r="17720" spans="8:9">
      <c r="H17720" s="1245"/>
      <c r="I17720" s="1245"/>
    </row>
    <row r="17721" spans="8:9">
      <c r="H17721" s="1245"/>
      <c r="I17721" s="1245"/>
    </row>
    <row r="17722" spans="8:9">
      <c r="H17722" s="1245"/>
      <c r="I17722" s="1245"/>
    </row>
    <row r="17723" spans="8:9">
      <c r="H17723" s="1245"/>
      <c r="I17723" s="1245"/>
    </row>
    <row r="17724" spans="8:9">
      <c r="H17724" s="1245"/>
      <c r="I17724" s="1245"/>
    </row>
    <row r="17725" spans="8:9">
      <c r="H17725" s="1245"/>
      <c r="I17725" s="1245"/>
    </row>
    <row r="17726" spans="8:9">
      <c r="H17726" s="1245"/>
      <c r="I17726" s="1245"/>
    </row>
    <row r="17727" spans="8:9">
      <c r="H17727" s="1245"/>
      <c r="I17727" s="1245"/>
    </row>
    <row r="17728" spans="8:9">
      <c r="H17728" s="1245"/>
      <c r="I17728" s="1245"/>
    </row>
    <row r="17729" spans="8:9">
      <c r="H17729" s="1245"/>
      <c r="I17729" s="1245"/>
    </row>
    <row r="17730" spans="8:9">
      <c r="H17730" s="1245"/>
      <c r="I17730" s="1245"/>
    </row>
    <row r="17731" spans="8:9">
      <c r="H17731" s="1245"/>
      <c r="I17731" s="1245"/>
    </row>
    <row r="17732" spans="8:9">
      <c r="H17732" s="1245"/>
      <c r="I17732" s="1245"/>
    </row>
    <row r="17733" spans="8:9">
      <c r="H17733" s="1245"/>
      <c r="I17733" s="1245"/>
    </row>
    <row r="17734" spans="8:9">
      <c r="H17734" s="1245"/>
      <c r="I17734" s="1245"/>
    </row>
    <row r="17735" spans="8:9">
      <c r="H17735" s="1245"/>
      <c r="I17735" s="1245"/>
    </row>
    <row r="17736" spans="8:9">
      <c r="H17736" s="1245"/>
      <c r="I17736" s="1245"/>
    </row>
    <row r="17737" spans="8:9">
      <c r="H17737" s="1245"/>
      <c r="I17737" s="1245"/>
    </row>
    <row r="17738" spans="8:9">
      <c r="H17738" s="1245"/>
      <c r="I17738" s="1245"/>
    </row>
    <row r="17739" spans="8:9">
      <c r="H17739" s="1245"/>
      <c r="I17739" s="1245"/>
    </row>
    <row r="17740" spans="8:9">
      <c r="H17740" s="1245"/>
      <c r="I17740" s="1245"/>
    </row>
    <row r="17741" spans="8:9">
      <c r="H17741" s="1245"/>
      <c r="I17741" s="1245"/>
    </row>
    <row r="17742" spans="8:9">
      <c r="H17742" s="1245"/>
      <c r="I17742" s="1245"/>
    </row>
    <row r="17743" spans="8:9">
      <c r="H17743" s="1245"/>
      <c r="I17743" s="1245"/>
    </row>
    <row r="17744" spans="8:9">
      <c r="H17744" s="1245"/>
      <c r="I17744" s="1245"/>
    </row>
    <row r="17745" spans="8:9">
      <c r="H17745" s="1245"/>
      <c r="I17745" s="1245"/>
    </row>
    <row r="17746" spans="8:9">
      <c r="H17746" s="1245"/>
      <c r="I17746" s="1245"/>
    </row>
    <row r="17747" spans="8:9">
      <c r="H17747" s="1245"/>
      <c r="I17747" s="1245"/>
    </row>
    <row r="17748" spans="8:9">
      <c r="H17748" s="1245"/>
      <c r="I17748" s="1245"/>
    </row>
    <row r="17749" spans="8:9">
      <c r="H17749" s="1245"/>
      <c r="I17749" s="1245"/>
    </row>
    <row r="17750" spans="8:9">
      <c r="H17750" s="1245"/>
      <c r="I17750" s="1245"/>
    </row>
    <row r="17751" spans="8:9">
      <c r="H17751" s="1245"/>
      <c r="I17751" s="1245"/>
    </row>
    <row r="17752" spans="8:9">
      <c r="H17752" s="1245"/>
      <c r="I17752" s="1245"/>
    </row>
    <row r="17753" spans="8:9">
      <c r="H17753" s="1245"/>
      <c r="I17753" s="1245"/>
    </row>
    <row r="17754" spans="8:9">
      <c r="H17754" s="1245"/>
      <c r="I17754" s="1245"/>
    </row>
    <row r="17755" spans="8:9">
      <c r="H17755" s="1245"/>
      <c r="I17755" s="1245"/>
    </row>
    <row r="17756" spans="8:9">
      <c r="H17756" s="1245"/>
      <c r="I17756" s="1245"/>
    </row>
    <row r="17757" spans="8:9">
      <c r="H17757" s="1245"/>
      <c r="I17757" s="1245"/>
    </row>
    <row r="17758" spans="8:9">
      <c r="H17758" s="1245"/>
      <c r="I17758" s="1245"/>
    </row>
    <row r="17759" spans="8:9">
      <c r="H17759" s="1245"/>
      <c r="I17759" s="1245"/>
    </row>
    <row r="17760" spans="8:9">
      <c r="H17760" s="1245"/>
      <c r="I17760" s="1245"/>
    </row>
    <row r="17761" spans="8:9">
      <c r="H17761" s="1245"/>
      <c r="I17761" s="1245"/>
    </row>
    <row r="17762" spans="8:9">
      <c r="H17762" s="1245"/>
      <c r="I17762" s="1245"/>
    </row>
    <row r="17763" spans="8:9">
      <c r="H17763" s="1245"/>
      <c r="I17763" s="1245"/>
    </row>
    <row r="17764" spans="8:9">
      <c r="H17764" s="1245"/>
      <c r="I17764" s="1245"/>
    </row>
    <row r="17765" spans="8:9">
      <c r="H17765" s="1245"/>
      <c r="I17765" s="1245"/>
    </row>
    <row r="17766" spans="8:9">
      <c r="H17766" s="1245"/>
      <c r="I17766" s="1245"/>
    </row>
    <row r="17767" spans="8:9">
      <c r="H17767" s="1245"/>
      <c r="I17767" s="1245"/>
    </row>
    <row r="17768" spans="8:9">
      <c r="H17768" s="1245"/>
      <c r="I17768" s="1245"/>
    </row>
    <row r="17769" spans="8:9">
      <c r="H17769" s="1245"/>
      <c r="I17769" s="1245"/>
    </row>
    <row r="17770" spans="8:9">
      <c r="H17770" s="1245"/>
      <c r="I17770" s="1245"/>
    </row>
    <row r="17771" spans="8:9">
      <c r="H17771" s="1245"/>
      <c r="I17771" s="1245"/>
    </row>
    <row r="17772" spans="8:9">
      <c r="H17772" s="1245"/>
      <c r="I17772" s="1245"/>
    </row>
    <row r="17773" spans="8:9">
      <c r="H17773" s="1245"/>
      <c r="I17773" s="1245"/>
    </row>
    <row r="17774" spans="8:9">
      <c r="H17774" s="1245"/>
      <c r="I17774" s="1245"/>
    </row>
    <row r="17775" spans="8:9">
      <c r="H17775" s="1245"/>
      <c r="I17775" s="1245"/>
    </row>
    <row r="17776" spans="8:9">
      <c r="H17776" s="1245"/>
      <c r="I17776" s="1245"/>
    </row>
    <row r="17777" spans="8:9">
      <c r="H17777" s="1245"/>
      <c r="I17777" s="1245"/>
    </row>
    <row r="17778" spans="8:9">
      <c r="H17778" s="1245"/>
      <c r="I17778" s="1245"/>
    </row>
    <row r="17779" spans="8:9">
      <c r="H17779" s="1245"/>
      <c r="I17779" s="1245"/>
    </row>
    <row r="17780" spans="8:9">
      <c r="H17780" s="1245"/>
      <c r="I17780" s="1245"/>
    </row>
    <row r="17781" spans="8:9">
      <c r="H17781" s="1245"/>
      <c r="I17781" s="1245"/>
    </row>
    <row r="17782" spans="8:9">
      <c r="H17782" s="1245"/>
      <c r="I17782" s="1245"/>
    </row>
    <row r="17783" spans="8:9">
      <c r="H17783" s="1245"/>
      <c r="I17783" s="1245"/>
    </row>
    <row r="17784" spans="8:9">
      <c r="H17784" s="1245"/>
      <c r="I17784" s="1245"/>
    </row>
    <row r="17785" spans="8:9">
      <c r="H17785" s="1245"/>
      <c r="I17785" s="1245"/>
    </row>
    <row r="17786" spans="8:9">
      <c r="H17786" s="1245"/>
      <c r="I17786" s="1245"/>
    </row>
    <row r="17787" spans="8:9">
      <c r="H17787" s="1245"/>
      <c r="I17787" s="1245"/>
    </row>
    <row r="17788" spans="8:9">
      <c r="H17788" s="1245"/>
      <c r="I17788" s="1245"/>
    </row>
    <row r="17789" spans="8:9">
      <c r="H17789" s="1245"/>
      <c r="I17789" s="1245"/>
    </row>
    <row r="17790" spans="8:9">
      <c r="H17790" s="1245"/>
      <c r="I17790" s="1245"/>
    </row>
    <row r="17791" spans="8:9">
      <c r="H17791" s="1245"/>
      <c r="I17791" s="1245"/>
    </row>
    <row r="17792" spans="8:9">
      <c r="H17792" s="1245"/>
      <c r="I17792" s="1245"/>
    </row>
    <row r="17793" spans="8:9">
      <c r="H17793" s="1245"/>
      <c r="I17793" s="1245"/>
    </row>
    <row r="17794" spans="8:9">
      <c r="H17794" s="1245"/>
      <c r="I17794" s="1245"/>
    </row>
    <row r="17795" spans="8:9">
      <c r="H17795" s="1245"/>
      <c r="I17795" s="1245"/>
    </row>
    <row r="17796" spans="8:9">
      <c r="H17796" s="1245"/>
      <c r="I17796" s="1245"/>
    </row>
    <row r="17797" spans="8:9">
      <c r="H17797" s="1245"/>
      <c r="I17797" s="1245"/>
    </row>
    <row r="17798" spans="8:9">
      <c r="H17798" s="1245"/>
      <c r="I17798" s="1245"/>
    </row>
    <row r="17799" spans="8:9">
      <c r="H17799" s="1245"/>
      <c r="I17799" s="1245"/>
    </row>
    <row r="17800" spans="8:9">
      <c r="H17800" s="1245"/>
      <c r="I17800" s="1245"/>
    </row>
    <row r="17801" spans="8:9">
      <c r="H17801" s="1245"/>
      <c r="I17801" s="1245"/>
    </row>
    <row r="17802" spans="8:9">
      <c r="H17802" s="1245"/>
      <c r="I17802" s="1245"/>
    </row>
    <row r="17803" spans="8:9">
      <c r="H17803" s="1245"/>
      <c r="I17803" s="1245"/>
    </row>
    <row r="17804" spans="8:9">
      <c r="H17804" s="1245"/>
      <c r="I17804" s="1245"/>
    </row>
    <row r="17805" spans="8:9">
      <c r="H17805" s="1245"/>
      <c r="I17805" s="1245"/>
    </row>
    <row r="17806" spans="8:9">
      <c r="H17806" s="1245"/>
      <c r="I17806" s="1245"/>
    </row>
    <row r="17807" spans="8:9">
      <c r="H17807" s="1245"/>
      <c r="I17807" s="1245"/>
    </row>
    <row r="17808" spans="8:9">
      <c r="H17808" s="1245"/>
      <c r="I17808" s="1245"/>
    </row>
    <row r="17809" spans="8:9">
      <c r="H17809" s="1245"/>
      <c r="I17809" s="1245"/>
    </row>
    <row r="17810" spans="8:9">
      <c r="H17810" s="1245"/>
      <c r="I17810" s="1245"/>
    </row>
    <row r="17811" spans="8:9">
      <c r="H17811" s="1245"/>
      <c r="I17811" s="1245"/>
    </row>
    <row r="17812" spans="8:9">
      <c r="H17812" s="1245"/>
      <c r="I17812" s="1245"/>
    </row>
    <row r="17813" spans="8:9">
      <c r="H17813" s="1245"/>
      <c r="I17813" s="1245"/>
    </row>
    <row r="17814" spans="8:9">
      <c r="H17814" s="1245"/>
      <c r="I17814" s="1245"/>
    </row>
    <row r="17815" spans="8:9">
      <c r="H17815" s="1245"/>
      <c r="I17815" s="1245"/>
    </row>
    <row r="17816" spans="8:9">
      <c r="H17816" s="1245"/>
      <c r="I17816" s="1245"/>
    </row>
    <row r="17817" spans="8:9">
      <c r="H17817" s="1245"/>
      <c r="I17817" s="1245"/>
    </row>
    <row r="17818" spans="8:9">
      <c r="H17818" s="1245"/>
      <c r="I17818" s="1245"/>
    </row>
    <row r="17819" spans="8:9">
      <c r="H17819" s="1245"/>
      <c r="I17819" s="1245"/>
    </row>
    <row r="17820" spans="8:9">
      <c r="H17820" s="1245"/>
      <c r="I17820" s="1245"/>
    </row>
    <row r="17821" spans="8:9">
      <c r="H17821" s="1245"/>
      <c r="I17821" s="1245"/>
    </row>
    <row r="17822" spans="8:9">
      <c r="H17822" s="1245"/>
      <c r="I17822" s="1245"/>
    </row>
    <row r="17823" spans="8:9">
      <c r="H17823" s="1245"/>
      <c r="I17823" s="1245"/>
    </row>
    <row r="17824" spans="8:9">
      <c r="H17824" s="1245"/>
      <c r="I17824" s="1245"/>
    </row>
    <row r="17825" spans="8:9">
      <c r="H17825" s="1245"/>
      <c r="I17825" s="1245"/>
    </row>
    <row r="17826" spans="8:9">
      <c r="H17826" s="1245"/>
      <c r="I17826" s="1245"/>
    </row>
    <row r="17827" spans="8:9">
      <c r="H17827" s="1245"/>
      <c r="I17827" s="1245"/>
    </row>
    <row r="17828" spans="8:9">
      <c r="H17828" s="1245"/>
      <c r="I17828" s="1245"/>
    </row>
    <row r="17829" spans="8:9">
      <c r="H17829" s="1245"/>
      <c r="I17829" s="1245"/>
    </row>
    <row r="17830" spans="8:9">
      <c r="H17830" s="1245"/>
      <c r="I17830" s="1245"/>
    </row>
    <row r="17831" spans="8:9">
      <c r="H17831" s="1245"/>
      <c r="I17831" s="1245"/>
    </row>
    <row r="17832" spans="8:9">
      <c r="H17832" s="1245"/>
      <c r="I17832" s="1245"/>
    </row>
    <row r="17833" spans="8:9">
      <c r="H17833" s="1245"/>
      <c r="I17833" s="1245"/>
    </row>
    <row r="17834" spans="8:9">
      <c r="H17834" s="1245"/>
      <c r="I17834" s="1245"/>
    </row>
    <row r="17835" spans="8:9">
      <c r="H17835" s="1245"/>
      <c r="I17835" s="1245"/>
    </row>
    <row r="17836" spans="8:9">
      <c r="H17836" s="1245"/>
      <c r="I17836" s="1245"/>
    </row>
    <row r="17837" spans="8:9">
      <c r="H17837" s="1245"/>
      <c r="I17837" s="1245"/>
    </row>
    <row r="17838" spans="8:9">
      <c r="H17838" s="1245"/>
      <c r="I17838" s="1245"/>
    </row>
    <row r="17839" spans="8:9">
      <c r="H17839" s="1245"/>
      <c r="I17839" s="1245"/>
    </row>
    <row r="17840" spans="8:9">
      <c r="H17840" s="1245"/>
      <c r="I17840" s="1245"/>
    </row>
    <row r="17841" spans="8:9">
      <c r="H17841" s="1245"/>
      <c r="I17841" s="1245"/>
    </row>
    <row r="17842" spans="8:9">
      <c r="H17842" s="1245"/>
      <c r="I17842" s="1245"/>
    </row>
    <row r="17843" spans="8:9">
      <c r="H17843" s="1245"/>
      <c r="I17843" s="1245"/>
    </row>
    <row r="17844" spans="8:9">
      <c r="H17844" s="1245"/>
      <c r="I17844" s="1245"/>
    </row>
    <row r="17845" spans="8:9">
      <c r="H17845" s="1245"/>
      <c r="I17845" s="1245"/>
    </row>
    <row r="17846" spans="8:9">
      <c r="H17846" s="1245"/>
      <c r="I17846" s="1245"/>
    </row>
    <row r="17847" spans="8:9">
      <c r="H17847" s="1245"/>
      <c r="I17847" s="1245"/>
    </row>
    <row r="17848" spans="8:9">
      <c r="H17848" s="1245"/>
      <c r="I17848" s="1245"/>
    </row>
    <row r="17849" spans="8:9">
      <c r="H17849" s="1245"/>
      <c r="I17849" s="1245"/>
    </row>
    <row r="17850" spans="8:9">
      <c r="H17850" s="1245"/>
      <c r="I17850" s="1245"/>
    </row>
    <row r="17851" spans="8:9">
      <c r="H17851" s="1245"/>
      <c r="I17851" s="1245"/>
    </row>
    <row r="17852" spans="8:9">
      <c r="H17852" s="1245"/>
      <c r="I17852" s="1245"/>
    </row>
    <row r="17853" spans="8:9">
      <c r="H17853" s="1245"/>
      <c r="I17853" s="1245"/>
    </row>
    <row r="17854" spans="8:9">
      <c r="H17854" s="1245"/>
      <c r="I17854" s="1245"/>
    </row>
    <row r="17855" spans="8:9">
      <c r="H17855" s="1245"/>
      <c r="I17855" s="1245"/>
    </row>
    <row r="17856" spans="8:9">
      <c r="H17856" s="1245"/>
      <c r="I17856" s="1245"/>
    </row>
    <row r="17857" spans="8:9">
      <c r="H17857" s="1245"/>
      <c r="I17857" s="1245"/>
    </row>
    <row r="17858" spans="8:9">
      <c r="H17858" s="1245"/>
      <c r="I17858" s="1245"/>
    </row>
    <row r="17859" spans="8:9">
      <c r="H17859" s="1245"/>
      <c r="I17859" s="1245"/>
    </row>
    <row r="17860" spans="8:9">
      <c r="H17860" s="1245"/>
      <c r="I17860" s="1245"/>
    </row>
    <row r="17861" spans="8:9">
      <c r="H17861" s="1245"/>
      <c r="I17861" s="1245"/>
    </row>
    <row r="17862" spans="8:9">
      <c r="H17862" s="1245"/>
      <c r="I17862" s="1245"/>
    </row>
    <row r="17863" spans="8:9">
      <c r="H17863" s="1245"/>
      <c r="I17863" s="1245"/>
    </row>
    <row r="17864" spans="8:9">
      <c r="H17864" s="1245"/>
      <c r="I17864" s="1245"/>
    </row>
    <row r="17865" spans="8:9">
      <c r="H17865" s="1245"/>
      <c r="I17865" s="1245"/>
    </row>
    <row r="17866" spans="8:9">
      <c r="H17866" s="1245"/>
      <c r="I17866" s="1245"/>
    </row>
    <row r="17867" spans="8:9">
      <c r="H17867" s="1245"/>
      <c r="I17867" s="1245"/>
    </row>
    <row r="17868" spans="8:9">
      <c r="H17868" s="1245"/>
      <c r="I17868" s="1245"/>
    </row>
    <row r="17869" spans="8:9">
      <c r="H17869" s="1245"/>
      <c r="I17869" s="1245"/>
    </row>
    <row r="17870" spans="8:9">
      <c r="H17870" s="1245"/>
      <c r="I17870" s="1245"/>
    </row>
    <row r="17871" spans="8:9">
      <c r="H17871" s="1245"/>
      <c r="I17871" s="1245"/>
    </row>
    <row r="17872" spans="8:9">
      <c r="H17872" s="1245"/>
      <c r="I17872" s="1245"/>
    </row>
    <row r="17873" spans="8:9">
      <c r="H17873" s="1245"/>
      <c r="I17873" s="1245"/>
    </row>
    <row r="17874" spans="8:9">
      <c r="H17874" s="1245"/>
      <c r="I17874" s="1245"/>
    </row>
    <row r="17875" spans="8:9">
      <c r="H17875" s="1245"/>
      <c r="I17875" s="1245"/>
    </row>
    <row r="17876" spans="8:9">
      <c r="H17876" s="1245"/>
      <c r="I17876" s="1245"/>
    </row>
    <row r="17877" spans="8:9">
      <c r="H17877" s="1245"/>
      <c r="I17877" s="1245"/>
    </row>
    <row r="17878" spans="8:9">
      <c r="H17878" s="1245"/>
      <c r="I17878" s="1245"/>
    </row>
    <row r="17879" spans="8:9">
      <c r="H17879" s="1245"/>
      <c r="I17879" s="1245"/>
    </row>
    <row r="17880" spans="8:9">
      <c r="H17880" s="1245"/>
      <c r="I17880" s="1245"/>
    </row>
    <row r="17881" spans="8:9">
      <c r="H17881" s="1245"/>
      <c r="I17881" s="1245"/>
    </row>
    <row r="17882" spans="8:9">
      <c r="H17882" s="1245"/>
      <c r="I17882" s="1245"/>
    </row>
    <row r="17883" spans="8:9">
      <c r="H17883" s="1245"/>
      <c r="I17883" s="1245"/>
    </row>
    <row r="17884" spans="8:9">
      <c r="H17884" s="1245"/>
      <c r="I17884" s="1245"/>
    </row>
    <row r="17885" spans="8:9">
      <c r="H17885" s="1245"/>
      <c r="I17885" s="1245"/>
    </row>
    <row r="17886" spans="8:9">
      <c r="H17886" s="1245"/>
      <c r="I17886" s="1245"/>
    </row>
    <row r="17887" spans="8:9">
      <c r="H17887" s="1245"/>
      <c r="I17887" s="1245"/>
    </row>
    <row r="17888" spans="8:9">
      <c r="H17888" s="1245"/>
      <c r="I17888" s="1245"/>
    </row>
    <row r="17889" spans="8:9">
      <c r="H17889" s="1245"/>
      <c r="I17889" s="1245"/>
    </row>
    <row r="17890" spans="8:9">
      <c r="H17890" s="1245"/>
      <c r="I17890" s="1245"/>
    </row>
    <row r="17891" spans="8:9">
      <c r="H17891" s="1245"/>
      <c r="I17891" s="1245"/>
    </row>
    <row r="17892" spans="8:9">
      <c r="H17892" s="1245"/>
      <c r="I17892" s="1245"/>
    </row>
    <row r="17893" spans="8:9">
      <c r="H17893" s="1245"/>
      <c r="I17893" s="1245"/>
    </row>
    <row r="17894" spans="8:9">
      <c r="H17894" s="1245"/>
      <c r="I17894" s="1245"/>
    </row>
    <row r="17895" spans="8:9">
      <c r="H17895" s="1245"/>
      <c r="I17895" s="1245"/>
    </row>
    <row r="17896" spans="8:9">
      <c r="H17896" s="1245"/>
      <c r="I17896" s="1245"/>
    </row>
    <row r="17897" spans="8:9">
      <c r="H17897" s="1245"/>
      <c r="I17897" s="1245"/>
    </row>
    <row r="17898" spans="8:9">
      <c r="H17898" s="1245"/>
      <c r="I17898" s="1245"/>
    </row>
    <row r="17899" spans="8:9">
      <c r="H17899" s="1245"/>
      <c r="I17899" s="1245"/>
    </row>
    <row r="17900" spans="8:9">
      <c r="H17900" s="1245"/>
      <c r="I17900" s="1245"/>
    </row>
    <row r="17901" spans="8:9">
      <c r="H17901" s="1245"/>
      <c r="I17901" s="1245"/>
    </row>
    <row r="17902" spans="8:9">
      <c r="H17902" s="1245"/>
      <c r="I17902" s="1245"/>
    </row>
    <row r="17903" spans="8:9">
      <c r="H17903" s="1245"/>
      <c r="I17903" s="1245"/>
    </row>
    <row r="17904" spans="8:9">
      <c r="H17904" s="1245"/>
      <c r="I17904" s="1245"/>
    </row>
    <row r="17905" spans="8:9">
      <c r="H17905" s="1245"/>
      <c r="I17905" s="1245"/>
    </row>
    <row r="17906" spans="8:9">
      <c r="H17906" s="1245"/>
      <c r="I17906" s="1245"/>
    </row>
    <row r="17907" spans="8:9">
      <c r="H17907" s="1245"/>
      <c r="I17907" s="1245"/>
    </row>
    <row r="17908" spans="8:9">
      <c r="H17908" s="1245"/>
      <c r="I17908" s="1245"/>
    </row>
    <row r="17909" spans="8:9">
      <c r="H17909" s="1245"/>
      <c r="I17909" s="1245"/>
    </row>
    <row r="17910" spans="8:9">
      <c r="H17910" s="1245"/>
      <c r="I17910" s="1245"/>
    </row>
    <row r="17911" spans="8:9">
      <c r="H17911" s="1245"/>
      <c r="I17911" s="1245"/>
    </row>
    <row r="17912" spans="8:9">
      <c r="H17912" s="1245"/>
      <c r="I17912" s="1245"/>
    </row>
    <row r="17913" spans="8:9">
      <c r="H17913" s="1245"/>
      <c r="I17913" s="1245"/>
    </row>
    <row r="17914" spans="8:9">
      <c r="H17914" s="1245"/>
      <c r="I17914" s="1245"/>
    </row>
    <row r="17915" spans="8:9">
      <c r="H17915" s="1245"/>
      <c r="I17915" s="1245"/>
    </row>
    <row r="17916" spans="8:9">
      <c r="H17916" s="1245"/>
      <c r="I17916" s="1245"/>
    </row>
    <row r="17917" spans="8:9">
      <c r="H17917" s="1245"/>
      <c r="I17917" s="1245"/>
    </row>
    <row r="17918" spans="8:9">
      <c r="H17918" s="1245"/>
      <c r="I17918" s="1245"/>
    </row>
    <row r="17919" spans="8:9">
      <c r="H17919" s="1245"/>
      <c r="I17919" s="1245"/>
    </row>
    <row r="17920" spans="8:9">
      <c r="H17920" s="1245"/>
      <c r="I17920" s="1245"/>
    </row>
    <row r="17921" spans="8:9">
      <c r="H17921" s="1245"/>
      <c r="I17921" s="1245"/>
    </row>
    <row r="17922" spans="8:9">
      <c r="H17922" s="1245"/>
      <c r="I17922" s="1245"/>
    </row>
    <row r="17923" spans="8:9">
      <c r="H17923" s="1245"/>
      <c r="I17923" s="1245"/>
    </row>
    <row r="17924" spans="8:9">
      <c r="H17924" s="1245"/>
      <c r="I17924" s="1245"/>
    </row>
    <row r="17925" spans="8:9">
      <c r="H17925" s="1245"/>
      <c r="I17925" s="1245"/>
    </row>
    <row r="17926" spans="8:9">
      <c r="H17926" s="1245"/>
      <c r="I17926" s="1245"/>
    </row>
    <row r="17927" spans="8:9">
      <c r="H17927" s="1245"/>
      <c r="I17927" s="1245"/>
    </row>
    <row r="17928" spans="8:9">
      <c r="H17928" s="1245"/>
      <c r="I17928" s="1245"/>
    </row>
    <row r="17929" spans="8:9">
      <c r="H17929" s="1245"/>
      <c r="I17929" s="1245"/>
    </row>
    <row r="17930" spans="8:9">
      <c r="H17930" s="1245"/>
      <c r="I17930" s="1245"/>
    </row>
    <row r="17931" spans="8:9">
      <c r="H17931" s="1245"/>
      <c r="I17931" s="1245"/>
    </row>
    <row r="17932" spans="8:9">
      <c r="H17932" s="1245"/>
      <c r="I17932" s="1245"/>
    </row>
    <row r="17933" spans="8:9">
      <c r="H17933" s="1245"/>
      <c r="I17933" s="1245"/>
    </row>
    <row r="17934" spans="8:9">
      <c r="H17934" s="1245"/>
      <c r="I17934" s="1245"/>
    </row>
    <row r="17935" spans="8:9">
      <c r="H17935" s="1245"/>
      <c r="I17935" s="1245"/>
    </row>
    <row r="17936" spans="8:9">
      <c r="H17936" s="1245"/>
      <c r="I17936" s="1245"/>
    </row>
    <row r="17937" spans="8:9">
      <c r="H17937" s="1245"/>
      <c r="I17937" s="1245"/>
    </row>
    <row r="17938" spans="8:9">
      <c r="H17938" s="1245"/>
      <c r="I17938" s="1245"/>
    </row>
    <row r="17939" spans="8:9">
      <c r="H17939" s="1245"/>
      <c r="I17939" s="1245"/>
    </row>
    <row r="17940" spans="8:9">
      <c r="H17940" s="1245"/>
      <c r="I17940" s="1245"/>
    </row>
    <row r="17941" spans="8:9">
      <c r="H17941" s="1245"/>
      <c r="I17941" s="1245"/>
    </row>
    <row r="17942" spans="8:9">
      <c r="H17942" s="1245"/>
      <c r="I17942" s="1245"/>
    </row>
    <row r="17943" spans="8:9">
      <c r="H17943" s="1245"/>
      <c r="I17943" s="1245"/>
    </row>
    <row r="17944" spans="8:9">
      <c r="H17944" s="1245"/>
      <c r="I17944" s="1245"/>
    </row>
    <row r="17945" spans="8:9">
      <c r="H17945" s="1245"/>
      <c r="I17945" s="1245"/>
    </row>
    <row r="17946" spans="8:9">
      <c r="H17946" s="1245"/>
      <c r="I17946" s="1245"/>
    </row>
    <row r="17947" spans="8:9">
      <c r="H17947" s="1245"/>
      <c r="I17947" s="1245"/>
    </row>
    <row r="17948" spans="8:9">
      <c r="H17948" s="1245"/>
      <c r="I17948" s="1245"/>
    </row>
    <row r="17949" spans="8:9">
      <c r="H17949" s="1245"/>
      <c r="I17949" s="1245"/>
    </row>
    <row r="17950" spans="8:9">
      <c r="H17950" s="1245"/>
      <c r="I17950" s="1245"/>
    </row>
    <row r="17951" spans="8:9">
      <c r="H17951" s="1245"/>
      <c r="I17951" s="1245"/>
    </row>
    <row r="17952" spans="8:9">
      <c r="H17952" s="1245"/>
      <c r="I17952" s="1245"/>
    </row>
    <row r="17953" spans="8:9">
      <c r="H17953" s="1245"/>
      <c r="I17953" s="1245"/>
    </row>
    <row r="17954" spans="8:9">
      <c r="H17954" s="1245"/>
      <c r="I17954" s="1245"/>
    </row>
    <row r="17955" spans="8:9">
      <c r="H17955" s="1245"/>
      <c r="I17955" s="1245"/>
    </row>
    <row r="17956" spans="8:9">
      <c r="H17956" s="1245"/>
      <c r="I17956" s="1245"/>
    </row>
    <row r="17957" spans="8:9">
      <c r="H17957" s="1245"/>
      <c r="I17957" s="1245"/>
    </row>
    <row r="17958" spans="8:9">
      <c r="H17958" s="1245"/>
      <c r="I17958" s="1245"/>
    </row>
    <row r="17959" spans="8:9">
      <c r="H17959" s="1245"/>
      <c r="I17959" s="1245"/>
    </row>
    <row r="17960" spans="8:9">
      <c r="H17960" s="1245"/>
      <c r="I17960" s="1245"/>
    </row>
    <row r="17961" spans="8:9">
      <c r="H17961" s="1245"/>
      <c r="I17961" s="1245"/>
    </row>
    <row r="17962" spans="8:9">
      <c r="H17962" s="1245"/>
      <c r="I17962" s="1245"/>
    </row>
    <row r="17963" spans="8:9">
      <c r="H17963" s="1245"/>
      <c r="I17963" s="1245"/>
    </row>
    <row r="17964" spans="8:9">
      <c r="H17964" s="1245"/>
      <c r="I17964" s="1245"/>
    </row>
    <row r="17965" spans="8:9">
      <c r="H17965" s="1245"/>
      <c r="I17965" s="1245"/>
    </row>
    <row r="17966" spans="8:9">
      <c r="H17966" s="1245"/>
      <c r="I17966" s="1245"/>
    </row>
    <row r="17967" spans="8:9">
      <c r="H17967" s="1245"/>
      <c r="I17967" s="1245"/>
    </row>
    <row r="17968" spans="8:9">
      <c r="H17968" s="1245"/>
      <c r="I17968" s="1245"/>
    </row>
    <row r="17969" spans="8:9">
      <c r="H17969" s="1245"/>
      <c r="I17969" s="1245"/>
    </row>
    <row r="17970" spans="8:9">
      <c r="H17970" s="1245"/>
      <c r="I17970" s="1245"/>
    </row>
    <row r="17971" spans="8:9">
      <c r="H17971" s="1245"/>
      <c r="I17971" s="1245"/>
    </row>
    <row r="17972" spans="8:9">
      <c r="H17972" s="1245"/>
      <c r="I17972" s="1245"/>
    </row>
    <row r="17973" spans="8:9">
      <c r="H17973" s="1245"/>
      <c r="I17973" s="1245"/>
    </row>
    <row r="17974" spans="8:9">
      <c r="H17974" s="1245"/>
      <c r="I17974" s="1245"/>
    </row>
    <row r="17975" spans="8:9">
      <c r="H17975" s="1245"/>
      <c r="I17975" s="1245"/>
    </row>
    <row r="17976" spans="8:9">
      <c r="H17976" s="1245"/>
      <c r="I17976" s="1245"/>
    </row>
    <row r="17977" spans="8:9">
      <c r="H17977" s="1245"/>
      <c r="I17977" s="1245"/>
    </row>
    <row r="17978" spans="8:9">
      <c r="H17978" s="1245"/>
      <c r="I17978" s="1245"/>
    </row>
    <row r="17979" spans="8:9">
      <c r="H17979" s="1245"/>
      <c r="I17979" s="1245"/>
    </row>
    <row r="17980" spans="8:9">
      <c r="H17980" s="1245"/>
      <c r="I17980" s="1245"/>
    </row>
    <row r="17981" spans="8:9">
      <c r="H17981" s="1245"/>
      <c r="I17981" s="1245"/>
    </row>
    <row r="17982" spans="8:9">
      <c r="H17982" s="1245"/>
      <c r="I17982" s="1245"/>
    </row>
    <row r="17983" spans="8:9">
      <c r="H17983" s="1245"/>
      <c r="I17983" s="1245"/>
    </row>
    <row r="17984" spans="8:9">
      <c r="H17984" s="1245"/>
      <c r="I17984" s="1245"/>
    </row>
    <row r="17985" spans="8:9">
      <c r="H17985" s="1245"/>
      <c r="I17985" s="1245"/>
    </row>
    <row r="17986" spans="8:9">
      <c r="H17986" s="1245"/>
      <c r="I17986" s="1245"/>
    </row>
    <row r="17987" spans="8:9">
      <c r="H17987" s="1245"/>
      <c r="I17987" s="1245"/>
    </row>
    <row r="17988" spans="8:9">
      <c r="H17988" s="1245"/>
      <c r="I17988" s="1245"/>
    </row>
    <row r="17989" spans="8:9">
      <c r="H17989" s="1245"/>
      <c r="I17989" s="1245"/>
    </row>
    <row r="17990" spans="8:9">
      <c r="H17990" s="1245"/>
      <c r="I17990" s="1245"/>
    </row>
    <row r="17991" spans="8:9">
      <c r="H17991" s="1245"/>
      <c r="I17991" s="1245"/>
    </row>
    <row r="17992" spans="8:9">
      <c r="H17992" s="1245"/>
      <c r="I17992" s="1245"/>
    </row>
    <row r="17993" spans="8:9">
      <c r="H17993" s="1245"/>
      <c r="I17993" s="1245"/>
    </row>
    <row r="17994" spans="8:9">
      <c r="H17994" s="1245"/>
      <c r="I17994" s="1245"/>
    </row>
    <row r="17995" spans="8:9">
      <c r="H17995" s="1245"/>
      <c r="I17995" s="1245"/>
    </row>
    <row r="17996" spans="8:9">
      <c r="H17996" s="1245"/>
      <c r="I17996" s="1245"/>
    </row>
    <row r="17997" spans="8:9">
      <c r="H17997" s="1245"/>
      <c r="I17997" s="1245"/>
    </row>
    <row r="17998" spans="8:9">
      <c r="H17998" s="1245"/>
      <c r="I17998" s="1245"/>
    </row>
    <row r="17999" spans="8:9">
      <c r="H17999" s="1245"/>
      <c r="I17999" s="1245"/>
    </row>
    <row r="18000" spans="8:9">
      <c r="H18000" s="1245"/>
      <c r="I18000" s="1245"/>
    </row>
    <row r="18001" spans="8:9">
      <c r="H18001" s="1245"/>
      <c r="I18001" s="1245"/>
    </row>
    <row r="18002" spans="8:9">
      <c r="H18002" s="1245"/>
      <c r="I18002" s="1245"/>
    </row>
    <row r="18003" spans="8:9">
      <c r="H18003" s="1245"/>
      <c r="I18003" s="1245"/>
    </row>
    <row r="18004" spans="8:9">
      <c r="H18004" s="1245"/>
      <c r="I18004" s="1245"/>
    </row>
    <row r="18005" spans="8:9">
      <c r="H18005" s="1245"/>
      <c r="I18005" s="1245"/>
    </row>
    <row r="18006" spans="8:9">
      <c r="H18006" s="1245"/>
      <c r="I18006" s="1245"/>
    </row>
    <row r="18007" spans="8:9">
      <c r="H18007" s="1245"/>
      <c r="I18007" s="1245"/>
    </row>
    <row r="18008" spans="8:9">
      <c r="H18008" s="1245"/>
      <c r="I18008" s="1245"/>
    </row>
    <row r="18009" spans="8:9">
      <c r="H18009" s="1245"/>
      <c r="I18009" s="1245"/>
    </row>
    <row r="18010" spans="8:9">
      <c r="H18010" s="1245"/>
      <c r="I18010" s="1245"/>
    </row>
    <row r="18011" spans="8:9">
      <c r="H18011" s="1245"/>
      <c r="I18011" s="1245"/>
    </row>
    <row r="18012" spans="8:9">
      <c r="H18012" s="1245"/>
      <c r="I18012" s="1245"/>
    </row>
    <row r="18013" spans="8:9">
      <c r="H18013" s="1245"/>
      <c r="I18013" s="1245"/>
    </row>
    <row r="18014" spans="8:9">
      <c r="H18014" s="1245"/>
      <c r="I18014" s="1245"/>
    </row>
    <row r="18015" spans="8:9">
      <c r="H18015" s="1245"/>
      <c r="I18015" s="1245"/>
    </row>
    <row r="18016" spans="8:9">
      <c r="H18016" s="1245"/>
      <c r="I18016" s="1245"/>
    </row>
    <row r="18017" spans="8:9">
      <c r="H18017" s="1245"/>
      <c r="I18017" s="1245"/>
    </row>
    <row r="18018" spans="8:9">
      <c r="H18018" s="1245"/>
      <c r="I18018" s="1245"/>
    </row>
    <row r="18019" spans="8:9">
      <c r="H18019" s="1245"/>
      <c r="I18019" s="1245"/>
    </row>
    <row r="18020" spans="8:9">
      <c r="H18020" s="1245"/>
      <c r="I18020" s="1245"/>
    </row>
    <row r="18021" spans="8:9">
      <c r="H18021" s="1245"/>
      <c r="I18021" s="1245"/>
    </row>
    <row r="18022" spans="8:9">
      <c r="H18022" s="1245"/>
      <c r="I18022" s="1245"/>
    </row>
    <row r="18023" spans="8:9">
      <c r="H18023" s="1245"/>
      <c r="I18023" s="1245"/>
    </row>
    <row r="18024" spans="8:9">
      <c r="H18024" s="1245"/>
      <c r="I18024" s="1245"/>
    </row>
    <row r="18025" spans="8:9">
      <c r="H18025" s="1245"/>
      <c r="I18025" s="1245"/>
    </row>
    <row r="18026" spans="8:9">
      <c r="H18026" s="1245"/>
      <c r="I18026" s="1245"/>
    </row>
    <row r="18027" spans="8:9">
      <c r="H18027" s="1245"/>
      <c r="I18027" s="1245"/>
    </row>
    <row r="18028" spans="8:9">
      <c r="H18028" s="1245"/>
      <c r="I18028" s="1245"/>
    </row>
    <row r="18029" spans="8:9">
      <c r="H18029" s="1245"/>
      <c r="I18029" s="1245"/>
    </row>
    <row r="18030" spans="8:9">
      <c r="H18030" s="1245"/>
      <c r="I18030" s="1245"/>
    </row>
    <row r="18031" spans="8:9">
      <c r="H18031" s="1245"/>
      <c r="I18031" s="1245"/>
    </row>
    <row r="18032" spans="8:9">
      <c r="H18032" s="1245"/>
      <c r="I18032" s="1245"/>
    </row>
    <row r="18033" spans="8:9">
      <c r="H18033" s="1245"/>
      <c r="I18033" s="1245"/>
    </row>
    <row r="18034" spans="8:9">
      <c r="H18034" s="1245"/>
      <c r="I18034" s="1245"/>
    </row>
    <row r="18035" spans="8:9">
      <c r="H18035" s="1245"/>
      <c r="I18035" s="1245"/>
    </row>
    <row r="18036" spans="8:9">
      <c r="H18036" s="1245"/>
      <c r="I18036" s="1245"/>
    </row>
    <row r="18037" spans="8:9">
      <c r="H18037" s="1245"/>
      <c r="I18037" s="1245"/>
    </row>
    <row r="18038" spans="8:9">
      <c r="H18038" s="1245"/>
      <c r="I18038" s="1245"/>
    </row>
    <row r="18039" spans="8:9">
      <c r="H18039" s="1245"/>
      <c r="I18039" s="1245"/>
    </row>
    <row r="18040" spans="8:9">
      <c r="H18040" s="1245"/>
      <c r="I18040" s="1245"/>
    </row>
    <row r="18041" spans="8:9">
      <c r="H18041" s="1245"/>
      <c r="I18041" s="1245"/>
    </row>
    <row r="18042" spans="8:9">
      <c r="H18042" s="1245"/>
      <c r="I18042" s="1245"/>
    </row>
    <row r="18043" spans="8:9">
      <c r="H18043" s="1245"/>
      <c r="I18043" s="1245"/>
    </row>
    <row r="18044" spans="8:9">
      <c r="H18044" s="1245"/>
      <c r="I18044" s="1245"/>
    </row>
    <row r="18045" spans="8:9">
      <c r="H18045" s="1245"/>
      <c r="I18045" s="1245"/>
    </row>
    <row r="18046" spans="8:9">
      <c r="H18046" s="1245"/>
      <c r="I18046" s="1245"/>
    </row>
    <row r="18047" spans="8:9">
      <c r="H18047" s="1245"/>
      <c r="I18047" s="1245"/>
    </row>
    <row r="18048" spans="8:9">
      <c r="H18048" s="1245"/>
      <c r="I18048" s="1245"/>
    </row>
    <row r="18049" spans="8:9">
      <c r="H18049" s="1245"/>
      <c r="I18049" s="1245"/>
    </row>
    <row r="18050" spans="8:9">
      <c r="H18050" s="1245"/>
      <c r="I18050" s="1245"/>
    </row>
    <row r="18051" spans="8:9">
      <c r="H18051" s="1245"/>
      <c r="I18051" s="1245"/>
    </row>
    <row r="18052" spans="8:9">
      <c r="H18052" s="1245"/>
      <c r="I18052" s="1245"/>
    </row>
    <row r="18053" spans="8:9">
      <c r="H18053" s="1245"/>
      <c r="I18053" s="1245"/>
    </row>
    <row r="18054" spans="8:9">
      <c r="H18054" s="1245"/>
      <c r="I18054" s="1245"/>
    </row>
    <row r="18055" spans="8:9">
      <c r="H18055" s="1245"/>
      <c r="I18055" s="1245"/>
    </row>
    <row r="18056" spans="8:9">
      <c r="H18056" s="1245"/>
      <c r="I18056" s="1245"/>
    </row>
    <row r="18057" spans="8:9">
      <c r="H18057" s="1245"/>
      <c r="I18057" s="1245"/>
    </row>
    <row r="18058" spans="8:9">
      <c r="H18058" s="1245"/>
      <c r="I18058" s="1245"/>
    </row>
    <row r="18059" spans="8:9">
      <c r="H18059" s="1245"/>
      <c r="I18059" s="1245"/>
    </row>
    <row r="18060" spans="8:9">
      <c r="H18060" s="1245"/>
      <c r="I18060" s="1245"/>
    </row>
    <row r="18061" spans="8:9">
      <c r="H18061" s="1245"/>
      <c r="I18061" s="1245"/>
    </row>
    <row r="18062" spans="8:9">
      <c r="H18062" s="1245"/>
      <c r="I18062" s="1245"/>
    </row>
    <row r="18063" spans="8:9">
      <c r="H18063" s="1245"/>
      <c r="I18063" s="1245"/>
    </row>
    <row r="18064" spans="8:9">
      <c r="H18064" s="1245"/>
      <c r="I18064" s="1245"/>
    </row>
    <row r="18065" spans="8:9">
      <c r="H18065" s="1245"/>
      <c r="I18065" s="1245"/>
    </row>
    <row r="18066" spans="8:9">
      <c r="H18066" s="1245"/>
      <c r="I18066" s="1245"/>
    </row>
    <row r="18067" spans="8:9">
      <c r="H18067" s="1245"/>
      <c r="I18067" s="1245"/>
    </row>
    <row r="18068" spans="8:9">
      <c r="H18068" s="1245"/>
      <c r="I18068" s="1245"/>
    </row>
    <row r="18069" spans="8:9">
      <c r="H18069" s="1245"/>
      <c r="I18069" s="1245"/>
    </row>
    <row r="18070" spans="8:9">
      <c r="H18070" s="1245"/>
      <c r="I18070" s="1245"/>
    </row>
    <row r="18071" spans="8:9">
      <c r="H18071" s="1245"/>
      <c r="I18071" s="1245"/>
    </row>
    <row r="18072" spans="8:9">
      <c r="H18072" s="1245"/>
      <c r="I18072" s="1245"/>
    </row>
    <row r="18073" spans="8:9">
      <c r="H18073" s="1245"/>
      <c r="I18073" s="1245"/>
    </row>
    <row r="18074" spans="8:9">
      <c r="H18074" s="1245"/>
      <c r="I18074" s="1245"/>
    </row>
    <row r="18075" spans="8:9">
      <c r="H18075" s="1245"/>
      <c r="I18075" s="1245"/>
    </row>
    <row r="18076" spans="8:9">
      <c r="H18076" s="1245"/>
      <c r="I18076" s="1245"/>
    </row>
    <row r="18077" spans="8:9">
      <c r="H18077" s="1245"/>
      <c r="I18077" s="1245"/>
    </row>
    <row r="18078" spans="8:9">
      <c r="H18078" s="1245"/>
      <c r="I18078" s="1245"/>
    </row>
    <row r="18079" spans="8:9">
      <c r="H18079" s="1245"/>
      <c r="I18079" s="1245"/>
    </row>
    <row r="18080" spans="8:9">
      <c r="H18080" s="1245"/>
      <c r="I18080" s="1245"/>
    </row>
    <row r="18081" spans="8:9">
      <c r="H18081" s="1245"/>
      <c r="I18081" s="1245"/>
    </row>
    <row r="18082" spans="8:9">
      <c r="H18082" s="1245"/>
      <c r="I18082" s="1245"/>
    </row>
    <row r="18083" spans="8:9">
      <c r="H18083" s="1245"/>
      <c r="I18083" s="1245"/>
    </row>
    <row r="18084" spans="8:9">
      <c r="H18084" s="1245"/>
      <c r="I18084" s="1245"/>
    </row>
    <row r="18085" spans="8:9">
      <c r="H18085" s="1245"/>
      <c r="I18085" s="1245"/>
    </row>
    <row r="18086" spans="8:9">
      <c r="H18086" s="1245"/>
      <c r="I18086" s="1245"/>
    </row>
    <row r="18087" spans="8:9">
      <c r="H18087" s="1245"/>
      <c r="I18087" s="1245"/>
    </row>
    <row r="18088" spans="8:9">
      <c r="H18088" s="1245"/>
      <c r="I18088" s="1245"/>
    </row>
    <row r="18089" spans="8:9">
      <c r="H18089" s="1245"/>
      <c r="I18089" s="1245"/>
    </row>
    <row r="18090" spans="8:9">
      <c r="H18090" s="1245"/>
      <c r="I18090" s="1245"/>
    </row>
    <row r="18091" spans="8:9">
      <c r="H18091" s="1245"/>
      <c r="I18091" s="1245"/>
    </row>
    <row r="18092" spans="8:9">
      <c r="H18092" s="1245"/>
      <c r="I18092" s="1245"/>
    </row>
    <row r="18093" spans="8:9">
      <c r="H18093" s="1245"/>
      <c r="I18093" s="1245"/>
    </row>
    <row r="18094" spans="8:9">
      <c r="H18094" s="1245"/>
      <c r="I18094" s="1245"/>
    </row>
    <row r="18095" spans="8:9">
      <c r="H18095" s="1245"/>
      <c r="I18095" s="1245"/>
    </row>
    <row r="18096" spans="8:9">
      <c r="H18096" s="1245"/>
      <c r="I18096" s="1245"/>
    </row>
    <row r="18097" spans="8:9">
      <c r="H18097" s="1245"/>
      <c r="I18097" s="1245"/>
    </row>
    <row r="18098" spans="8:9">
      <c r="H18098" s="1245"/>
      <c r="I18098" s="1245"/>
    </row>
    <row r="18099" spans="8:9">
      <c r="H18099" s="1245"/>
      <c r="I18099" s="1245"/>
    </row>
    <row r="18100" spans="8:9">
      <c r="H18100" s="1245"/>
      <c r="I18100" s="1245"/>
    </row>
    <row r="18101" spans="8:9">
      <c r="H18101" s="1245"/>
      <c r="I18101" s="1245"/>
    </row>
    <row r="18102" spans="8:9">
      <c r="H18102" s="1245"/>
      <c r="I18102" s="1245"/>
    </row>
    <row r="18103" spans="8:9">
      <c r="H18103" s="1245"/>
      <c r="I18103" s="1245"/>
    </row>
    <row r="18104" spans="8:9">
      <c r="H18104" s="1245"/>
      <c r="I18104" s="1245"/>
    </row>
    <row r="18105" spans="8:9">
      <c r="H18105" s="1245"/>
      <c r="I18105" s="1245"/>
    </row>
    <row r="18106" spans="8:9">
      <c r="H18106" s="1245"/>
      <c r="I18106" s="1245"/>
    </row>
    <row r="18107" spans="8:9">
      <c r="H18107" s="1245"/>
      <c r="I18107" s="1245"/>
    </row>
    <row r="18108" spans="8:9">
      <c r="H18108" s="1245"/>
      <c r="I18108" s="1245"/>
    </row>
    <row r="18109" spans="8:9">
      <c r="H18109" s="1245"/>
      <c r="I18109" s="1245"/>
    </row>
    <row r="18110" spans="8:9">
      <c r="H18110" s="1245"/>
      <c r="I18110" s="1245"/>
    </row>
    <row r="18111" spans="8:9">
      <c r="H18111" s="1245"/>
      <c r="I18111" s="1245"/>
    </row>
    <row r="18112" spans="8:9">
      <c r="H18112" s="1245"/>
      <c r="I18112" s="1245"/>
    </row>
    <row r="18113" spans="8:9">
      <c r="H18113" s="1245"/>
      <c r="I18113" s="1245"/>
    </row>
    <row r="18114" spans="8:9">
      <c r="H18114" s="1245"/>
      <c r="I18114" s="1245"/>
    </row>
    <row r="18115" spans="8:9">
      <c r="H18115" s="1245"/>
      <c r="I18115" s="1245"/>
    </row>
    <row r="18116" spans="8:9">
      <c r="H18116" s="1245"/>
      <c r="I18116" s="1245"/>
    </row>
    <row r="18117" spans="8:9">
      <c r="H18117" s="1245"/>
      <c r="I18117" s="1245"/>
    </row>
    <row r="18118" spans="8:9">
      <c r="H18118" s="1245"/>
      <c r="I18118" s="1245"/>
    </row>
    <row r="18119" spans="8:9">
      <c r="H18119" s="1245"/>
      <c r="I18119" s="1245"/>
    </row>
    <row r="18120" spans="8:9">
      <c r="H18120" s="1245"/>
      <c r="I18120" s="1245"/>
    </row>
    <row r="18121" spans="8:9">
      <c r="H18121" s="1245"/>
      <c r="I18121" s="1245"/>
    </row>
    <row r="18122" spans="8:9">
      <c r="H18122" s="1245"/>
      <c r="I18122" s="1245"/>
    </row>
    <row r="18123" spans="8:9">
      <c r="H18123" s="1245"/>
      <c r="I18123" s="1245"/>
    </row>
    <row r="18124" spans="8:9">
      <c r="H18124" s="1245"/>
      <c r="I18124" s="1245"/>
    </row>
    <row r="18125" spans="8:9">
      <c r="H18125" s="1245"/>
      <c r="I18125" s="1245"/>
    </row>
    <row r="18126" spans="8:9">
      <c r="H18126" s="1245"/>
      <c r="I18126" s="1245"/>
    </row>
    <row r="18127" spans="8:9">
      <c r="H18127" s="1245"/>
      <c r="I18127" s="1245"/>
    </row>
    <row r="18128" spans="8:9">
      <c r="H18128" s="1245"/>
      <c r="I18128" s="1245"/>
    </row>
    <row r="18129" spans="8:9">
      <c r="H18129" s="1245"/>
      <c r="I18129" s="1245"/>
    </row>
    <row r="18130" spans="8:9">
      <c r="H18130" s="1245"/>
      <c r="I18130" s="1245"/>
    </row>
    <row r="18131" spans="8:9">
      <c r="H18131" s="1245"/>
      <c r="I18131" s="1245"/>
    </row>
    <row r="18132" spans="8:9">
      <c r="H18132" s="1245"/>
      <c r="I18132" s="1245"/>
    </row>
    <row r="18133" spans="8:9">
      <c r="H18133" s="1245"/>
      <c r="I18133" s="1245"/>
    </row>
    <row r="18134" spans="8:9">
      <c r="H18134" s="1245"/>
      <c r="I18134" s="1245"/>
    </row>
    <row r="18135" spans="8:9">
      <c r="H18135" s="1245"/>
      <c r="I18135" s="1245"/>
    </row>
    <row r="18136" spans="8:9">
      <c r="H18136" s="1245"/>
      <c r="I18136" s="1245"/>
    </row>
    <row r="18137" spans="8:9">
      <c r="H18137" s="1245"/>
      <c r="I18137" s="1245"/>
    </row>
    <row r="18138" spans="8:9">
      <c r="H18138" s="1245"/>
      <c r="I18138" s="1245"/>
    </row>
    <row r="18139" spans="8:9">
      <c r="H18139" s="1245"/>
      <c r="I18139" s="1245"/>
    </row>
    <row r="18140" spans="8:9">
      <c r="H18140" s="1245"/>
      <c r="I18140" s="1245"/>
    </row>
    <row r="18141" spans="8:9">
      <c r="H18141" s="1245"/>
      <c r="I18141" s="1245"/>
    </row>
    <row r="18142" spans="8:9">
      <c r="H18142" s="1245"/>
      <c r="I18142" s="1245"/>
    </row>
    <row r="18143" spans="8:9">
      <c r="H18143" s="1245"/>
      <c r="I18143" s="1245"/>
    </row>
    <row r="18144" spans="8:9">
      <c r="H18144" s="1245"/>
      <c r="I18144" s="1245"/>
    </row>
    <row r="18145" spans="8:9">
      <c r="H18145" s="1245"/>
      <c r="I18145" s="1245"/>
    </row>
    <row r="18146" spans="8:9">
      <c r="H18146" s="1245"/>
      <c r="I18146" s="1245"/>
    </row>
    <row r="18147" spans="8:9">
      <c r="H18147" s="1245"/>
      <c r="I18147" s="1245"/>
    </row>
    <row r="18148" spans="8:9">
      <c r="H18148" s="1245"/>
      <c r="I18148" s="1245"/>
    </row>
    <row r="18149" spans="8:9">
      <c r="H18149" s="1245"/>
      <c r="I18149" s="1245"/>
    </row>
    <row r="18150" spans="8:9">
      <c r="H18150" s="1245"/>
      <c r="I18150" s="1245"/>
    </row>
    <row r="18151" spans="8:9">
      <c r="H18151" s="1245"/>
      <c r="I18151" s="1245"/>
    </row>
    <row r="18152" spans="8:9">
      <c r="H18152" s="1245"/>
      <c r="I18152" s="1245"/>
    </row>
    <row r="18153" spans="8:9">
      <c r="H18153" s="1245"/>
      <c r="I18153" s="1245"/>
    </row>
    <row r="18154" spans="8:9">
      <c r="H18154" s="1245"/>
      <c r="I18154" s="1245"/>
    </row>
    <row r="18155" spans="8:9">
      <c r="H18155" s="1245"/>
      <c r="I18155" s="1245"/>
    </row>
    <row r="18156" spans="8:9">
      <c r="H18156" s="1245"/>
      <c r="I18156" s="1245"/>
    </row>
    <row r="18157" spans="8:9">
      <c r="H18157" s="1245"/>
      <c r="I18157" s="1245"/>
    </row>
    <row r="18158" spans="8:9">
      <c r="H18158" s="1245"/>
      <c r="I18158" s="1245"/>
    </row>
    <row r="18159" spans="8:9">
      <c r="H18159" s="1245"/>
      <c r="I18159" s="1245"/>
    </row>
    <row r="18160" spans="8:9">
      <c r="H18160" s="1245"/>
      <c r="I18160" s="1245"/>
    </row>
    <row r="18161" spans="8:9">
      <c r="H18161" s="1245"/>
      <c r="I18161" s="1245"/>
    </row>
    <row r="18162" spans="8:9">
      <c r="H18162" s="1245"/>
      <c r="I18162" s="1245"/>
    </row>
    <row r="18163" spans="8:9">
      <c r="H18163" s="1245"/>
      <c r="I18163" s="1245"/>
    </row>
    <row r="18164" spans="8:9">
      <c r="H18164" s="1245"/>
      <c r="I18164" s="1245"/>
    </row>
    <row r="18165" spans="8:9">
      <c r="H18165" s="1245"/>
      <c r="I18165" s="1245"/>
    </row>
    <row r="18166" spans="8:9">
      <c r="H18166" s="1245"/>
      <c r="I18166" s="1245"/>
    </row>
    <row r="18167" spans="8:9">
      <c r="H18167" s="1245"/>
      <c r="I18167" s="1245"/>
    </row>
    <row r="18168" spans="8:9">
      <c r="H18168" s="1245"/>
      <c r="I18168" s="1245"/>
    </row>
    <row r="18169" spans="8:9">
      <c r="H18169" s="1245"/>
      <c r="I18169" s="1245"/>
    </row>
    <row r="18170" spans="8:9">
      <c r="H18170" s="1245"/>
      <c r="I18170" s="1245"/>
    </row>
    <row r="18171" spans="8:9">
      <c r="H18171" s="1245"/>
      <c r="I18171" s="1245"/>
    </row>
    <row r="18172" spans="8:9">
      <c r="H18172" s="1245"/>
      <c r="I18172" s="1245"/>
    </row>
    <row r="18173" spans="8:9">
      <c r="H18173" s="1245"/>
      <c r="I18173" s="1245"/>
    </row>
    <row r="18174" spans="8:9">
      <c r="H18174" s="1245"/>
      <c r="I18174" s="1245"/>
    </row>
    <row r="18175" spans="8:9">
      <c r="H18175" s="1245"/>
      <c r="I18175" s="1245"/>
    </row>
    <row r="18176" spans="8:9">
      <c r="H18176" s="1245"/>
      <c r="I18176" s="1245"/>
    </row>
    <row r="18177" spans="8:9">
      <c r="H18177" s="1245"/>
      <c r="I18177" s="1245"/>
    </row>
    <row r="18178" spans="8:9">
      <c r="H18178" s="1245"/>
      <c r="I18178" s="1245"/>
    </row>
    <row r="18179" spans="8:9">
      <c r="H18179" s="1245"/>
      <c r="I18179" s="1245"/>
    </row>
    <row r="18180" spans="8:9">
      <c r="H18180" s="1245"/>
      <c r="I18180" s="1245"/>
    </row>
    <row r="18181" spans="8:9">
      <c r="H18181" s="1245"/>
      <c r="I18181" s="1245"/>
    </row>
    <row r="18182" spans="8:9">
      <c r="H18182" s="1245"/>
      <c r="I18182" s="1245"/>
    </row>
    <row r="18183" spans="8:9">
      <c r="H18183" s="1245"/>
      <c r="I18183" s="1245"/>
    </row>
    <row r="18184" spans="8:9">
      <c r="H18184" s="1245"/>
      <c r="I18184" s="1245"/>
    </row>
    <row r="18185" spans="8:9">
      <c r="H18185" s="1245"/>
      <c r="I18185" s="1245"/>
    </row>
    <row r="18186" spans="8:9">
      <c r="H18186" s="1245"/>
      <c r="I18186" s="1245"/>
    </row>
    <row r="18187" spans="8:9">
      <c r="H18187" s="1245"/>
      <c r="I18187" s="1245"/>
    </row>
    <row r="18188" spans="8:9">
      <c r="H18188" s="1245"/>
      <c r="I18188" s="1245"/>
    </row>
    <row r="18189" spans="8:9">
      <c r="H18189" s="1245"/>
      <c r="I18189" s="1245"/>
    </row>
    <row r="18190" spans="8:9">
      <c r="H18190" s="1245"/>
      <c r="I18190" s="1245"/>
    </row>
    <row r="18191" spans="8:9">
      <c r="H18191" s="1245"/>
      <c r="I18191" s="1245"/>
    </row>
    <row r="18192" spans="8:9">
      <c r="H18192" s="1245"/>
      <c r="I18192" s="1245"/>
    </row>
    <row r="18193" spans="8:9">
      <c r="H18193" s="1245"/>
      <c r="I18193" s="1245"/>
    </row>
    <row r="18194" spans="8:9">
      <c r="H18194" s="1245"/>
      <c r="I18194" s="1245"/>
    </row>
    <row r="18195" spans="8:9">
      <c r="H18195" s="1245"/>
      <c r="I18195" s="1245"/>
    </row>
    <row r="18196" spans="8:9">
      <c r="H18196" s="1245"/>
      <c r="I18196" s="1245"/>
    </row>
    <row r="18197" spans="8:9">
      <c r="H18197" s="1245"/>
      <c r="I18197" s="1245"/>
    </row>
    <row r="18198" spans="8:9">
      <c r="H18198" s="1245"/>
      <c r="I18198" s="1245"/>
    </row>
    <row r="18199" spans="8:9">
      <c r="H18199" s="1245"/>
      <c r="I18199" s="1245"/>
    </row>
    <row r="18200" spans="8:9">
      <c r="H18200" s="1245"/>
      <c r="I18200" s="1245"/>
    </row>
    <row r="18201" spans="8:9">
      <c r="H18201" s="1245"/>
      <c r="I18201" s="1245"/>
    </row>
    <row r="18202" spans="8:9">
      <c r="H18202" s="1245"/>
      <c r="I18202" s="1245"/>
    </row>
    <row r="18203" spans="8:9">
      <c r="H18203" s="1245"/>
      <c r="I18203" s="1245"/>
    </row>
    <row r="18204" spans="8:9">
      <c r="H18204" s="1245"/>
      <c r="I18204" s="1245"/>
    </row>
    <row r="18205" spans="8:9">
      <c r="H18205" s="1245"/>
      <c r="I18205" s="1245"/>
    </row>
    <row r="18206" spans="8:9">
      <c r="H18206" s="1245"/>
      <c r="I18206" s="1245"/>
    </row>
    <row r="18207" spans="8:9">
      <c r="H18207" s="1245"/>
      <c r="I18207" s="1245"/>
    </row>
    <row r="18208" spans="8:9">
      <c r="H18208" s="1245"/>
      <c r="I18208" s="1245"/>
    </row>
    <row r="18209" spans="8:9">
      <c r="H18209" s="1245"/>
      <c r="I18209" s="1245"/>
    </row>
    <row r="18210" spans="8:9">
      <c r="H18210" s="1245"/>
      <c r="I18210" s="1245"/>
    </row>
    <row r="18211" spans="8:9">
      <c r="H18211" s="1245"/>
      <c r="I18211" s="1245"/>
    </row>
    <row r="18212" spans="8:9">
      <c r="H18212" s="1245"/>
      <c r="I18212" s="1245"/>
    </row>
    <row r="18213" spans="8:9">
      <c r="H18213" s="1245"/>
      <c r="I18213" s="1245"/>
    </row>
    <row r="18214" spans="8:9">
      <c r="H18214" s="1245"/>
      <c r="I18214" s="1245"/>
    </row>
    <row r="18215" spans="8:9">
      <c r="H18215" s="1245"/>
      <c r="I18215" s="1245"/>
    </row>
    <row r="18216" spans="8:9">
      <c r="H18216" s="1245"/>
      <c r="I18216" s="1245"/>
    </row>
    <row r="18217" spans="8:9">
      <c r="H18217" s="1245"/>
      <c r="I18217" s="1245"/>
    </row>
    <row r="18218" spans="8:9">
      <c r="H18218" s="1245"/>
      <c r="I18218" s="1245"/>
    </row>
    <row r="18219" spans="8:9">
      <c r="H18219" s="1245"/>
      <c r="I18219" s="1245"/>
    </row>
    <row r="18220" spans="8:9">
      <c r="H18220" s="1245"/>
      <c r="I18220" s="1245"/>
    </row>
    <row r="18221" spans="8:9">
      <c r="H18221" s="1245"/>
      <c r="I18221" s="1245"/>
    </row>
    <row r="18222" spans="8:9">
      <c r="H18222" s="1245"/>
      <c r="I18222" s="1245"/>
    </row>
    <row r="18223" spans="8:9">
      <c r="H18223" s="1245"/>
      <c r="I18223" s="1245"/>
    </row>
    <row r="18224" spans="8:9">
      <c r="H18224" s="1245"/>
      <c r="I18224" s="1245"/>
    </row>
    <row r="18225" spans="8:9">
      <c r="H18225" s="1245"/>
      <c r="I18225" s="1245"/>
    </row>
    <row r="18226" spans="8:9">
      <c r="H18226" s="1245"/>
      <c r="I18226" s="1245"/>
    </row>
    <row r="18227" spans="8:9">
      <c r="H18227" s="1245"/>
      <c r="I18227" s="1245"/>
    </row>
    <row r="18228" spans="8:9">
      <c r="H18228" s="1245"/>
      <c r="I18228" s="1245"/>
    </row>
    <row r="18229" spans="8:9">
      <c r="H18229" s="1245"/>
      <c r="I18229" s="1245"/>
    </row>
    <row r="18230" spans="8:9">
      <c r="H18230" s="1245"/>
      <c r="I18230" s="1245"/>
    </row>
    <row r="18231" spans="8:9">
      <c r="H18231" s="1245"/>
      <c r="I18231" s="1245"/>
    </row>
    <row r="18232" spans="8:9">
      <c r="H18232" s="1245"/>
      <c r="I18232" s="1245"/>
    </row>
    <row r="18233" spans="8:9">
      <c r="H18233" s="1245"/>
      <c r="I18233" s="1245"/>
    </row>
    <row r="18234" spans="8:9">
      <c r="H18234" s="1245"/>
      <c r="I18234" s="1245"/>
    </row>
    <row r="18235" spans="8:9">
      <c r="H18235" s="1245"/>
      <c r="I18235" s="1245"/>
    </row>
    <row r="18236" spans="8:9">
      <c r="H18236" s="1245"/>
      <c r="I18236" s="1245"/>
    </row>
    <row r="18237" spans="8:9">
      <c r="H18237" s="1245"/>
      <c r="I18237" s="1245"/>
    </row>
    <row r="18238" spans="8:9">
      <c r="H18238" s="1245"/>
      <c r="I18238" s="1245"/>
    </row>
    <row r="18239" spans="8:9">
      <c r="H18239" s="1245"/>
      <c r="I18239" s="1245"/>
    </row>
    <row r="18240" spans="8:9">
      <c r="H18240" s="1245"/>
      <c r="I18240" s="1245"/>
    </row>
    <row r="18241" spans="8:9">
      <c r="H18241" s="1245"/>
      <c r="I18241" s="1245"/>
    </row>
    <row r="18242" spans="8:9">
      <c r="H18242" s="1245"/>
      <c r="I18242" s="1245"/>
    </row>
    <row r="18243" spans="8:9">
      <c r="H18243" s="1245"/>
      <c r="I18243" s="1245"/>
    </row>
    <row r="18244" spans="8:9">
      <c r="H18244" s="1245"/>
      <c r="I18244" s="1245"/>
    </row>
    <row r="18245" spans="8:9">
      <c r="H18245" s="1245"/>
      <c r="I18245" s="1245"/>
    </row>
    <row r="18246" spans="8:9">
      <c r="H18246" s="1245"/>
      <c r="I18246" s="1245"/>
    </row>
    <row r="18247" spans="8:9">
      <c r="H18247" s="1245"/>
      <c r="I18247" s="1245"/>
    </row>
    <row r="18248" spans="8:9">
      <c r="H18248" s="1245"/>
      <c r="I18248" s="1245"/>
    </row>
    <row r="18249" spans="8:9">
      <c r="H18249" s="1245"/>
      <c r="I18249" s="1245"/>
    </row>
    <row r="18250" spans="8:9">
      <c r="H18250" s="1245"/>
      <c r="I18250" s="1245"/>
    </row>
    <row r="18251" spans="8:9">
      <c r="H18251" s="1245"/>
      <c r="I18251" s="1245"/>
    </row>
    <row r="18252" spans="8:9">
      <c r="H18252" s="1245"/>
      <c r="I18252" s="1245"/>
    </row>
    <row r="18253" spans="8:9">
      <c r="H18253" s="1245"/>
      <c r="I18253" s="1245"/>
    </row>
    <row r="18254" spans="8:9">
      <c r="H18254" s="1245"/>
      <c r="I18254" s="1245"/>
    </row>
    <row r="18255" spans="8:9">
      <c r="H18255" s="1245"/>
      <c r="I18255" s="1245"/>
    </row>
    <row r="18256" spans="8:9">
      <c r="H18256" s="1245"/>
      <c r="I18256" s="1245"/>
    </row>
    <row r="18257" spans="8:9">
      <c r="H18257" s="1245"/>
      <c r="I18257" s="1245"/>
    </row>
    <row r="18258" spans="8:9">
      <c r="H18258" s="1245"/>
      <c r="I18258" s="1245"/>
    </row>
    <row r="18259" spans="8:9">
      <c r="H18259" s="1245"/>
      <c r="I18259" s="1245"/>
    </row>
    <row r="18260" spans="8:9">
      <c r="H18260" s="1245"/>
      <c r="I18260" s="1245"/>
    </row>
    <row r="18261" spans="8:9">
      <c r="H18261" s="1245"/>
      <c r="I18261" s="1245"/>
    </row>
    <row r="18262" spans="8:9">
      <c r="H18262" s="1245"/>
      <c r="I18262" s="1245"/>
    </row>
    <row r="18263" spans="8:9">
      <c r="H18263" s="1245"/>
      <c r="I18263" s="1245"/>
    </row>
    <row r="18264" spans="8:9">
      <c r="H18264" s="1245"/>
      <c r="I18264" s="1245"/>
    </row>
    <row r="18265" spans="8:9">
      <c r="H18265" s="1245"/>
      <c r="I18265" s="1245"/>
    </row>
    <row r="18266" spans="8:9">
      <c r="H18266" s="1245"/>
      <c r="I18266" s="1245"/>
    </row>
    <row r="18267" spans="8:9">
      <c r="H18267" s="1245"/>
      <c r="I18267" s="1245"/>
    </row>
    <row r="18268" spans="8:9">
      <c r="H18268" s="1245"/>
      <c r="I18268" s="1245"/>
    </row>
    <row r="18269" spans="8:9">
      <c r="H18269" s="1245"/>
      <c r="I18269" s="1245"/>
    </row>
    <row r="18270" spans="8:9">
      <c r="H18270" s="1245"/>
      <c r="I18270" s="1245"/>
    </row>
    <row r="18271" spans="8:9">
      <c r="H18271" s="1245"/>
      <c r="I18271" s="1245"/>
    </row>
    <row r="18272" spans="8:9">
      <c r="H18272" s="1245"/>
      <c r="I18272" s="1245"/>
    </row>
    <row r="18273" spans="8:9">
      <c r="H18273" s="1245"/>
      <c r="I18273" s="1245"/>
    </row>
    <row r="18274" spans="8:9">
      <c r="H18274" s="1245"/>
      <c r="I18274" s="1245"/>
    </row>
    <row r="18275" spans="8:9">
      <c r="H18275" s="1245"/>
      <c r="I18275" s="1245"/>
    </row>
    <row r="18276" spans="8:9">
      <c r="H18276" s="1245"/>
      <c r="I18276" s="1245"/>
    </row>
    <row r="18277" spans="8:9">
      <c r="H18277" s="1245"/>
      <c r="I18277" s="1245"/>
    </row>
    <row r="18278" spans="8:9">
      <c r="H18278" s="1245"/>
      <c r="I18278" s="1245"/>
    </row>
    <row r="18279" spans="8:9">
      <c r="H18279" s="1245"/>
      <c r="I18279" s="1245"/>
    </row>
    <row r="18280" spans="8:9">
      <c r="H18280" s="1245"/>
      <c r="I18280" s="1245"/>
    </row>
    <row r="18281" spans="8:9">
      <c r="H18281" s="1245"/>
      <c r="I18281" s="1245"/>
    </row>
    <row r="18282" spans="8:9">
      <c r="H18282" s="1245"/>
      <c r="I18282" s="1245"/>
    </row>
    <row r="18283" spans="8:9">
      <c r="H18283" s="1245"/>
      <c r="I18283" s="1245"/>
    </row>
    <row r="18284" spans="8:9">
      <c r="H18284" s="1245"/>
      <c r="I18284" s="1245"/>
    </row>
    <row r="18285" spans="8:9">
      <c r="H18285" s="1245"/>
      <c r="I18285" s="1245"/>
    </row>
    <row r="18286" spans="8:9">
      <c r="H18286" s="1245"/>
      <c r="I18286" s="1245"/>
    </row>
    <row r="18287" spans="8:9">
      <c r="H18287" s="1245"/>
      <c r="I18287" s="1245"/>
    </row>
    <row r="18288" spans="8:9">
      <c r="H18288" s="1245"/>
      <c r="I18288" s="1245"/>
    </row>
    <row r="18289" spans="8:9">
      <c r="H18289" s="1245"/>
      <c r="I18289" s="1245"/>
    </row>
    <row r="18290" spans="8:9">
      <c r="H18290" s="1245"/>
      <c r="I18290" s="1245"/>
    </row>
    <row r="18291" spans="8:9">
      <c r="H18291" s="1245"/>
      <c r="I18291" s="1245"/>
    </row>
    <row r="18292" spans="8:9">
      <c r="H18292" s="1245"/>
      <c r="I18292" s="1245"/>
    </row>
    <row r="18293" spans="8:9">
      <c r="H18293" s="1245"/>
      <c r="I18293" s="1245"/>
    </row>
    <row r="18294" spans="8:9">
      <c r="H18294" s="1245"/>
      <c r="I18294" s="1245"/>
    </row>
    <row r="18295" spans="8:9">
      <c r="H18295" s="1245"/>
      <c r="I18295" s="1245"/>
    </row>
    <row r="18296" spans="8:9">
      <c r="H18296" s="1245"/>
      <c r="I18296" s="1245"/>
    </row>
    <row r="18297" spans="8:9">
      <c r="H18297" s="1245"/>
      <c r="I18297" s="1245"/>
    </row>
    <row r="18298" spans="8:9">
      <c r="H18298" s="1245"/>
      <c r="I18298" s="1245"/>
    </row>
    <row r="18299" spans="8:9">
      <c r="H18299" s="1245"/>
      <c r="I18299" s="1245"/>
    </row>
    <row r="18300" spans="8:9">
      <c r="H18300" s="1245"/>
      <c r="I18300" s="1245"/>
    </row>
    <row r="18301" spans="8:9">
      <c r="H18301" s="1245"/>
      <c r="I18301" s="1245"/>
    </row>
    <row r="18302" spans="8:9">
      <c r="H18302" s="1245"/>
      <c r="I18302" s="1245"/>
    </row>
    <row r="18303" spans="8:9">
      <c r="H18303" s="1245"/>
      <c r="I18303" s="1245"/>
    </row>
    <row r="18304" spans="8:9">
      <c r="H18304" s="1245"/>
      <c r="I18304" s="1245"/>
    </row>
    <row r="18305" spans="8:9">
      <c r="H18305" s="1245"/>
      <c r="I18305" s="1245"/>
    </row>
    <row r="18306" spans="8:9">
      <c r="H18306" s="1245"/>
      <c r="I18306" s="1245"/>
    </row>
    <row r="18307" spans="8:9">
      <c r="H18307" s="1245"/>
      <c r="I18307" s="1245"/>
    </row>
    <row r="18308" spans="8:9">
      <c r="H18308" s="1245"/>
      <c r="I18308" s="1245"/>
    </row>
    <row r="18309" spans="8:9">
      <c r="H18309" s="1245"/>
      <c r="I18309" s="1245"/>
    </row>
    <row r="18310" spans="8:9">
      <c r="H18310" s="1245"/>
      <c r="I18310" s="1245"/>
    </row>
    <row r="18311" spans="8:9">
      <c r="H18311" s="1245"/>
      <c r="I18311" s="1245"/>
    </row>
    <row r="18312" spans="8:9">
      <c r="H18312" s="1245"/>
      <c r="I18312" s="1245"/>
    </row>
    <row r="18313" spans="8:9">
      <c r="H18313" s="1245"/>
      <c r="I18313" s="1245"/>
    </row>
    <row r="18314" spans="8:9">
      <c r="H18314" s="1245"/>
      <c r="I18314" s="1245"/>
    </row>
    <row r="18315" spans="8:9">
      <c r="H18315" s="1245"/>
      <c r="I18315" s="1245"/>
    </row>
    <row r="18316" spans="8:9">
      <c r="H18316" s="1245"/>
      <c r="I18316" s="1245"/>
    </row>
    <row r="18317" spans="8:9">
      <c r="H18317" s="1245"/>
      <c r="I18317" s="1245"/>
    </row>
    <row r="18318" spans="8:9">
      <c r="H18318" s="1245"/>
      <c r="I18318" s="1245"/>
    </row>
    <row r="18319" spans="8:9">
      <c r="H18319" s="1245"/>
      <c r="I18319" s="1245"/>
    </row>
    <row r="18320" spans="8:9">
      <c r="H18320" s="1245"/>
      <c r="I18320" s="1245"/>
    </row>
    <row r="18321" spans="8:9">
      <c r="H18321" s="1245"/>
      <c r="I18321" s="1245"/>
    </row>
    <row r="18322" spans="8:9">
      <c r="H18322" s="1245"/>
      <c r="I18322" s="1245"/>
    </row>
    <row r="18323" spans="8:9">
      <c r="H18323" s="1245"/>
      <c r="I18323" s="1245"/>
    </row>
    <row r="18324" spans="8:9">
      <c r="H18324" s="1245"/>
      <c r="I18324" s="1245"/>
    </row>
    <row r="18325" spans="8:9">
      <c r="H18325" s="1245"/>
      <c r="I18325" s="1245"/>
    </row>
    <row r="18326" spans="8:9">
      <c r="H18326" s="1245"/>
      <c r="I18326" s="1245"/>
    </row>
    <row r="18327" spans="8:9">
      <c r="H18327" s="1245"/>
      <c r="I18327" s="1245"/>
    </row>
    <row r="18328" spans="8:9">
      <c r="H18328" s="1245"/>
      <c r="I18328" s="1245"/>
    </row>
    <row r="18329" spans="8:9">
      <c r="H18329" s="1245"/>
      <c r="I18329" s="1245"/>
    </row>
    <row r="18330" spans="8:9">
      <c r="H18330" s="1245"/>
      <c r="I18330" s="1245"/>
    </row>
    <row r="18331" spans="8:9">
      <c r="H18331" s="1245"/>
      <c r="I18331" s="1245"/>
    </row>
    <row r="18332" spans="8:9">
      <c r="H18332" s="1245"/>
      <c r="I18332" s="1245"/>
    </row>
    <row r="18333" spans="8:9">
      <c r="H18333" s="1245"/>
      <c r="I18333" s="1245"/>
    </row>
    <row r="18334" spans="8:9">
      <c r="H18334" s="1245"/>
      <c r="I18334" s="1245"/>
    </row>
    <row r="18335" spans="8:9">
      <c r="H18335" s="1245"/>
      <c r="I18335" s="1245"/>
    </row>
    <row r="18336" spans="8:9">
      <c r="H18336" s="1245"/>
      <c r="I18336" s="1245"/>
    </row>
    <row r="18337" spans="8:9">
      <c r="H18337" s="1245"/>
      <c r="I18337" s="1245"/>
    </row>
    <row r="18338" spans="8:9">
      <c r="H18338" s="1245"/>
      <c r="I18338" s="1245"/>
    </row>
    <row r="18339" spans="8:9">
      <c r="H18339" s="1245"/>
      <c r="I18339" s="1245"/>
    </row>
    <row r="18340" spans="8:9">
      <c r="H18340" s="1245"/>
      <c r="I18340" s="1245"/>
    </row>
    <row r="18341" spans="8:9">
      <c r="H18341" s="1245"/>
      <c r="I18341" s="1245"/>
    </row>
    <row r="18342" spans="8:9">
      <c r="H18342" s="1245"/>
      <c r="I18342" s="1245"/>
    </row>
    <row r="18343" spans="8:9">
      <c r="H18343" s="1245"/>
      <c r="I18343" s="1245"/>
    </row>
    <row r="18344" spans="8:9">
      <c r="H18344" s="1245"/>
      <c r="I18344" s="1245"/>
    </row>
    <row r="18345" spans="8:9">
      <c r="H18345" s="1245"/>
      <c r="I18345" s="1245"/>
    </row>
    <row r="18346" spans="8:9">
      <c r="H18346" s="1245"/>
      <c r="I18346" s="1245"/>
    </row>
    <row r="18347" spans="8:9">
      <c r="H18347" s="1245"/>
      <c r="I18347" s="1245"/>
    </row>
    <row r="18348" spans="8:9">
      <c r="H18348" s="1245"/>
      <c r="I18348" s="1245"/>
    </row>
    <row r="18349" spans="8:9">
      <c r="H18349" s="1245"/>
      <c r="I18349" s="1245"/>
    </row>
    <row r="18350" spans="8:9">
      <c r="H18350" s="1245"/>
      <c r="I18350" s="1245"/>
    </row>
    <row r="18351" spans="8:9">
      <c r="H18351" s="1245"/>
      <c r="I18351" s="1245"/>
    </row>
    <row r="18352" spans="8:9">
      <c r="H18352" s="1245"/>
      <c r="I18352" s="1245"/>
    </row>
    <row r="18353" spans="8:9">
      <c r="H18353" s="1245"/>
      <c r="I18353" s="1245"/>
    </row>
    <row r="18354" spans="8:9">
      <c r="H18354" s="1245"/>
      <c r="I18354" s="1245"/>
    </row>
    <row r="18355" spans="8:9">
      <c r="H18355" s="1245"/>
      <c r="I18355" s="1245"/>
    </row>
    <row r="18356" spans="8:9">
      <c r="H18356" s="1245"/>
      <c r="I18356" s="1245"/>
    </row>
    <row r="18357" spans="8:9">
      <c r="H18357" s="1245"/>
      <c r="I18357" s="1245"/>
    </row>
    <row r="18358" spans="8:9">
      <c r="H18358" s="1245"/>
      <c r="I18358" s="1245"/>
    </row>
    <row r="18359" spans="8:9">
      <c r="H18359" s="1245"/>
      <c r="I18359" s="1245"/>
    </row>
    <row r="18360" spans="8:9">
      <c r="H18360" s="1245"/>
      <c r="I18360" s="1245"/>
    </row>
    <row r="18361" spans="8:9">
      <c r="H18361" s="1245"/>
      <c r="I18361" s="1245"/>
    </row>
    <row r="18362" spans="8:9">
      <c r="H18362" s="1245"/>
      <c r="I18362" s="1245"/>
    </row>
    <row r="18363" spans="8:9">
      <c r="H18363" s="1245"/>
      <c r="I18363" s="1245"/>
    </row>
    <row r="18364" spans="8:9">
      <c r="H18364" s="1245"/>
      <c r="I18364" s="1245"/>
    </row>
    <row r="18365" spans="8:9">
      <c r="H18365" s="1245"/>
      <c r="I18365" s="1245"/>
    </row>
    <row r="18366" spans="8:9">
      <c r="H18366" s="1245"/>
      <c r="I18366" s="1245"/>
    </row>
    <row r="18367" spans="8:9">
      <c r="H18367" s="1245"/>
      <c r="I18367" s="1245"/>
    </row>
    <row r="18368" spans="8:9">
      <c r="H18368" s="1245"/>
      <c r="I18368" s="1245"/>
    </row>
    <row r="18369" spans="8:9">
      <c r="H18369" s="1245"/>
      <c r="I18369" s="1245"/>
    </row>
    <row r="18370" spans="8:9">
      <c r="H18370" s="1245"/>
      <c r="I18370" s="1245"/>
    </row>
    <row r="18371" spans="8:9">
      <c r="H18371" s="1245"/>
      <c r="I18371" s="1245"/>
    </row>
    <row r="18372" spans="8:9">
      <c r="H18372" s="1245"/>
      <c r="I18372" s="1245"/>
    </row>
    <row r="18373" spans="8:9">
      <c r="H18373" s="1245"/>
      <c r="I18373" s="1245"/>
    </row>
    <row r="18374" spans="8:9">
      <c r="H18374" s="1245"/>
      <c r="I18374" s="1245"/>
    </row>
    <row r="18375" spans="8:9">
      <c r="H18375" s="1245"/>
      <c r="I18375" s="1245"/>
    </row>
    <row r="18376" spans="8:9">
      <c r="H18376" s="1245"/>
      <c r="I18376" s="1245"/>
    </row>
    <row r="18377" spans="8:9">
      <c r="H18377" s="1245"/>
      <c r="I18377" s="1245"/>
    </row>
    <row r="18378" spans="8:9">
      <c r="H18378" s="1245"/>
      <c r="I18378" s="1245"/>
    </row>
    <row r="18379" spans="8:9">
      <c r="H18379" s="1245"/>
      <c r="I18379" s="1245"/>
    </row>
    <row r="18380" spans="8:9">
      <c r="H18380" s="1245"/>
      <c r="I18380" s="1245"/>
    </row>
    <row r="18381" spans="8:9">
      <c r="H18381" s="1245"/>
      <c r="I18381" s="1245"/>
    </row>
    <row r="18382" spans="8:9">
      <c r="H18382" s="1245"/>
      <c r="I18382" s="1245"/>
    </row>
    <row r="18383" spans="8:9">
      <c r="H18383" s="1245"/>
      <c r="I18383" s="1245"/>
    </row>
    <row r="18384" spans="8:9">
      <c r="H18384" s="1245"/>
      <c r="I18384" s="1245"/>
    </row>
    <row r="18385" spans="8:9">
      <c r="H18385" s="1245"/>
      <c r="I18385" s="1245"/>
    </row>
    <row r="18386" spans="8:9">
      <c r="H18386" s="1245"/>
      <c r="I18386" s="1245"/>
    </row>
    <row r="18387" spans="8:9">
      <c r="H18387" s="1245"/>
      <c r="I18387" s="1245"/>
    </row>
    <row r="18388" spans="8:9">
      <c r="H18388" s="1245"/>
      <c r="I18388" s="1245"/>
    </row>
    <row r="18389" spans="8:9">
      <c r="H18389" s="1245"/>
      <c r="I18389" s="1245"/>
    </row>
    <row r="18390" spans="8:9">
      <c r="H18390" s="1245"/>
      <c r="I18390" s="1245"/>
    </row>
    <row r="18391" spans="8:9">
      <c r="H18391" s="1245"/>
      <c r="I18391" s="1245"/>
    </row>
    <row r="18392" spans="8:9">
      <c r="H18392" s="1245"/>
      <c r="I18392" s="1245"/>
    </row>
    <row r="18393" spans="8:9">
      <c r="H18393" s="1245"/>
      <c r="I18393" s="1245"/>
    </row>
    <row r="18394" spans="8:9">
      <c r="H18394" s="1245"/>
      <c r="I18394" s="1245"/>
    </row>
    <row r="18395" spans="8:9">
      <c r="H18395" s="1245"/>
      <c r="I18395" s="1245"/>
    </row>
    <row r="18396" spans="8:9">
      <c r="H18396" s="1245"/>
      <c r="I18396" s="1245"/>
    </row>
    <row r="18397" spans="8:9">
      <c r="H18397" s="1245"/>
      <c r="I18397" s="1245"/>
    </row>
    <row r="18398" spans="8:9">
      <c r="H18398" s="1245"/>
      <c r="I18398" s="1245"/>
    </row>
    <row r="18399" spans="8:9">
      <c r="H18399" s="1245"/>
      <c r="I18399" s="1245"/>
    </row>
    <row r="18400" spans="8:9">
      <c r="H18400" s="1245"/>
      <c r="I18400" s="1245"/>
    </row>
    <row r="18401" spans="8:9">
      <c r="H18401" s="1245"/>
      <c r="I18401" s="1245"/>
    </row>
    <row r="18402" spans="8:9">
      <c r="H18402" s="1245"/>
      <c r="I18402" s="1245"/>
    </row>
    <row r="18403" spans="8:9">
      <c r="H18403" s="1245"/>
      <c r="I18403" s="1245"/>
    </row>
    <row r="18404" spans="8:9">
      <c r="H18404" s="1245"/>
      <c r="I18404" s="1245"/>
    </row>
    <row r="18405" spans="8:9">
      <c r="H18405" s="1245"/>
      <c r="I18405" s="1245"/>
    </row>
    <row r="18406" spans="8:9">
      <c r="H18406" s="1245"/>
      <c r="I18406" s="1245"/>
    </row>
    <row r="18407" spans="8:9">
      <c r="H18407" s="1245"/>
      <c r="I18407" s="1245"/>
    </row>
    <row r="18408" spans="8:9">
      <c r="H18408" s="1245"/>
      <c r="I18408" s="1245"/>
    </row>
    <row r="18409" spans="8:9">
      <c r="H18409" s="1245"/>
      <c r="I18409" s="1245"/>
    </row>
    <row r="18410" spans="8:9">
      <c r="H18410" s="1245"/>
      <c r="I18410" s="1245"/>
    </row>
    <row r="18411" spans="8:9">
      <c r="H18411" s="1245"/>
      <c r="I18411" s="1245"/>
    </row>
    <row r="18412" spans="8:9">
      <c r="H18412" s="1245"/>
      <c r="I18412" s="1245"/>
    </row>
    <row r="18413" spans="8:9">
      <c r="H18413" s="1245"/>
      <c r="I18413" s="1245"/>
    </row>
    <row r="18414" spans="8:9">
      <c r="H18414" s="1245"/>
      <c r="I18414" s="1245"/>
    </row>
    <row r="18415" spans="8:9">
      <c r="H18415" s="1245"/>
      <c r="I18415" s="1245"/>
    </row>
    <row r="18416" spans="8:9">
      <c r="H18416" s="1245"/>
      <c r="I18416" s="1245"/>
    </row>
    <row r="18417" spans="8:9">
      <c r="H18417" s="1245"/>
      <c r="I18417" s="1245"/>
    </row>
    <row r="18418" spans="8:9">
      <c r="H18418" s="1245"/>
      <c r="I18418" s="1245"/>
    </row>
    <row r="18419" spans="8:9">
      <c r="H18419" s="1245"/>
      <c r="I18419" s="1245"/>
    </row>
    <row r="18420" spans="8:9">
      <c r="H18420" s="1245"/>
      <c r="I18420" s="1245"/>
    </row>
    <row r="18421" spans="8:9">
      <c r="H18421" s="1245"/>
      <c r="I18421" s="1245"/>
    </row>
    <row r="18422" spans="8:9">
      <c r="H18422" s="1245"/>
      <c r="I18422" s="1245"/>
    </row>
    <row r="18423" spans="8:9">
      <c r="H18423" s="1245"/>
      <c r="I18423" s="1245"/>
    </row>
    <row r="18424" spans="8:9">
      <c r="H18424" s="1245"/>
      <c r="I18424" s="1245"/>
    </row>
    <row r="18425" spans="8:9">
      <c r="H18425" s="1245"/>
      <c r="I18425" s="1245"/>
    </row>
    <row r="18426" spans="8:9">
      <c r="H18426" s="1245"/>
      <c r="I18426" s="1245"/>
    </row>
    <row r="18427" spans="8:9">
      <c r="H18427" s="1245"/>
      <c r="I18427" s="1245"/>
    </row>
    <row r="18428" spans="8:9">
      <c r="H18428" s="1245"/>
      <c r="I18428" s="1245"/>
    </row>
    <row r="18429" spans="8:9">
      <c r="H18429" s="1245"/>
      <c r="I18429" s="1245"/>
    </row>
    <row r="18430" spans="8:9">
      <c r="H18430" s="1245"/>
      <c r="I18430" s="1245"/>
    </row>
    <row r="18431" spans="8:9">
      <c r="H18431" s="1245"/>
      <c r="I18431" s="1245"/>
    </row>
    <row r="18432" spans="8:9">
      <c r="H18432" s="1245"/>
      <c r="I18432" s="1245"/>
    </row>
    <row r="18433" spans="8:9">
      <c r="H18433" s="1245"/>
      <c r="I18433" s="1245"/>
    </row>
    <row r="18434" spans="8:9">
      <c r="H18434" s="1245"/>
      <c r="I18434" s="1245"/>
    </row>
    <row r="18435" spans="8:9">
      <c r="H18435" s="1245"/>
      <c r="I18435" s="1245"/>
    </row>
    <row r="18436" spans="8:9">
      <c r="H18436" s="1245"/>
      <c r="I18436" s="1245"/>
    </row>
    <row r="18437" spans="8:9">
      <c r="H18437" s="1245"/>
      <c r="I18437" s="1245"/>
    </row>
    <row r="18438" spans="8:9">
      <c r="H18438" s="1245"/>
      <c r="I18438" s="1245"/>
    </row>
    <row r="18439" spans="8:9">
      <c r="H18439" s="1245"/>
      <c r="I18439" s="1245"/>
    </row>
    <row r="18440" spans="8:9">
      <c r="H18440" s="1245"/>
      <c r="I18440" s="1245"/>
    </row>
    <row r="18441" spans="8:9">
      <c r="H18441" s="1245"/>
      <c r="I18441" s="1245"/>
    </row>
    <row r="18442" spans="8:9">
      <c r="H18442" s="1245"/>
      <c r="I18442" s="1245"/>
    </row>
    <row r="18443" spans="8:9">
      <c r="H18443" s="1245"/>
      <c r="I18443" s="1245"/>
    </row>
    <row r="18444" spans="8:9">
      <c r="H18444" s="1245"/>
      <c r="I18444" s="1245"/>
    </row>
    <row r="18445" spans="8:9">
      <c r="H18445" s="1245"/>
      <c r="I18445" s="1245"/>
    </row>
    <row r="18446" spans="8:9">
      <c r="H18446" s="1245"/>
      <c r="I18446" s="1245"/>
    </row>
    <row r="18447" spans="8:9">
      <c r="H18447" s="1245"/>
      <c r="I18447" s="1245"/>
    </row>
    <row r="18448" spans="8:9">
      <c r="H18448" s="1245"/>
      <c r="I18448" s="1245"/>
    </row>
    <row r="18449" spans="8:9">
      <c r="H18449" s="1245"/>
      <c r="I18449" s="1245"/>
    </row>
    <row r="18450" spans="8:9">
      <c r="H18450" s="1245"/>
      <c r="I18450" s="1245"/>
    </row>
    <row r="18451" spans="8:9">
      <c r="H18451" s="1245"/>
      <c r="I18451" s="1245"/>
    </row>
    <row r="18452" spans="8:9">
      <c r="H18452" s="1245"/>
      <c r="I18452" s="1245"/>
    </row>
    <row r="18453" spans="8:9">
      <c r="H18453" s="1245"/>
      <c r="I18453" s="1245"/>
    </row>
    <row r="18454" spans="8:9">
      <c r="H18454" s="1245"/>
      <c r="I18454" s="1245"/>
    </row>
    <row r="18455" spans="8:9">
      <c r="H18455" s="1245"/>
      <c r="I18455" s="1245"/>
    </row>
    <row r="18456" spans="8:9">
      <c r="H18456" s="1245"/>
      <c r="I18456" s="1245"/>
    </row>
    <row r="18457" spans="8:9">
      <c r="H18457" s="1245"/>
      <c r="I18457" s="1245"/>
    </row>
    <row r="18458" spans="8:9">
      <c r="H18458" s="1245"/>
      <c r="I18458" s="1245"/>
    </row>
    <row r="18459" spans="8:9">
      <c r="H18459" s="1245"/>
      <c r="I18459" s="1245"/>
    </row>
    <row r="18460" spans="8:9">
      <c r="H18460" s="1245"/>
      <c r="I18460" s="1245"/>
    </row>
    <row r="18461" spans="8:9">
      <c r="H18461" s="1245"/>
      <c r="I18461" s="1245"/>
    </row>
    <row r="18462" spans="8:9">
      <c r="H18462" s="1245"/>
      <c r="I18462" s="1245"/>
    </row>
    <row r="18463" spans="8:9">
      <c r="H18463" s="1245"/>
      <c r="I18463" s="1245"/>
    </row>
    <row r="18464" spans="8:9">
      <c r="H18464" s="1245"/>
      <c r="I18464" s="1245"/>
    </row>
    <row r="18465" spans="8:9">
      <c r="H18465" s="1245"/>
      <c r="I18465" s="1245"/>
    </row>
    <row r="18466" spans="8:9">
      <c r="H18466" s="1245"/>
      <c r="I18466" s="1245"/>
    </row>
    <row r="18467" spans="8:9">
      <c r="H18467" s="1245"/>
      <c r="I18467" s="1245"/>
    </row>
    <row r="18468" spans="8:9">
      <c r="H18468" s="1245"/>
      <c r="I18468" s="1245"/>
    </row>
    <row r="18469" spans="8:9">
      <c r="H18469" s="1245"/>
      <c r="I18469" s="1245"/>
    </row>
    <row r="18470" spans="8:9">
      <c r="H18470" s="1245"/>
      <c r="I18470" s="1245"/>
    </row>
    <row r="18471" spans="8:9">
      <c r="H18471" s="1245"/>
      <c r="I18471" s="1245"/>
    </row>
    <row r="18472" spans="8:9">
      <c r="H18472" s="1245"/>
      <c r="I18472" s="1245"/>
    </row>
    <row r="18473" spans="8:9">
      <c r="H18473" s="1245"/>
      <c r="I18473" s="1245"/>
    </row>
    <row r="18474" spans="8:9">
      <c r="H18474" s="1245"/>
      <c r="I18474" s="1245"/>
    </row>
    <row r="18475" spans="8:9">
      <c r="H18475" s="1245"/>
      <c r="I18475" s="1245"/>
    </row>
    <row r="18476" spans="8:9">
      <c r="H18476" s="1245"/>
      <c r="I18476" s="1245"/>
    </row>
    <row r="18477" spans="8:9">
      <c r="H18477" s="1245"/>
      <c r="I18477" s="1245"/>
    </row>
    <row r="18478" spans="8:9">
      <c r="H18478" s="1245"/>
      <c r="I18478" s="1245"/>
    </row>
    <row r="18479" spans="8:9">
      <c r="H18479" s="1245"/>
      <c r="I18479" s="1245"/>
    </row>
    <row r="18480" spans="8:9">
      <c r="H18480" s="1245"/>
      <c r="I18480" s="1245"/>
    </row>
    <row r="18481" spans="8:9">
      <c r="H18481" s="1245"/>
      <c r="I18481" s="1245"/>
    </row>
    <row r="18482" spans="8:9">
      <c r="H18482" s="1245"/>
      <c r="I18482" s="1245"/>
    </row>
    <row r="18483" spans="8:9">
      <c r="H18483" s="1245"/>
      <c r="I18483" s="1245"/>
    </row>
    <row r="18484" spans="8:9">
      <c r="H18484" s="1245"/>
      <c r="I18484" s="1245"/>
    </row>
    <row r="18485" spans="8:9">
      <c r="H18485" s="1245"/>
      <c r="I18485" s="1245"/>
    </row>
    <row r="18486" spans="8:9">
      <c r="H18486" s="1245"/>
      <c r="I18486" s="1245"/>
    </row>
    <row r="18487" spans="8:9">
      <c r="H18487" s="1245"/>
      <c r="I18487" s="1245"/>
    </row>
    <row r="18488" spans="8:9">
      <c r="H18488" s="1245"/>
      <c r="I18488" s="1245"/>
    </row>
    <row r="18489" spans="8:9">
      <c r="H18489" s="1245"/>
      <c r="I18489" s="1245"/>
    </row>
    <row r="18490" spans="8:9">
      <c r="H18490" s="1245"/>
      <c r="I18490" s="1245"/>
    </row>
    <row r="18491" spans="8:9">
      <c r="H18491" s="1245"/>
      <c r="I18491" s="1245"/>
    </row>
    <row r="18492" spans="8:9">
      <c r="H18492" s="1245"/>
      <c r="I18492" s="1245"/>
    </row>
    <row r="18493" spans="8:9">
      <c r="H18493" s="1245"/>
      <c r="I18493" s="1245"/>
    </row>
    <row r="18494" spans="8:9">
      <c r="H18494" s="1245"/>
      <c r="I18494" s="1245"/>
    </row>
    <row r="18495" spans="8:9">
      <c r="H18495" s="1245"/>
      <c r="I18495" s="1245"/>
    </row>
    <row r="18496" spans="8:9">
      <c r="H18496" s="1245"/>
      <c r="I18496" s="1245"/>
    </row>
    <row r="18497" spans="8:9">
      <c r="H18497" s="1245"/>
      <c r="I18497" s="1245"/>
    </row>
    <row r="18498" spans="8:9">
      <c r="H18498" s="1245"/>
      <c r="I18498" s="1245"/>
    </row>
    <row r="18499" spans="8:9">
      <c r="H18499" s="1245"/>
      <c r="I18499" s="1245"/>
    </row>
    <row r="18500" spans="8:9">
      <c r="H18500" s="1245"/>
      <c r="I18500" s="1245"/>
    </row>
    <row r="18501" spans="8:9">
      <c r="H18501" s="1245"/>
      <c r="I18501" s="1245"/>
    </row>
    <row r="18502" spans="8:9">
      <c r="H18502" s="1245"/>
      <c r="I18502" s="1245"/>
    </row>
    <row r="18503" spans="8:9">
      <c r="H18503" s="1245"/>
      <c r="I18503" s="1245"/>
    </row>
    <row r="18504" spans="8:9">
      <c r="H18504" s="1245"/>
      <c r="I18504" s="1245"/>
    </row>
    <row r="18505" spans="8:9">
      <c r="H18505" s="1245"/>
      <c r="I18505" s="1245"/>
    </row>
    <row r="18506" spans="8:9">
      <c r="H18506" s="1245"/>
      <c r="I18506" s="1245"/>
    </row>
    <row r="18507" spans="8:9">
      <c r="H18507" s="1245"/>
      <c r="I18507" s="1245"/>
    </row>
    <row r="18508" spans="8:9">
      <c r="H18508" s="1245"/>
      <c r="I18508" s="1245"/>
    </row>
    <row r="18509" spans="8:9">
      <c r="H18509" s="1245"/>
      <c r="I18509" s="1245"/>
    </row>
    <row r="18510" spans="8:9">
      <c r="H18510" s="1245"/>
      <c r="I18510" s="1245"/>
    </row>
    <row r="18511" spans="8:9">
      <c r="H18511" s="1245"/>
      <c r="I18511" s="1245"/>
    </row>
    <row r="18512" spans="8:9">
      <c r="H18512" s="1245"/>
      <c r="I18512" s="1245"/>
    </row>
    <row r="18513" spans="8:9">
      <c r="H18513" s="1245"/>
      <c r="I18513" s="1245"/>
    </row>
    <row r="18514" spans="8:9">
      <c r="H18514" s="1245"/>
      <c r="I18514" s="1245"/>
    </row>
    <row r="18515" spans="8:9">
      <c r="H18515" s="1245"/>
      <c r="I18515" s="1245"/>
    </row>
    <row r="18516" spans="8:9">
      <c r="H18516" s="1245"/>
      <c r="I18516" s="1245"/>
    </row>
    <row r="18517" spans="8:9">
      <c r="H18517" s="1245"/>
      <c r="I18517" s="1245"/>
    </row>
    <row r="18518" spans="8:9">
      <c r="H18518" s="1245"/>
      <c r="I18518" s="1245"/>
    </row>
    <row r="18519" spans="8:9">
      <c r="H18519" s="1245"/>
      <c r="I18519" s="1245"/>
    </row>
    <row r="18520" spans="8:9">
      <c r="H18520" s="1245"/>
      <c r="I18520" s="1245"/>
    </row>
    <row r="18521" spans="8:9">
      <c r="H18521" s="1245"/>
      <c r="I18521" s="1245"/>
    </row>
    <row r="18522" spans="8:9">
      <c r="H18522" s="1245"/>
      <c r="I18522" s="1245"/>
    </row>
    <row r="18523" spans="8:9">
      <c r="H18523" s="1245"/>
      <c r="I18523" s="1245"/>
    </row>
    <row r="18524" spans="8:9">
      <c r="H18524" s="1245"/>
      <c r="I18524" s="1245"/>
    </row>
    <row r="18525" spans="8:9">
      <c r="H18525" s="1245"/>
      <c r="I18525" s="1245"/>
    </row>
    <row r="18526" spans="8:9">
      <c r="H18526" s="1245"/>
      <c r="I18526" s="1245"/>
    </row>
    <row r="18527" spans="8:9">
      <c r="H18527" s="1245"/>
      <c r="I18527" s="1245"/>
    </row>
    <row r="18528" spans="8:9">
      <c r="H18528" s="1245"/>
      <c r="I18528" s="1245"/>
    </row>
    <row r="18529" spans="8:9">
      <c r="H18529" s="1245"/>
      <c r="I18529" s="1245"/>
    </row>
    <row r="18530" spans="8:9">
      <c r="H18530" s="1245"/>
      <c r="I18530" s="1245"/>
    </row>
    <row r="18531" spans="8:9">
      <c r="H18531" s="1245"/>
      <c r="I18531" s="1245"/>
    </row>
    <row r="18532" spans="8:9">
      <c r="H18532" s="1245"/>
      <c r="I18532" s="1245"/>
    </row>
    <row r="18533" spans="8:9">
      <c r="H18533" s="1245"/>
      <c r="I18533" s="1245"/>
    </row>
    <row r="18534" spans="8:9">
      <c r="H18534" s="1245"/>
      <c r="I18534" s="1245"/>
    </row>
    <row r="18535" spans="8:9">
      <c r="H18535" s="1245"/>
      <c r="I18535" s="1245"/>
    </row>
    <row r="18536" spans="8:9">
      <c r="H18536" s="1245"/>
      <c r="I18536" s="1245"/>
    </row>
    <row r="18537" spans="8:9">
      <c r="H18537" s="1245"/>
      <c r="I18537" s="1245"/>
    </row>
    <row r="18538" spans="8:9">
      <c r="H18538" s="1245"/>
      <c r="I18538" s="1245"/>
    </row>
    <row r="18539" spans="8:9">
      <c r="H18539" s="1245"/>
      <c r="I18539" s="1245"/>
    </row>
    <row r="18540" spans="8:9">
      <c r="H18540" s="1245"/>
      <c r="I18540" s="1245"/>
    </row>
    <row r="18541" spans="8:9">
      <c r="H18541" s="1245"/>
      <c r="I18541" s="1245"/>
    </row>
    <row r="18542" spans="8:9">
      <c r="H18542" s="1245"/>
      <c r="I18542" s="1245"/>
    </row>
    <row r="18543" spans="8:9">
      <c r="H18543" s="1245"/>
      <c r="I18543" s="1245"/>
    </row>
    <row r="18544" spans="8:9">
      <c r="H18544" s="1245"/>
      <c r="I18544" s="1245"/>
    </row>
    <row r="18545" spans="8:9">
      <c r="H18545" s="1245"/>
      <c r="I18545" s="1245"/>
    </row>
    <row r="18546" spans="8:9">
      <c r="H18546" s="1245"/>
      <c r="I18546" s="1245"/>
    </row>
    <row r="18547" spans="8:9">
      <c r="H18547" s="1245"/>
      <c r="I18547" s="1245"/>
    </row>
    <row r="18548" spans="8:9">
      <c r="H18548" s="1245"/>
      <c r="I18548" s="1245"/>
    </row>
    <row r="18549" spans="8:9">
      <c r="H18549" s="1245"/>
      <c r="I18549" s="1245"/>
    </row>
    <row r="18550" spans="8:9">
      <c r="H18550" s="1245"/>
      <c r="I18550" s="1245"/>
    </row>
    <row r="18551" spans="8:9">
      <c r="H18551" s="1245"/>
      <c r="I18551" s="1245"/>
    </row>
    <row r="18552" spans="8:9">
      <c r="H18552" s="1245"/>
      <c r="I18552" s="1245"/>
    </row>
    <row r="18553" spans="8:9">
      <c r="H18553" s="1245"/>
      <c r="I18553" s="1245"/>
    </row>
    <row r="18554" spans="8:9">
      <c r="H18554" s="1245"/>
      <c r="I18554" s="1245"/>
    </row>
    <row r="18555" spans="8:9">
      <c r="H18555" s="1245"/>
      <c r="I18555" s="1245"/>
    </row>
    <row r="18556" spans="8:9">
      <c r="H18556" s="1245"/>
      <c r="I18556" s="1245"/>
    </row>
    <row r="18557" spans="8:9">
      <c r="H18557" s="1245"/>
      <c r="I18557" s="1245"/>
    </row>
    <row r="18558" spans="8:9">
      <c r="H18558" s="1245"/>
      <c r="I18558" s="1245"/>
    </row>
    <row r="18559" spans="8:9">
      <c r="H18559" s="1245"/>
      <c r="I18559" s="1245"/>
    </row>
    <row r="18560" spans="8:9">
      <c r="H18560" s="1245"/>
      <c r="I18560" s="1245"/>
    </row>
    <row r="18561" spans="8:9">
      <c r="H18561" s="1245"/>
      <c r="I18561" s="1245"/>
    </row>
    <row r="18562" spans="8:9">
      <c r="H18562" s="1245"/>
      <c r="I18562" s="1245"/>
    </row>
    <row r="18563" spans="8:9">
      <c r="H18563" s="1245"/>
      <c r="I18563" s="1245"/>
    </row>
    <row r="18564" spans="8:9">
      <c r="H18564" s="1245"/>
      <c r="I18564" s="1245"/>
    </row>
    <row r="18565" spans="8:9">
      <c r="H18565" s="1245"/>
      <c r="I18565" s="1245"/>
    </row>
    <row r="18566" spans="8:9">
      <c r="H18566" s="1245"/>
      <c r="I18566" s="1245"/>
    </row>
    <row r="18567" spans="8:9">
      <c r="H18567" s="1245"/>
      <c r="I18567" s="1245"/>
    </row>
    <row r="18568" spans="8:9">
      <c r="H18568" s="1245"/>
      <c r="I18568" s="1245"/>
    </row>
    <row r="18569" spans="8:9">
      <c r="H18569" s="1245"/>
      <c r="I18569" s="1245"/>
    </row>
    <row r="18570" spans="8:9">
      <c r="H18570" s="1245"/>
      <c r="I18570" s="1245"/>
    </row>
    <row r="18571" spans="8:9">
      <c r="H18571" s="1245"/>
      <c r="I18571" s="1245"/>
    </row>
    <row r="18572" spans="8:9">
      <c r="H18572" s="1245"/>
      <c r="I18572" s="1245"/>
    </row>
    <row r="18573" spans="8:9">
      <c r="H18573" s="1245"/>
      <c r="I18573" s="1245"/>
    </row>
    <row r="18574" spans="8:9">
      <c r="H18574" s="1245"/>
      <c r="I18574" s="1245"/>
    </row>
    <row r="18575" spans="8:9">
      <c r="H18575" s="1245"/>
      <c r="I18575" s="1245"/>
    </row>
    <row r="18576" spans="8:9">
      <c r="H18576" s="1245"/>
      <c r="I18576" s="1245"/>
    </row>
    <row r="18577" spans="8:9">
      <c r="H18577" s="1245"/>
      <c r="I18577" s="1245"/>
    </row>
    <row r="18578" spans="8:9">
      <c r="H18578" s="1245"/>
      <c r="I18578" s="1245"/>
    </row>
    <row r="18579" spans="8:9">
      <c r="H18579" s="1245"/>
      <c r="I18579" s="1245"/>
    </row>
    <row r="18580" spans="8:9">
      <c r="H18580" s="1245"/>
      <c r="I18580" s="1245"/>
    </row>
    <row r="18581" spans="8:9">
      <c r="H18581" s="1245"/>
      <c r="I18581" s="1245"/>
    </row>
    <row r="18582" spans="8:9">
      <c r="H18582" s="1245"/>
      <c r="I18582" s="1245"/>
    </row>
    <row r="18583" spans="8:9">
      <c r="H18583" s="1245"/>
      <c r="I18583" s="1245"/>
    </row>
    <row r="18584" spans="8:9">
      <c r="H18584" s="1245"/>
      <c r="I18584" s="1245"/>
    </row>
    <row r="18585" spans="8:9">
      <c r="H18585" s="1245"/>
      <c r="I18585" s="1245"/>
    </row>
    <row r="18586" spans="8:9">
      <c r="H18586" s="1245"/>
      <c r="I18586" s="1245"/>
    </row>
    <row r="18587" spans="8:9">
      <c r="H18587" s="1245"/>
      <c r="I18587" s="1245"/>
    </row>
    <row r="18588" spans="8:9">
      <c r="H18588" s="1245"/>
      <c r="I18588" s="1245"/>
    </row>
    <row r="18589" spans="8:9">
      <c r="H18589" s="1245"/>
      <c r="I18589" s="1245"/>
    </row>
    <row r="18590" spans="8:9">
      <c r="H18590" s="1245"/>
      <c r="I18590" s="1245"/>
    </row>
    <row r="18591" spans="8:9">
      <c r="H18591" s="1245"/>
      <c r="I18591" s="1245"/>
    </row>
    <row r="18592" spans="8:9">
      <c r="H18592" s="1245"/>
      <c r="I18592" s="1245"/>
    </row>
    <row r="18593" spans="8:9">
      <c r="H18593" s="1245"/>
      <c r="I18593" s="1245"/>
    </row>
    <row r="18594" spans="8:9">
      <c r="H18594" s="1245"/>
      <c r="I18594" s="1245"/>
    </row>
    <row r="18595" spans="8:9">
      <c r="H18595" s="1245"/>
      <c r="I18595" s="1245"/>
    </row>
    <row r="18596" spans="8:9">
      <c r="H18596" s="1245"/>
      <c r="I18596" s="1245"/>
    </row>
    <row r="18597" spans="8:9">
      <c r="H18597" s="1245"/>
      <c r="I18597" s="1245"/>
    </row>
    <row r="18598" spans="8:9">
      <c r="H18598" s="1245"/>
      <c r="I18598" s="1245"/>
    </row>
    <row r="18599" spans="8:9">
      <c r="H18599" s="1245"/>
      <c r="I18599" s="1245"/>
    </row>
    <row r="18600" spans="8:9">
      <c r="H18600" s="1245"/>
      <c r="I18600" s="1245"/>
    </row>
    <row r="18601" spans="8:9">
      <c r="H18601" s="1245"/>
      <c r="I18601" s="1245"/>
    </row>
    <row r="18602" spans="8:9">
      <c r="H18602" s="1245"/>
      <c r="I18602" s="1245"/>
    </row>
    <row r="18603" spans="8:9">
      <c r="H18603" s="1245"/>
      <c r="I18603" s="1245"/>
    </row>
    <row r="18604" spans="8:9">
      <c r="H18604" s="1245"/>
      <c r="I18604" s="1245"/>
    </row>
    <row r="18605" spans="8:9">
      <c r="H18605" s="1245"/>
      <c r="I18605" s="1245"/>
    </row>
    <row r="18606" spans="8:9">
      <c r="H18606" s="1245"/>
      <c r="I18606" s="1245"/>
    </row>
    <row r="18607" spans="8:9">
      <c r="H18607" s="1245"/>
      <c r="I18607" s="1245"/>
    </row>
    <row r="18608" spans="8:9">
      <c r="H18608" s="1245"/>
      <c r="I18608" s="1245"/>
    </row>
    <row r="18609" spans="8:9">
      <c r="H18609" s="1245"/>
      <c r="I18609" s="1245"/>
    </row>
    <row r="18610" spans="8:9">
      <c r="H18610" s="1245"/>
      <c r="I18610" s="1245"/>
    </row>
    <row r="18611" spans="8:9">
      <c r="H18611" s="1245"/>
      <c r="I18611" s="1245"/>
    </row>
    <row r="18612" spans="8:9">
      <c r="H18612" s="1245"/>
      <c r="I18612" s="1245"/>
    </row>
    <row r="18613" spans="8:9">
      <c r="H18613" s="1245"/>
      <c r="I18613" s="1245"/>
    </row>
    <row r="18614" spans="8:9">
      <c r="H18614" s="1245"/>
      <c r="I18614" s="1245"/>
    </row>
    <row r="18615" spans="8:9">
      <c r="H18615" s="1245"/>
      <c r="I18615" s="1245"/>
    </row>
    <row r="18616" spans="8:9">
      <c r="H18616" s="1245"/>
      <c r="I18616" s="1245"/>
    </row>
    <row r="18617" spans="8:9">
      <c r="H18617" s="1245"/>
      <c r="I18617" s="1245"/>
    </row>
    <row r="18618" spans="8:9">
      <c r="H18618" s="1245"/>
      <c r="I18618" s="1245"/>
    </row>
    <row r="18619" spans="8:9">
      <c r="H18619" s="1245"/>
      <c r="I18619" s="1245"/>
    </row>
    <row r="18620" spans="8:9">
      <c r="H18620" s="1245"/>
      <c r="I18620" s="1245"/>
    </row>
    <row r="18621" spans="8:9">
      <c r="H18621" s="1245"/>
      <c r="I18621" s="1245"/>
    </row>
    <row r="18622" spans="8:9">
      <c r="H18622" s="1245"/>
      <c r="I18622" s="1245"/>
    </row>
    <row r="18623" spans="8:9">
      <c r="H18623" s="1245"/>
      <c r="I18623" s="1245"/>
    </row>
    <row r="18624" spans="8:9">
      <c r="H18624" s="1245"/>
      <c r="I18624" s="1245"/>
    </row>
    <row r="18625" spans="8:9">
      <c r="H18625" s="1245"/>
      <c r="I18625" s="1245"/>
    </row>
    <row r="18626" spans="8:9">
      <c r="H18626" s="1245"/>
      <c r="I18626" s="1245"/>
    </row>
    <row r="18627" spans="8:9">
      <c r="H18627" s="1245"/>
      <c r="I18627" s="1245"/>
    </row>
    <row r="18628" spans="8:9">
      <c r="H18628" s="1245"/>
      <c r="I18628" s="1245"/>
    </row>
    <row r="18629" spans="8:9">
      <c r="H18629" s="1245"/>
      <c r="I18629" s="1245"/>
    </row>
    <row r="18630" spans="8:9">
      <c r="H18630" s="1245"/>
      <c r="I18630" s="1245"/>
    </row>
    <row r="18631" spans="8:9">
      <c r="H18631" s="1245"/>
      <c r="I18631" s="1245"/>
    </row>
    <row r="18632" spans="8:9">
      <c r="H18632" s="1245"/>
      <c r="I18632" s="1245"/>
    </row>
    <row r="18633" spans="8:9">
      <c r="H18633" s="1245"/>
      <c r="I18633" s="1245"/>
    </row>
    <row r="18634" spans="8:9">
      <c r="H18634" s="1245"/>
      <c r="I18634" s="1245"/>
    </row>
    <row r="18635" spans="8:9">
      <c r="H18635" s="1245"/>
      <c r="I18635" s="1245"/>
    </row>
    <row r="18636" spans="8:9">
      <c r="H18636" s="1245"/>
      <c r="I18636" s="1245"/>
    </row>
    <row r="18637" spans="8:9">
      <c r="H18637" s="1245"/>
      <c r="I18637" s="1245"/>
    </row>
    <row r="18638" spans="8:9">
      <c r="H18638" s="1245"/>
      <c r="I18638" s="1245"/>
    </row>
    <row r="18639" spans="8:9">
      <c r="H18639" s="1245"/>
      <c r="I18639" s="1245"/>
    </row>
    <row r="18640" spans="8:9">
      <c r="H18640" s="1245"/>
      <c r="I18640" s="1245"/>
    </row>
    <row r="18641" spans="8:9">
      <c r="H18641" s="1245"/>
      <c r="I18641" s="1245"/>
    </row>
    <row r="18642" spans="8:9">
      <c r="H18642" s="1245"/>
      <c r="I18642" s="1245"/>
    </row>
    <row r="18643" spans="8:9">
      <c r="H18643" s="1245"/>
      <c r="I18643" s="1245"/>
    </row>
    <row r="18644" spans="8:9">
      <c r="H18644" s="1245"/>
      <c r="I18644" s="1245"/>
    </row>
    <row r="18645" spans="8:9">
      <c r="H18645" s="1245"/>
      <c r="I18645" s="1245"/>
    </row>
    <row r="18646" spans="8:9">
      <c r="H18646" s="1245"/>
      <c r="I18646" s="1245"/>
    </row>
    <row r="18647" spans="8:9">
      <c r="H18647" s="1245"/>
      <c r="I18647" s="1245"/>
    </row>
    <row r="18648" spans="8:9">
      <c r="H18648" s="1245"/>
      <c r="I18648" s="1245"/>
    </row>
    <row r="18649" spans="8:9">
      <c r="H18649" s="1245"/>
      <c r="I18649" s="1245"/>
    </row>
    <row r="18650" spans="8:9">
      <c r="H18650" s="1245"/>
      <c r="I18650" s="1245"/>
    </row>
    <row r="18651" spans="8:9">
      <c r="H18651" s="1245"/>
      <c r="I18651" s="1245"/>
    </row>
    <row r="18652" spans="8:9">
      <c r="H18652" s="1245"/>
      <c r="I18652" s="1245"/>
    </row>
    <row r="18653" spans="8:9">
      <c r="H18653" s="1245"/>
      <c r="I18653" s="1245"/>
    </row>
    <row r="18654" spans="8:9">
      <c r="H18654" s="1245"/>
      <c r="I18654" s="1245"/>
    </row>
    <row r="18655" spans="8:9">
      <c r="H18655" s="1245"/>
      <c r="I18655" s="1245"/>
    </row>
    <row r="18656" spans="8:9">
      <c r="H18656" s="1245"/>
      <c r="I18656" s="1245"/>
    </row>
    <row r="18657" spans="8:9">
      <c r="H18657" s="1245"/>
      <c r="I18657" s="1245"/>
    </row>
    <row r="18658" spans="8:9">
      <c r="H18658" s="1245"/>
      <c r="I18658" s="1245"/>
    </row>
    <row r="18659" spans="8:9">
      <c r="H18659" s="1245"/>
      <c r="I18659" s="1245"/>
    </row>
    <row r="18660" spans="8:9">
      <c r="H18660" s="1245"/>
      <c r="I18660" s="1245"/>
    </row>
    <row r="18661" spans="8:9">
      <c r="H18661" s="1245"/>
      <c r="I18661" s="1245"/>
    </row>
    <row r="18662" spans="8:9">
      <c r="H18662" s="1245"/>
      <c r="I18662" s="1245"/>
    </row>
    <row r="18663" spans="8:9">
      <c r="H18663" s="1245"/>
      <c r="I18663" s="1245"/>
    </row>
    <row r="18664" spans="8:9">
      <c r="H18664" s="1245"/>
      <c r="I18664" s="1245"/>
    </row>
    <row r="18665" spans="8:9">
      <c r="H18665" s="1245"/>
      <c r="I18665" s="1245"/>
    </row>
    <row r="18666" spans="8:9">
      <c r="H18666" s="1245"/>
      <c r="I18666" s="1245"/>
    </row>
    <row r="18667" spans="8:9">
      <c r="H18667" s="1245"/>
      <c r="I18667" s="1245"/>
    </row>
    <row r="18668" spans="8:9">
      <c r="H18668" s="1245"/>
      <c r="I18668" s="1245"/>
    </row>
    <row r="18669" spans="8:9">
      <c r="H18669" s="1245"/>
      <c r="I18669" s="1245"/>
    </row>
    <row r="18670" spans="8:9">
      <c r="H18670" s="1245"/>
      <c r="I18670" s="1245"/>
    </row>
    <row r="18671" spans="8:9">
      <c r="H18671" s="1245"/>
      <c r="I18671" s="1245"/>
    </row>
    <row r="18672" spans="8:9">
      <c r="H18672" s="1245"/>
      <c r="I18672" s="1245"/>
    </row>
    <row r="18673" spans="8:9">
      <c r="H18673" s="1245"/>
      <c r="I18673" s="1245"/>
    </row>
    <row r="18674" spans="8:9">
      <c r="H18674" s="1245"/>
      <c r="I18674" s="1245"/>
    </row>
    <row r="18675" spans="8:9">
      <c r="H18675" s="1245"/>
      <c r="I18675" s="1245"/>
    </row>
    <row r="18676" spans="8:9">
      <c r="H18676" s="1245"/>
      <c r="I18676" s="1245"/>
    </row>
    <row r="18677" spans="8:9">
      <c r="H18677" s="1245"/>
      <c r="I18677" s="1245"/>
    </row>
    <row r="18678" spans="8:9">
      <c r="H18678" s="1245"/>
      <c r="I18678" s="1245"/>
    </row>
    <row r="18679" spans="8:9">
      <c r="H18679" s="1245"/>
      <c r="I18679" s="1245"/>
    </row>
    <row r="18680" spans="8:9">
      <c r="H18680" s="1245"/>
      <c r="I18680" s="1245"/>
    </row>
    <row r="18681" spans="8:9">
      <c r="H18681" s="1245"/>
      <c r="I18681" s="1245"/>
    </row>
    <row r="18682" spans="8:9">
      <c r="H18682" s="1245"/>
      <c r="I18682" s="1245"/>
    </row>
    <row r="18683" spans="8:9">
      <c r="H18683" s="1245"/>
      <c r="I18683" s="1245"/>
    </row>
    <row r="18684" spans="8:9">
      <c r="H18684" s="1245"/>
      <c r="I18684" s="1245"/>
    </row>
    <row r="18685" spans="8:9">
      <c r="H18685" s="1245"/>
      <c r="I18685" s="1245"/>
    </row>
    <row r="18686" spans="8:9">
      <c r="H18686" s="1245"/>
      <c r="I18686" s="1245"/>
    </row>
    <row r="18687" spans="8:9">
      <c r="H18687" s="1245"/>
      <c r="I18687" s="1245"/>
    </row>
    <row r="18688" spans="8:9">
      <c r="H18688" s="1245"/>
      <c r="I18688" s="1245"/>
    </row>
    <row r="18689" spans="8:9">
      <c r="H18689" s="1245"/>
      <c r="I18689" s="1245"/>
    </row>
    <row r="18690" spans="8:9">
      <c r="H18690" s="1245"/>
      <c r="I18690" s="1245"/>
    </row>
    <row r="18691" spans="8:9">
      <c r="H18691" s="1245"/>
      <c r="I18691" s="1245"/>
    </row>
    <row r="18692" spans="8:9">
      <c r="H18692" s="1245"/>
      <c r="I18692" s="1245"/>
    </row>
    <row r="18693" spans="8:9">
      <c r="H18693" s="1245"/>
      <c r="I18693" s="1245"/>
    </row>
    <row r="18694" spans="8:9">
      <c r="H18694" s="1245"/>
      <c r="I18694" s="1245"/>
    </row>
    <row r="18695" spans="8:9">
      <c r="H18695" s="1245"/>
      <c r="I18695" s="1245"/>
    </row>
    <row r="18696" spans="8:9">
      <c r="H18696" s="1245"/>
      <c r="I18696" s="1245"/>
    </row>
    <row r="18697" spans="8:9">
      <c r="H18697" s="1245"/>
      <c r="I18697" s="1245"/>
    </row>
    <row r="18698" spans="8:9">
      <c r="H18698" s="1245"/>
      <c r="I18698" s="1245"/>
    </row>
    <row r="18699" spans="8:9">
      <c r="H18699" s="1245"/>
      <c r="I18699" s="1245"/>
    </row>
    <row r="18700" spans="8:9">
      <c r="H18700" s="1245"/>
      <c r="I18700" s="1245"/>
    </row>
    <row r="18701" spans="8:9">
      <c r="H18701" s="1245"/>
      <c r="I18701" s="1245"/>
    </row>
    <row r="18702" spans="8:9">
      <c r="H18702" s="1245"/>
      <c r="I18702" s="1245"/>
    </row>
    <row r="18703" spans="8:9">
      <c r="H18703" s="1245"/>
      <c r="I18703" s="1245"/>
    </row>
    <row r="18704" spans="8:9">
      <c r="H18704" s="1245"/>
      <c r="I18704" s="1245"/>
    </row>
    <row r="18705" spans="8:9">
      <c r="H18705" s="1245"/>
      <c r="I18705" s="1245"/>
    </row>
    <row r="18706" spans="8:9">
      <c r="H18706" s="1245"/>
      <c r="I18706" s="1245"/>
    </row>
    <row r="18707" spans="8:9">
      <c r="H18707" s="1245"/>
      <c r="I18707" s="1245"/>
    </row>
    <row r="18708" spans="8:9">
      <c r="H18708" s="1245"/>
      <c r="I18708" s="1245"/>
    </row>
    <row r="18709" spans="8:9">
      <c r="H18709" s="1245"/>
      <c r="I18709" s="1245"/>
    </row>
    <row r="18710" spans="8:9">
      <c r="H18710" s="1245"/>
      <c r="I18710" s="1245"/>
    </row>
    <row r="18711" spans="8:9">
      <c r="H18711" s="1245"/>
      <c r="I18711" s="1245"/>
    </row>
    <row r="18712" spans="8:9">
      <c r="H18712" s="1245"/>
      <c r="I18712" s="1245"/>
    </row>
    <row r="18713" spans="8:9">
      <c r="H18713" s="1245"/>
      <c r="I18713" s="1245"/>
    </row>
    <row r="18714" spans="8:9">
      <c r="H18714" s="1245"/>
      <c r="I18714" s="1245"/>
    </row>
    <row r="18715" spans="8:9">
      <c r="H18715" s="1245"/>
      <c r="I18715" s="1245"/>
    </row>
    <row r="18716" spans="8:9">
      <c r="H18716" s="1245"/>
      <c r="I18716" s="1245"/>
    </row>
    <row r="18717" spans="8:9">
      <c r="H18717" s="1245"/>
      <c r="I18717" s="1245"/>
    </row>
    <row r="18718" spans="8:9">
      <c r="H18718" s="1245"/>
      <c r="I18718" s="1245"/>
    </row>
    <row r="18719" spans="8:9">
      <c r="H18719" s="1245"/>
      <c r="I18719" s="1245"/>
    </row>
    <row r="18720" spans="8:9">
      <c r="H18720" s="1245"/>
      <c r="I18720" s="1245"/>
    </row>
    <row r="18721" spans="8:9">
      <c r="H18721" s="1245"/>
      <c r="I18721" s="1245"/>
    </row>
    <row r="18722" spans="8:9">
      <c r="H18722" s="1245"/>
      <c r="I18722" s="1245"/>
    </row>
    <row r="18723" spans="8:9">
      <c r="H18723" s="1245"/>
      <c r="I18723" s="1245"/>
    </row>
    <row r="18724" spans="8:9">
      <c r="H18724" s="1245"/>
      <c r="I18724" s="1245"/>
    </row>
    <row r="18725" spans="8:9">
      <c r="H18725" s="1245"/>
      <c r="I18725" s="1245"/>
    </row>
    <row r="18726" spans="8:9">
      <c r="H18726" s="1245"/>
      <c r="I18726" s="1245"/>
    </row>
    <row r="18727" spans="8:9">
      <c r="H18727" s="1245"/>
      <c r="I18727" s="1245"/>
    </row>
    <row r="18728" spans="8:9">
      <c r="H18728" s="1245"/>
      <c r="I18728" s="1245"/>
    </row>
    <row r="18729" spans="8:9">
      <c r="H18729" s="1245"/>
      <c r="I18729" s="1245"/>
    </row>
    <row r="18730" spans="8:9">
      <c r="H18730" s="1245"/>
      <c r="I18730" s="1245"/>
    </row>
    <row r="18731" spans="8:9">
      <c r="H18731" s="1245"/>
      <c r="I18731" s="1245"/>
    </row>
    <row r="18732" spans="8:9">
      <c r="H18732" s="1245"/>
      <c r="I18732" s="1245"/>
    </row>
    <row r="18733" spans="8:9">
      <c r="H18733" s="1245"/>
      <c r="I18733" s="1245"/>
    </row>
    <row r="18734" spans="8:9">
      <c r="H18734" s="1245"/>
      <c r="I18734" s="1245"/>
    </row>
    <row r="18735" spans="8:9">
      <c r="H18735" s="1245"/>
      <c r="I18735" s="1245"/>
    </row>
    <row r="18736" spans="8:9">
      <c r="H18736" s="1245"/>
      <c r="I18736" s="1245"/>
    </row>
    <row r="18737" spans="8:9">
      <c r="H18737" s="1245"/>
      <c r="I18737" s="1245"/>
    </row>
    <row r="18738" spans="8:9">
      <c r="H18738" s="1245"/>
      <c r="I18738" s="1245"/>
    </row>
    <row r="18739" spans="8:9">
      <c r="H18739" s="1245"/>
      <c r="I18739" s="1245"/>
    </row>
    <row r="18740" spans="8:9">
      <c r="H18740" s="1245"/>
      <c r="I18740" s="1245"/>
    </row>
    <row r="18741" spans="8:9">
      <c r="H18741" s="1245"/>
      <c r="I18741" s="1245"/>
    </row>
    <row r="18742" spans="8:9">
      <c r="H18742" s="1245"/>
      <c r="I18742" s="1245"/>
    </row>
    <row r="18743" spans="8:9">
      <c r="H18743" s="1245"/>
      <c r="I18743" s="1245"/>
    </row>
    <row r="18744" spans="8:9">
      <c r="H18744" s="1245"/>
      <c r="I18744" s="1245"/>
    </row>
    <row r="18745" spans="8:9">
      <c r="H18745" s="1245"/>
      <c r="I18745" s="1245"/>
    </row>
    <row r="18746" spans="8:9">
      <c r="H18746" s="1245"/>
      <c r="I18746" s="1245"/>
    </row>
    <row r="18747" spans="8:9">
      <c r="H18747" s="1245"/>
      <c r="I18747" s="1245"/>
    </row>
    <row r="18748" spans="8:9">
      <c r="H18748" s="1245"/>
      <c r="I18748" s="1245"/>
    </row>
    <row r="18749" spans="8:9">
      <c r="H18749" s="1245"/>
      <c r="I18749" s="1245"/>
    </row>
    <row r="18750" spans="8:9">
      <c r="H18750" s="1245"/>
      <c r="I18750" s="1245"/>
    </row>
    <row r="18751" spans="8:9">
      <c r="H18751" s="1245"/>
      <c r="I18751" s="1245"/>
    </row>
    <row r="18752" spans="8:9">
      <c r="H18752" s="1245"/>
      <c r="I18752" s="1245"/>
    </row>
    <row r="18753" spans="8:9">
      <c r="H18753" s="1245"/>
      <c r="I18753" s="1245"/>
    </row>
    <row r="18754" spans="8:9">
      <c r="H18754" s="1245"/>
      <c r="I18754" s="1245"/>
    </row>
    <row r="18755" spans="8:9">
      <c r="H18755" s="1245"/>
      <c r="I18755" s="1245"/>
    </row>
    <row r="18756" spans="8:9">
      <c r="H18756" s="1245"/>
      <c r="I18756" s="1245"/>
    </row>
    <row r="18757" spans="8:9">
      <c r="H18757" s="1245"/>
      <c r="I18757" s="1245"/>
    </row>
    <row r="18758" spans="8:9">
      <c r="H18758" s="1245"/>
      <c r="I18758" s="1245"/>
    </row>
    <row r="18759" spans="8:9">
      <c r="H18759" s="1245"/>
      <c r="I18759" s="1245"/>
    </row>
    <row r="18760" spans="8:9">
      <c r="H18760" s="1245"/>
      <c r="I18760" s="1245"/>
    </row>
    <row r="18761" spans="8:9">
      <c r="H18761" s="1245"/>
      <c r="I18761" s="1245"/>
    </row>
    <row r="18762" spans="8:9">
      <c r="H18762" s="1245"/>
      <c r="I18762" s="1245"/>
    </row>
    <row r="18763" spans="8:9">
      <c r="H18763" s="1245"/>
      <c r="I18763" s="1245"/>
    </row>
    <row r="18764" spans="8:9">
      <c r="H18764" s="1245"/>
      <c r="I18764" s="1245"/>
    </row>
    <row r="18765" spans="8:9">
      <c r="H18765" s="1245"/>
      <c r="I18765" s="1245"/>
    </row>
    <row r="18766" spans="8:9">
      <c r="H18766" s="1245"/>
      <c r="I18766" s="1245"/>
    </row>
    <row r="18767" spans="8:9">
      <c r="H18767" s="1245"/>
      <c r="I18767" s="1245"/>
    </row>
    <row r="18768" spans="8:9">
      <c r="H18768" s="1245"/>
      <c r="I18768" s="1245"/>
    </row>
    <row r="18769" spans="8:9">
      <c r="H18769" s="1245"/>
      <c r="I18769" s="1245"/>
    </row>
    <row r="18770" spans="8:9">
      <c r="H18770" s="1245"/>
      <c r="I18770" s="1245"/>
    </row>
    <row r="18771" spans="8:9">
      <c r="H18771" s="1245"/>
      <c r="I18771" s="1245"/>
    </row>
    <row r="18772" spans="8:9">
      <c r="H18772" s="1245"/>
      <c r="I18772" s="1245"/>
    </row>
    <row r="18773" spans="8:9">
      <c r="H18773" s="1245"/>
      <c r="I18773" s="1245"/>
    </row>
    <row r="18774" spans="8:9">
      <c r="H18774" s="1245"/>
      <c r="I18774" s="1245"/>
    </row>
    <row r="18775" spans="8:9">
      <c r="H18775" s="1245"/>
      <c r="I18775" s="1245"/>
    </row>
    <row r="18776" spans="8:9">
      <c r="H18776" s="1245"/>
      <c r="I18776" s="1245"/>
    </row>
    <row r="18777" spans="8:9">
      <c r="H18777" s="1245"/>
      <c r="I18777" s="1245"/>
    </row>
    <row r="18778" spans="8:9">
      <c r="H18778" s="1245"/>
      <c r="I18778" s="1245"/>
    </row>
    <row r="18779" spans="8:9">
      <c r="H18779" s="1245"/>
      <c r="I18779" s="1245"/>
    </row>
    <row r="18780" spans="8:9">
      <c r="H18780" s="1245"/>
      <c r="I18780" s="1245"/>
    </row>
    <row r="18781" spans="8:9">
      <c r="H18781" s="1245"/>
      <c r="I18781" s="1245"/>
    </row>
    <row r="18782" spans="8:9">
      <c r="H18782" s="1245"/>
      <c r="I18782" s="1245"/>
    </row>
    <row r="18783" spans="8:9">
      <c r="H18783" s="1245"/>
      <c r="I18783" s="1245"/>
    </row>
    <row r="18784" spans="8:9">
      <c r="H18784" s="1245"/>
      <c r="I18784" s="1245"/>
    </row>
    <row r="18785" spans="8:9">
      <c r="H18785" s="1245"/>
      <c r="I18785" s="1245"/>
    </row>
    <row r="18786" spans="8:9">
      <c r="H18786" s="1245"/>
      <c r="I18786" s="1245"/>
    </row>
    <row r="18787" spans="8:9">
      <c r="H18787" s="1245"/>
      <c r="I18787" s="1245"/>
    </row>
    <row r="18788" spans="8:9">
      <c r="H18788" s="1245"/>
      <c r="I18788" s="1245"/>
    </row>
    <row r="18789" spans="8:9">
      <c r="H18789" s="1245"/>
      <c r="I18789" s="1245"/>
    </row>
    <row r="18790" spans="8:9">
      <c r="H18790" s="1245"/>
      <c r="I18790" s="1245"/>
    </row>
    <row r="18791" spans="8:9">
      <c r="H18791" s="1245"/>
      <c r="I18791" s="1245"/>
    </row>
    <row r="18792" spans="8:9">
      <c r="H18792" s="1245"/>
      <c r="I18792" s="1245"/>
    </row>
    <row r="18793" spans="8:9">
      <c r="H18793" s="1245"/>
      <c r="I18793" s="1245"/>
    </row>
    <row r="18794" spans="8:9">
      <c r="H18794" s="1245"/>
      <c r="I18794" s="1245"/>
    </row>
    <row r="18795" spans="8:9">
      <c r="H18795" s="1245"/>
      <c r="I18795" s="1245"/>
    </row>
    <row r="18796" spans="8:9">
      <c r="H18796" s="1245"/>
      <c r="I18796" s="1245"/>
    </row>
    <row r="18797" spans="8:9">
      <c r="H18797" s="1245"/>
      <c r="I18797" s="1245"/>
    </row>
    <row r="18798" spans="8:9">
      <c r="H18798" s="1245"/>
      <c r="I18798" s="1245"/>
    </row>
    <row r="18799" spans="8:9">
      <c r="H18799" s="1245"/>
      <c r="I18799" s="1245"/>
    </row>
    <row r="18800" spans="8:9">
      <c r="H18800" s="1245"/>
      <c r="I18800" s="1245"/>
    </row>
    <row r="18801" spans="8:9">
      <c r="H18801" s="1245"/>
      <c r="I18801" s="1245"/>
    </row>
    <row r="18802" spans="8:9">
      <c r="H18802" s="1245"/>
      <c r="I18802" s="1245"/>
    </row>
    <row r="18803" spans="8:9">
      <c r="H18803" s="1245"/>
      <c r="I18803" s="1245"/>
    </row>
    <row r="18804" spans="8:9">
      <c r="H18804" s="1245"/>
      <c r="I18804" s="1245"/>
    </row>
    <row r="18805" spans="8:9">
      <c r="H18805" s="1245"/>
      <c r="I18805" s="1245"/>
    </row>
    <row r="18806" spans="8:9">
      <c r="H18806" s="1245"/>
      <c r="I18806" s="1245"/>
    </row>
    <row r="18807" spans="8:9">
      <c r="H18807" s="1245"/>
      <c r="I18807" s="1245"/>
    </row>
    <row r="18808" spans="8:9">
      <c r="H18808" s="1245"/>
      <c r="I18808" s="1245"/>
    </row>
    <row r="18809" spans="8:9">
      <c r="H18809" s="1245"/>
      <c r="I18809" s="1245"/>
    </row>
    <row r="18810" spans="8:9">
      <c r="H18810" s="1245"/>
      <c r="I18810" s="1245"/>
    </row>
    <row r="18811" spans="8:9">
      <c r="H18811" s="1245"/>
      <c r="I18811" s="1245"/>
    </row>
    <row r="18812" spans="8:9">
      <c r="H18812" s="1245"/>
      <c r="I18812" s="1245"/>
    </row>
    <row r="18813" spans="8:9">
      <c r="H18813" s="1245"/>
      <c r="I18813" s="1245"/>
    </row>
    <row r="18814" spans="8:9">
      <c r="H18814" s="1245"/>
      <c r="I18814" s="1245"/>
    </row>
    <row r="18815" spans="8:9">
      <c r="H18815" s="1245"/>
      <c r="I18815" s="1245"/>
    </row>
    <row r="18816" spans="8:9">
      <c r="H18816" s="1245"/>
      <c r="I18816" s="1245"/>
    </row>
    <row r="18817" spans="8:9">
      <c r="H18817" s="1245"/>
      <c r="I18817" s="1245"/>
    </row>
    <row r="18818" spans="8:9">
      <c r="H18818" s="1245"/>
      <c r="I18818" s="1245"/>
    </row>
    <row r="18819" spans="8:9">
      <c r="H18819" s="1245"/>
      <c r="I18819" s="1245"/>
    </row>
    <row r="18820" spans="8:9">
      <c r="H18820" s="1245"/>
      <c r="I18820" s="1245"/>
    </row>
    <row r="18821" spans="8:9">
      <c r="H18821" s="1245"/>
      <c r="I18821" s="1245"/>
    </row>
    <row r="18822" spans="8:9">
      <c r="H18822" s="1245"/>
      <c r="I18822" s="1245"/>
    </row>
    <row r="18823" spans="8:9">
      <c r="H18823" s="1245"/>
      <c r="I18823" s="1245"/>
    </row>
    <row r="18824" spans="8:9">
      <c r="H18824" s="1245"/>
      <c r="I18824" s="1245"/>
    </row>
    <row r="18825" spans="8:9">
      <c r="H18825" s="1245"/>
      <c r="I18825" s="1245"/>
    </row>
    <row r="18826" spans="8:9">
      <c r="H18826" s="1245"/>
      <c r="I18826" s="1245"/>
    </row>
    <row r="18827" spans="8:9">
      <c r="H18827" s="1245"/>
      <c r="I18827" s="1245"/>
    </row>
    <row r="18828" spans="8:9">
      <c r="H18828" s="1245"/>
      <c r="I18828" s="1245"/>
    </row>
    <row r="18829" spans="8:9">
      <c r="H18829" s="1245"/>
      <c r="I18829" s="1245"/>
    </row>
    <row r="18830" spans="8:9">
      <c r="H18830" s="1245"/>
      <c r="I18830" s="1245"/>
    </row>
    <row r="18831" spans="8:9">
      <c r="H18831" s="1245"/>
      <c r="I18831" s="1245"/>
    </row>
    <row r="18832" spans="8:9">
      <c r="H18832" s="1245"/>
      <c r="I18832" s="1245"/>
    </row>
    <row r="18833" spans="8:9">
      <c r="H18833" s="1245"/>
      <c r="I18833" s="1245"/>
    </row>
    <row r="18834" spans="8:9">
      <c r="H18834" s="1245"/>
      <c r="I18834" s="1245"/>
    </row>
    <row r="18835" spans="8:9">
      <c r="H18835" s="1245"/>
      <c r="I18835" s="1245"/>
    </row>
    <row r="18836" spans="8:9">
      <c r="H18836" s="1245"/>
      <c r="I18836" s="1245"/>
    </row>
    <row r="18837" spans="8:9">
      <c r="H18837" s="1245"/>
      <c r="I18837" s="1245"/>
    </row>
    <row r="18838" spans="8:9">
      <c r="H18838" s="1245"/>
      <c r="I18838" s="1245"/>
    </row>
    <row r="18839" spans="8:9">
      <c r="H18839" s="1245"/>
      <c r="I18839" s="1245"/>
    </row>
    <row r="18840" spans="8:9">
      <c r="H18840" s="1245"/>
      <c r="I18840" s="1245"/>
    </row>
    <row r="18841" spans="8:9">
      <c r="H18841" s="1245"/>
      <c r="I18841" s="1245"/>
    </row>
    <row r="18842" spans="8:9">
      <c r="H18842" s="1245"/>
      <c r="I18842" s="1245"/>
    </row>
    <row r="18843" spans="8:9">
      <c r="H18843" s="1245"/>
      <c r="I18843" s="1245"/>
    </row>
    <row r="18844" spans="8:9">
      <c r="H18844" s="1245"/>
      <c r="I18844" s="1245"/>
    </row>
    <row r="18845" spans="8:9">
      <c r="H18845" s="1245"/>
      <c r="I18845" s="1245"/>
    </row>
    <row r="18846" spans="8:9">
      <c r="H18846" s="1245"/>
      <c r="I18846" s="1245"/>
    </row>
    <row r="18847" spans="8:9">
      <c r="H18847" s="1245"/>
      <c r="I18847" s="1245"/>
    </row>
    <row r="18848" spans="8:9">
      <c r="H18848" s="1245"/>
      <c r="I18848" s="1245"/>
    </row>
    <row r="18849" spans="8:9">
      <c r="H18849" s="1245"/>
      <c r="I18849" s="1245"/>
    </row>
    <row r="18850" spans="8:9">
      <c r="H18850" s="1245"/>
      <c r="I18850" s="1245"/>
    </row>
    <row r="18851" spans="8:9">
      <c r="H18851" s="1245"/>
      <c r="I18851" s="1245"/>
    </row>
    <row r="18852" spans="8:9">
      <c r="H18852" s="1245"/>
      <c r="I18852" s="1245"/>
    </row>
    <row r="18853" spans="8:9">
      <c r="H18853" s="1245"/>
      <c r="I18853" s="1245"/>
    </row>
    <row r="18854" spans="8:9">
      <c r="H18854" s="1245"/>
      <c r="I18854" s="1245"/>
    </row>
    <row r="18855" spans="8:9">
      <c r="H18855" s="1245"/>
      <c r="I18855" s="1245"/>
    </row>
    <row r="18856" spans="8:9">
      <c r="H18856" s="1245"/>
      <c r="I18856" s="1245"/>
    </row>
    <row r="18857" spans="8:9">
      <c r="H18857" s="1245"/>
      <c r="I18857" s="1245"/>
    </row>
    <row r="18858" spans="8:9">
      <c r="H18858" s="1245"/>
      <c r="I18858" s="1245"/>
    </row>
    <row r="18859" spans="8:9">
      <c r="H18859" s="1245"/>
      <c r="I18859" s="1245"/>
    </row>
    <row r="18860" spans="8:9">
      <c r="H18860" s="1245"/>
      <c r="I18860" s="1245"/>
    </row>
    <row r="18861" spans="8:9">
      <c r="H18861" s="1245"/>
      <c r="I18861" s="1245"/>
    </row>
    <row r="18862" spans="8:9">
      <c r="H18862" s="1245"/>
      <c r="I18862" s="1245"/>
    </row>
    <row r="18863" spans="8:9">
      <c r="H18863" s="1245"/>
      <c r="I18863" s="1245"/>
    </row>
    <row r="18864" spans="8:9">
      <c r="H18864" s="1245"/>
      <c r="I18864" s="1245"/>
    </row>
    <row r="18865" spans="8:9">
      <c r="H18865" s="1245"/>
      <c r="I18865" s="1245"/>
    </row>
    <row r="18866" spans="8:9">
      <c r="H18866" s="1245"/>
      <c r="I18866" s="1245"/>
    </row>
    <row r="18867" spans="8:9">
      <c r="H18867" s="1245"/>
      <c r="I18867" s="1245"/>
    </row>
    <row r="18868" spans="8:9">
      <c r="H18868" s="1245"/>
      <c r="I18868" s="1245"/>
    </row>
    <row r="18869" spans="8:9">
      <c r="H18869" s="1245"/>
      <c r="I18869" s="1245"/>
    </row>
    <row r="18870" spans="8:9">
      <c r="H18870" s="1245"/>
      <c r="I18870" s="1245"/>
    </row>
    <row r="18871" spans="8:9">
      <c r="H18871" s="1245"/>
      <c r="I18871" s="1245"/>
    </row>
    <row r="18872" spans="8:9">
      <c r="H18872" s="1245"/>
      <c r="I18872" s="1245"/>
    </row>
    <row r="18873" spans="8:9">
      <c r="H18873" s="1245"/>
      <c r="I18873" s="1245"/>
    </row>
    <row r="18874" spans="8:9">
      <c r="H18874" s="1245"/>
      <c r="I18874" s="1245"/>
    </row>
    <row r="18875" spans="8:9">
      <c r="H18875" s="1245"/>
      <c r="I18875" s="1245"/>
    </row>
    <row r="18876" spans="8:9">
      <c r="H18876" s="1245"/>
      <c r="I18876" s="1245"/>
    </row>
    <row r="18877" spans="8:9">
      <c r="H18877" s="1245"/>
      <c r="I18877" s="1245"/>
    </row>
    <row r="18878" spans="8:9">
      <c r="H18878" s="1245"/>
      <c r="I18878" s="1245"/>
    </row>
    <row r="18879" spans="8:9">
      <c r="H18879" s="1245"/>
      <c r="I18879" s="1245"/>
    </row>
    <row r="18880" spans="8:9">
      <c r="H18880" s="1245"/>
      <c r="I18880" s="1245"/>
    </row>
    <row r="18881" spans="8:9">
      <c r="H18881" s="1245"/>
      <c r="I18881" s="1245"/>
    </row>
    <row r="18882" spans="8:9">
      <c r="H18882" s="1245"/>
      <c r="I18882" s="1245"/>
    </row>
    <row r="18883" spans="8:9">
      <c r="H18883" s="1245"/>
      <c r="I18883" s="1245"/>
    </row>
    <row r="18884" spans="8:9">
      <c r="H18884" s="1245"/>
      <c r="I18884" s="1245"/>
    </row>
    <row r="18885" spans="8:9">
      <c r="H18885" s="1245"/>
      <c r="I18885" s="1245"/>
    </row>
    <row r="18886" spans="8:9">
      <c r="H18886" s="1245"/>
      <c r="I18886" s="1245"/>
    </row>
    <row r="18887" spans="8:9">
      <c r="H18887" s="1245"/>
      <c r="I18887" s="1245"/>
    </row>
    <row r="18888" spans="8:9">
      <c r="H18888" s="1245"/>
      <c r="I18888" s="1245"/>
    </row>
    <row r="18889" spans="8:9">
      <c r="H18889" s="1245"/>
      <c r="I18889" s="1245"/>
    </row>
    <row r="18890" spans="8:9">
      <c r="H18890" s="1245"/>
      <c r="I18890" s="1245"/>
    </row>
    <row r="18891" spans="8:9">
      <c r="H18891" s="1245"/>
      <c r="I18891" s="1245"/>
    </row>
    <row r="18892" spans="8:9">
      <c r="H18892" s="1245"/>
      <c r="I18892" s="1245"/>
    </row>
    <row r="18893" spans="8:9">
      <c r="H18893" s="1245"/>
      <c r="I18893" s="1245"/>
    </row>
    <row r="18894" spans="8:9">
      <c r="H18894" s="1245"/>
      <c r="I18894" s="1245"/>
    </row>
    <row r="18895" spans="8:9">
      <c r="H18895" s="1245"/>
      <c r="I18895" s="1245"/>
    </row>
    <row r="18896" spans="8:9">
      <c r="H18896" s="1245"/>
      <c r="I18896" s="1245"/>
    </row>
    <row r="18897" spans="8:9">
      <c r="H18897" s="1245"/>
      <c r="I18897" s="1245"/>
    </row>
    <row r="18898" spans="8:9">
      <c r="H18898" s="1245"/>
      <c r="I18898" s="1245"/>
    </row>
    <row r="18899" spans="8:9">
      <c r="H18899" s="1245"/>
      <c r="I18899" s="1245"/>
    </row>
    <row r="18900" spans="8:9">
      <c r="H18900" s="1245"/>
      <c r="I18900" s="1245"/>
    </row>
    <row r="18901" spans="8:9">
      <c r="H18901" s="1245"/>
      <c r="I18901" s="1245"/>
    </row>
    <row r="18902" spans="8:9">
      <c r="H18902" s="1245"/>
      <c r="I18902" s="1245"/>
    </row>
    <row r="18903" spans="8:9">
      <c r="H18903" s="1245"/>
      <c r="I18903" s="1245"/>
    </row>
    <row r="18904" spans="8:9">
      <c r="H18904" s="1245"/>
      <c r="I18904" s="1245"/>
    </row>
    <row r="18905" spans="8:9">
      <c r="H18905" s="1245"/>
      <c r="I18905" s="1245"/>
    </row>
    <row r="18906" spans="8:9">
      <c r="H18906" s="1245"/>
      <c r="I18906" s="1245"/>
    </row>
    <row r="18907" spans="8:9">
      <c r="H18907" s="1245"/>
      <c r="I18907" s="1245"/>
    </row>
    <row r="18908" spans="8:9">
      <c r="H18908" s="1245"/>
      <c r="I18908" s="1245"/>
    </row>
    <row r="18909" spans="8:9">
      <c r="H18909" s="1245"/>
      <c r="I18909" s="1245"/>
    </row>
    <row r="18910" spans="8:9">
      <c r="H18910" s="1245"/>
      <c r="I18910" s="1245"/>
    </row>
    <row r="18911" spans="8:9">
      <c r="H18911" s="1245"/>
      <c r="I18911" s="1245"/>
    </row>
    <row r="18912" spans="8:9">
      <c r="H18912" s="1245"/>
      <c r="I18912" s="1245"/>
    </row>
    <row r="18913" spans="8:9">
      <c r="H18913" s="1245"/>
      <c r="I18913" s="1245"/>
    </row>
    <row r="18914" spans="8:9">
      <c r="H18914" s="1245"/>
      <c r="I18914" s="1245"/>
    </row>
    <row r="18915" spans="8:9">
      <c r="H18915" s="1245"/>
      <c r="I18915" s="1245"/>
    </row>
    <row r="18916" spans="8:9">
      <c r="H18916" s="1245"/>
      <c r="I18916" s="1245"/>
    </row>
    <row r="18917" spans="8:9">
      <c r="H18917" s="1245"/>
      <c r="I18917" s="1245"/>
    </row>
    <row r="18918" spans="8:9">
      <c r="H18918" s="1245"/>
      <c r="I18918" s="1245"/>
    </row>
    <row r="18919" spans="8:9">
      <c r="H18919" s="1245"/>
      <c r="I18919" s="1245"/>
    </row>
    <row r="18920" spans="8:9">
      <c r="H18920" s="1245"/>
      <c r="I18920" s="1245"/>
    </row>
    <row r="18921" spans="8:9">
      <c r="H18921" s="1245"/>
      <c r="I18921" s="1245"/>
    </row>
    <row r="18922" spans="8:9">
      <c r="H18922" s="1245"/>
      <c r="I18922" s="1245"/>
    </row>
    <row r="18923" spans="8:9">
      <c r="H18923" s="1245"/>
      <c r="I18923" s="1245"/>
    </row>
    <row r="18924" spans="8:9">
      <c r="H18924" s="1245"/>
      <c r="I18924" s="1245"/>
    </row>
    <row r="18925" spans="8:9">
      <c r="H18925" s="1245"/>
      <c r="I18925" s="1245"/>
    </row>
    <row r="18926" spans="8:9">
      <c r="H18926" s="1245"/>
      <c r="I18926" s="1245"/>
    </row>
    <row r="18927" spans="8:9">
      <c r="H18927" s="1245"/>
      <c r="I18927" s="1245"/>
    </row>
    <row r="18928" spans="8:9">
      <c r="H18928" s="1245"/>
      <c r="I18928" s="1245"/>
    </row>
    <row r="18929" spans="8:9">
      <c r="H18929" s="1245"/>
      <c r="I18929" s="1245"/>
    </row>
    <row r="18930" spans="8:9">
      <c r="H18930" s="1245"/>
      <c r="I18930" s="1245"/>
    </row>
    <row r="18931" spans="8:9">
      <c r="H18931" s="1245"/>
      <c r="I18931" s="1245"/>
    </row>
    <row r="18932" spans="8:9">
      <c r="H18932" s="1245"/>
      <c r="I18932" s="1245"/>
    </row>
    <row r="18933" spans="8:9">
      <c r="H18933" s="1245"/>
      <c r="I18933" s="1245"/>
    </row>
    <row r="18934" spans="8:9">
      <c r="H18934" s="1245"/>
      <c r="I18934" s="1245"/>
    </row>
    <row r="18935" spans="8:9">
      <c r="H18935" s="1245"/>
      <c r="I18935" s="1245"/>
    </row>
    <row r="18936" spans="8:9">
      <c r="H18936" s="1245"/>
      <c r="I18936" s="1245"/>
    </row>
    <row r="18937" spans="8:9">
      <c r="H18937" s="1245"/>
      <c r="I18937" s="1245"/>
    </row>
    <row r="18938" spans="8:9">
      <c r="H18938" s="1245"/>
      <c r="I18938" s="1245"/>
    </row>
    <row r="18939" spans="8:9">
      <c r="H18939" s="1245"/>
      <c r="I18939" s="1245"/>
    </row>
    <row r="18940" spans="8:9">
      <c r="H18940" s="1245"/>
      <c r="I18940" s="1245"/>
    </row>
    <row r="18941" spans="8:9">
      <c r="H18941" s="1245"/>
      <c r="I18941" s="1245"/>
    </row>
    <row r="18942" spans="8:9">
      <c r="H18942" s="1245"/>
      <c r="I18942" s="1245"/>
    </row>
    <row r="18943" spans="8:9">
      <c r="H18943" s="1245"/>
      <c r="I18943" s="1245"/>
    </row>
    <row r="18944" spans="8:9">
      <c r="H18944" s="1245"/>
      <c r="I18944" s="1245"/>
    </row>
    <row r="18945" spans="8:9">
      <c r="H18945" s="1245"/>
      <c r="I18945" s="1245"/>
    </row>
    <row r="18946" spans="8:9">
      <c r="H18946" s="1245"/>
      <c r="I18946" s="1245"/>
    </row>
    <row r="18947" spans="8:9">
      <c r="H18947" s="1245"/>
      <c r="I18947" s="1245"/>
    </row>
    <row r="18948" spans="8:9">
      <c r="H18948" s="1245"/>
      <c r="I18948" s="1245"/>
    </row>
    <row r="18949" spans="8:9">
      <c r="H18949" s="1245"/>
      <c r="I18949" s="1245"/>
    </row>
    <row r="18950" spans="8:9">
      <c r="H18950" s="1245"/>
      <c r="I18950" s="1245"/>
    </row>
    <row r="18951" spans="8:9">
      <c r="H18951" s="1245"/>
      <c r="I18951" s="1245"/>
    </row>
    <row r="18952" spans="8:9">
      <c r="H18952" s="1245"/>
      <c r="I18952" s="1245"/>
    </row>
    <row r="18953" spans="8:9">
      <c r="H18953" s="1245"/>
      <c r="I18953" s="1245"/>
    </row>
    <row r="18954" spans="8:9">
      <c r="H18954" s="1245"/>
      <c r="I18954" s="1245"/>
    </row>
    <row r="18955" spans="8:9">
      <c r="H18955" s="1245"/>
      <c r="I18955" s="1245"/>
    </row>
    <row r="18956" spans="8:9">
      <c r="H18956" s="1245"/>
      <c r="I18956" s="1245"/>
    </row>
    <row r="18957" spans="8:9">
      <c r="H18957" s="1245"/>
      <c r="I18957" s="1245"/>
    </row>
    <row r="18958" spans="8:9">
      <c r="H18958" s="1245"/>
      <c r="I18958" s="1245"/>
    </row>
    <row r="18959" spans="8:9">
      <c r="H18959" s="1245"/>
      <c r="I18959" s="1245"/>
    </row>
    <row r="18960" spans="8:9">
      <c r="H18960" s="1245"/>
      <c r="I18960" s="1245"/>
    </row>
    <row r="18961" spans="8:9">
      <c r="H18961" s="1245"/>
      <c r="I18961" s="1245"/>
    </row>
    <row r="18962" spans="8:9">
      <c r="H18962" s="1245"/>
      <c r="I18962" s="1245"/>
    </row>
    <row r="18963" spans="8:9">
      <c r="H18963" s="1245"/>
      <c r="I18963" s="1245"/>
    </row>
    <row r="18964" spans="8:9">
      <c r="H18964" s="1245"/>
      <c r="I18964" s="1245"/>
    </row>
    <row r="18965" spans="8:9">
      <c r="H18965" s="1245"/>
      <c r="I18965" s="1245"/>
    </row>
    <row r="18966" spans="8:9">
      <c r="H18966" s="1245"/>
      <c r="I18966" s="1245"/>
    </row>
    <row r="18967" spans="8:9">
      <c r="H18967" s="1245"/>
      <c r="I18967" s="1245"/>
    </row>
    <row r="18968" spans="8:9">
      <c r="H18968" s="1245"/>
      <c r="I18968" s="1245"/>
    </row>
    <row r="18969" spans="8:9">
      <c r="H18969" s="1245"/>
      <c r="I18969" s="1245"/>
    </row>
    <row r="18970" spans="8:9">
      <c r="H18970" s="1245"/>
      <c r="I18970" s="1245"/>
    </row>
    <row r="18971" spans="8:9">
      <c r="H18971" s="1245"/>
      <c r="I18971" s="1245"/>
    </row>
    <row r="18972" spans="8:9">
      <c r="H18972" s="1245"/>
      <c r="I18972" s="1245"/>
    </row>
    <row r="18973" spans="8:9">
      <c r="H18973" s="1245"/>
      <c r="I18973" s="1245"/>
    </row>
    <row r="18974" spans="8:9">
      <c r="H18974" s="1245"/>
      <c r="I18974" s="1245"/>
    </row>
    <row r="18975" spans="8:9">
      <c r="H18975" s="1245"/>
      <c r="I18975" s="1245"/>
    </row>
    <row r="18976" spans="8:9">
      <c r="H18976" s="1245"/>
      <c r="I18976" s="1245"/>
    </row>
    <row r="18977" spans="8:9">
      <c r="H18977" s="1245"/>
      <c r="I18977" s="1245"/>
    </row>
    <row r="18978" spans="8:9">
      <c r="H18978" s="1245"/>
      <c r="I18978" s="1245"/>
    </row>
    <row r="18979" spans="8:9">
      <c r="H18979" s="1245"/>
      <c r="I18979" s="1245"/>
    </row>
    <row r="18980" spans="8:9">
      <c r="H18980" s="1245"/>
      <c r="I18980" s="1245"/>
    </row>
    <row r="18981" spans="8:9">
      <c r="H18981" s="1245"/>
      <c r="I18981" s="1245"/>
    </row>
    <row r="18982" spans="8:9">
      <c r="H18982" s="1245"/>
      <c r="I18982" s="1245"/>
    </row>
    <row r="18983" spans="8:9">
      <c r="H18983" s="1245"/>
      <c r="I18983" s="1245"/>
    </row>
    <row r="18984" spans="8:9">
      <c r="H18984" s="1245"/>
      <c r="I18984" s="1245"/>
    </row>
    <row r="18985" spans="8:9">
      <c r="H18985" s="1245"/>
      <c r="I18985" s="1245"/>
    </row>
    <row r="18986" spans="8:9">
      <c r="H18986" s="1245"/>
      <c r="I18986" s="1245"/>
    </row>
    <row r="18987" spans="8:9">
      <c r="H18987" s="1245"/>
      <c r="I18987" s="1245"/>
    </row>
    <row r="18988" spans="8:9">
      <c r="H18988" s="1245"/>
      <c r="I18988" s="1245"/>
    </row>
    <row r="18989" spans="8:9">
      <c r="H18989" s="1245"/>
      <c r="I18989" s="1245"/>
    </row>
    <row r="18990" spans="8:9">
      <c r="H18990" s="1245"/>
      <c r="I18990" s="1245"/>
    </row>
    <row r="18991" spans="8:9">
      <c r="H18991" s="1245"/>
      <c r="I18991" s="1245"/>
    </row>
    <row r="18992" spans="8:9">
      <c r="H18992" s="1245"/>
      <c r="I18992" s="1245"/>
    </row>
    <row r="18993" spans="8:9">
      <c r="H18993" s="1245"/>
      <c r="I18993" s="1245"/>
    </row>
    <row r="18994" spans="8:9">
      <c r="H18994" s="1245"/>
      <c r="I18994" s="1245"/>
    </row>
    <row r="18995" spans="8:9">
      <c r="H18995" s="1245"/>
      <c r="I18995" s="1245"/>
    </row>
    <row r="18996" spans="8:9">
      <c r="H18996" s="1245"/>
      <c r="I18996" s="1245"/>
    </row>
    <row r="18997" spans="8:9">
      <c r="H18997" s="1245"/>
      <c r="I18997" s="1245"/>
    </row>
    <row r="18998" spans="8:9">
      <c r="H18998" s="1245"/>
      <c r="I18998" s="1245"/>
    </row>
    <row r="18999" spans="8:9">
      <c r="H18999" s="1245"/>
      <c r="I18999" s="1245"/>
    </row>
    <row r="19000" spans="8:9">
      <c r="H19000" s="1245"/>
      <c r="I19000" s="1245"/>
    </row>
    <row r="19001" spans="8:9">
      <c r="H19001" s="1245"/>
      <c r="I19001" s="1245"/>
    </row>
    <row r="19002" spans="8:9">
      <c r="H19002" s="1245"/>
      <c r="I19002" s="1245"/>
    </row>
    <row r="19003" spans="8:9">
      <c r="H19003" s="1245"/>
      <c r="I19003" s="1245"/>
    </row>
    <row r="19004" spans="8:9">
      <c r="H19004" s="1245"/>
      <c r="I19004" s="1245"/>
    </row>
    <row r="19005" spans="8:9">
      <c r="H19005" s="1245"/>
      <c r="I19005" s="1245"/>
    </row>
    <row r="19006" spans="8:9">
      <c r="H19006" s="1245"/>
      <c r="I19006" s="1245"/>
    </row>
    <row r="19007" spans="8:9">
      <c r="H19007" s="1245"/>
      <c r="I19007" s="1245"/>
    </row>
    <row r="19008" spans="8:9">
      <c r="H19008" s="1245"/>
      <c r="I19008" s="1245"/>
    </row>
    <row r="19009" spans="8:9">
      <c r="H19009" s="1245"/>
      <c r="I19009" s="1245"/>
    </row>
    <row r="19010" spans="8:9">
      <c r="H19010" s="1245"/>
      <c r="I19010" s="1245"/>
    </row>
    <row r="19011" spans="8:9">
      <c r="H19011" s="1245"/>
      <c r="I19011" s="1245"/>
    </row>
    <row r="19012" spans="8:9">
      <c r="H19012" s="1245"/>
      <c r="I19012" s="1245"/>
    </row>
    <row r="19013" spans="8:9">
      <c r="H19013" s="1245"/>
      <c r="I19013" s="1245"/>
    </row>
    <row r="19014" spans="8:9">
      <c r="H19014" s="1245"/>
      <c r="I19014" s="1245"/>
    </row>
    <row r="19015" spans="8:9">
      <c r="H19015" s="1245"/>
      <c r="I19015" s="1245"/>
    </row>
    <row r="19016" spans="8:9">
      <c r="H19016" s="1245"/>
      <c r="I19016" s="1245"/>
    </row>
    <row r="19017" spans="8:9">
      <c r="H19017" s="1245"/>
      <c r="I19017" s="1245"/>
    </row>
    <row r="19018" spans="8:9">
      <c r="H19018" s="1245"/>
      <c r="I19018" s="1245"/>
    </row>
    <row r="19019" spans="8:9">
      <c r="H19019" s="1245"/>
      <c r="I19019" s="1245"/>
    </row>
    <row r="19020" spans="8:9">
      <c r="H19020" s="1245"/>
      <c r="I19020" s="1245"/>
    </row>
    <row r="19021" spans="8:9">
      <c r="H19021" s="1245"/>
      <c r="I19021" s="1245"/>
    </row>
    <row r="19022" spans="8:9">
      <c r="H19022" s="1245"/>
      <c r="I19022" s="1245"/>
    </row>
    <row r="19023" spans="8:9">
      <c r="H19023" s="1245"/>
      <c r="I19023" s="1245"/>
    </row>
    <row r="19024" spans="8:9">
      <c r="H19024" s="1245"/>
      <c r="I19024" s="1245"/>
    </row>
    <row r="19025" spans="8:9">
      <c r="H19025" s="1245"/>
      <c r="I19025" s="1245"/>
    </row>
    <row r="19026" spans="8:9">
      <c r="H19026" s="1245"/>
      <c r="I19026" s="1245"/>
    </row>
    <row r="19027" spans="8:9">
      <c r="H19027" s="1245"/>
      <c r="I19027" s="1245"/>
    </row>
    <row r="19028" spans="8:9">
      <c r="H19028" s="1245"/>
      <c r="I19028" s="1245"/>
    </row>
    <row r="19029" spans="8:9">
      <c r="H19029" s="1245"/>
      <c r="I19029" s="1245"/>
    </row>
    <row r="19030" spans="8:9">
      <c r="H19030" s="1245"/>
      <c r="I19030" s="1245"/>
    </row>
    <row r="19031" spans="8:9">
      <c r="H19031" s="1245"/>
      <c r="I19031" s="1245"/>
    </row>
    <row r="19032" spans="8:9">
      <c r="H19032" s="1245"/>
      <c r="I19032" s="1245"/>
    </row>
    <row r="19033" spans="8:9">
      <c r="H19033" s="1245"/>
      <c r="I19033" s="1245"/>
    </row>
    <row r="19034" spans="8:9">
      <c r="H19034" s="1245"/>
      <c r="I19034" s="1245"/>
    </row>
    <row r="19035" spans="8:9">
      <c r="H19035" s="1245"/>
      <c r="I19035" s="1245"/>
    </row>
    <row r="19036" spans="8:9">
      <c r="H19036" s="1245"/>
      <c r="I19036" s="1245"/>
    </row>
    <row r="19037" spans="8:9">
      <c r="H19037" s="1245"/>
      <c r="I19037" s="1245"/>
    </row>
    <row r="19038" spans="8:9">
      <c r="H19038" s="1245"/>
      <c r="I19038" s="1245"/>
    </row>
    <row r="19039" spans="8:9">
      <c r="H19039" s="1245"/>
      <c r="I19039" s="1245"/>
    </row>
    <row r="19040" spans="8:9">
      <c r="H19040" s="1245"/>
      <c r="I19040" s="1245"/>
    </row>
    <row r="19041" spans="8:9">
      <c r="H19041" s="1245"/>
      <c r="I19041" s="1245"/>
    </row>
    <row r="19042" spans="8:9">
      <c r="H19042" s="1245"/>
      <c r="I19042" s="1245"/>
    </row>
    <row r="19043" spans="8:9">
      <c r="H19043" s="1245"/>
      <c r="I19043" s="1245"/>
    </row>
    <row r="19044" spans="8:9">
      <c r="H19044" s="1245"/>
      <c r="I19044" s="1245"/>
    </row>
    <row r="19045" spans="8:9">
      <c r="H19045" s="1245"/>
      <c r="I19045" s="1245"/>
    </row>
    <row r="19046" spans="8:9">
      <c r="H19046" s="1245"/>
      <c r="I19046" s="1245"/>
    </row>
    <row r="19047" spans="8:9">
      <c r="H19047" s="1245"/>
      <c r="I19047" s="1245"/>
    </row>
    <row r="19048" spans="8:9">
      <c r="H19048" s="1245"/>
      <c r="I19048" s="1245"/>
    </row>
    <row r="19049" spans="8:9">
      <c r="H19049" s="1245"/>
      <c r="I19049" s="1245"/>
    </row>
    <row r="19050" spans="8:9">
      <c r="H19050" s="1245"/>
      <c r="I19050" s="1245"/>
    </row>
    <row r="19051" spans="8:9">
      <c r="H19051" s="1245"/>
      <c r="I19051" s="1245"/>
    </row>
    <row r="19052" spans="8:9">
      <c r="H19052" s="1245"/>
      <c r="I19052" s="1245"/>
    </row>
    <row r="19053" spans="8:9">
      <c r="H19053" s="1245"/>
      <c r="I19053" s="1245"/>
    </row>
    <row r="19054" spans="8:9">
      <c r="H19054" s="1245"/>
      <c r="I19054" s="1245"/>
    </row>
    <row r="19055" spans="8:9">
      <c r="H19055" s="1245"/>
      <c r="I19055" s="1245"/>
    </row>
    <row r="19056" spans="8:9">
      <c r="H19056" s="1245"/>
      <c r="I19056" s="1245"/>
    </row>
    <row r="19057" spans="8:9">
      <c r="H19057" s="1245"/>
      <c r="I19057" s="1245"/>
    </row>
    <row r="19058" spans="8:9">
      <c r="H19058" s="1245"/>
      <c r="I19058" s="1245"/>
    </row>
    <row r="19059" spans="8:9">
      <c r="H19059" s="1245"/>
      <c r="I19059" s="1245"/>
    </row>
    <row r="19060" spans="8:9">
      <c r="H19060" s="1245"/>
      <c r="I19060" s="1245"/>
    </row>
    <row r="19061" spans="8:9">
      <c r="H19061" s="1245"/>
      <c r="I19061" s="1245"/>
    </row>
    <row r="19062" spans="8:9">
      <c r="H19062" s="1245"/>
      <c r="I19062" s="1245"/>
    </row>
    <row r="19063" spans="8:9">
      <c r="H19063" s="1245"/>
      <c r="I19063" s="1245"/>
    </row>
    <row r="19064" spans="8:9">
      <c r="H19064" s="1245"/>
      <c r="I19064" s="1245"/>
    </row>
    <row r="19065" spans="8:9">
      <c r="H19065" s="1245"/>
      <c r="I19065" s="1245"/>
    </row>
    <row r="19066" spans="8:9">
      <c r="H19066" s="1245"/>
      <c r="I19066" s="1245"/>
    </row>
    <row r="19067" spans="8:9">
      <c r="H19067" s="1245"/>
      <c r="I19067" s="1245"/>
    </row>
    <row r="19068" spans="8:9">
      <c r="H19068" s="1245"/>
      <c r="I19068" s="1245"/>
    </row>
    <row r="19069" spans="8:9">
      <c r="H19069" s="1245"/>
      <c r="I19069" s="1245"/>
    </row>
    <row r="19070" spans="8:9">
      <c r="H19070" s="1245"/>
      <c r="I19070" s="1245"/>
    </row>
    <row r="19071" spans="8:9">
      <c r="H19071" s="1245"/>
      <c r="I19071" s="1245"/>
    </row>
    <row r="19072" spans="8:9">
      <c r="H19072" s="1245"/>
      <c r="I19072" s="1245"/>
    </row>
    <row r="19073" spans="8:9">
      <c r="H19073" s="1245"/>
      <c r="I19073" s="1245"/>
    </row>
    <row r="19074" spans="8:9">
      <c r="H19074" s="1245"/>
      <c r="I19074" s="1245"/>
    </row>
    <row r="19075" spans="8:9">
      <c r="H19075" s="1245"/>
      <c r="I19075" s="1245"/>
    </row>
    <row r="19076" spans="8:9">
      <c r="H19076" s="1245"/>
      <c r="I19076" s="1245"/>
    </row>
    <row r="19077" spans="8:9">
      <c r="H19077" s="1245"/>
      <c r="I19077" s="1245"/>
    </row>
    <row r="19078" spans="8:9">
      <c r="H19078" s="1245"/>
      <c r="I19078" s="1245"/>
    </row>
    <row r="19079" spans="8:9">
      <c r="H19079" s="1245"/>
      <c r="I19079" s="1245"/>
    </row>
    <row r="19080" spans="8:9">
      <c r="H19080" s="1245"/>
      <c r="I19080" s="1245"/>
    </row>
    <row r="19081" spans="8:9">
      <c r="H19081" s="1245"/>
      <c r="I19081" s="1245"/>
    </row>
    <row r="19082" spans="8:9">
      <c r="H19082" s="1245"/>
      <c r="I19082" s="1245"/>
    </row>
    <row r="19083" spans="8:9">
      <c r="H19083" s="1245"/>
      <c r="I19083" s="1245"/>
    </row>
    <row r="19084" spans="8:9">
      <c r="H19084" s="1245"/>
      <c r="I19084" s="1245"/>
    </row>
    <row r="19085" spans="8:9">
      <c r="H19085" s="1245"/>
      <c r="I19085" s="1245"/>
    </row>
    <row r="19086" spans="8:9">
      <c r="H19086" s="1245"/>
      <c r="I19086" s="1245"/>
    </row>
    <row r="19087" spans="8:9">
      <c r="H19087" s="1245"/>
      <c r="I19087" s="1245"/>
    </row>
    <row r="19088" spans="8:9">
      <c r="H19088" s="1245"/>
      <c r="I19088" s="1245"/>
    </row>
    <row r="19089" spans="8:9">
      <c r="H19089" s="1245"/>
      <c r="I19089" s="1245"/>
    </row>
    <row r="19090" spans="8:9">
      <c r="H19090" s="1245"/>
      <c r="I19090" s="1245"/>
    </row>
    <row r="19091" spans="8:9">
      <c r="H19091" s="1245"/>
      <c r="I19091" s="1245"/>
    </row>
    <row r="19092" spans="8:9">
      <c r="H19092" s="1245"/>
      <c r="I19092" s="1245"/>
    </row>
    <row r="19093" spans="8:9">
      <c r="H19093" s="1245"/>
      <c r="I19093" s="1245"/>
    </row>
    <row r="19094" spans="8:9">
      <c r="H19094" s="1245"/>
      <c r="I19094" s="1245"/>
    </row>
    <row r="19095" spans="8:9">
      <c r="H19095" s="1245"/>
      <c r="I19095" s="1245"/>
    </row>
    <row r="19096" spans="8:9">
      <c r="H19096" s="1245"/>
      <c r="I19096" s="1245"/>
    </row>
    <row r="19097" spans="8:9">
      <c r="H19097" s="1245"/>
      <c r="I19097" s="1245"/>
    </row>
    <row r="19098" spans="8:9">
      <c r="H19098" s="1245"/>
      <c r="I19098" s="1245"/>
    </row>
    <row r="19099" spans="8:9">
      <c r="H19099" s="1245"/>
      <c r="I19099" s="1245"/>
    </row>
    <row r="19100" spans="8:9">
      <c r="H19100" s="1245"/>
      <c r="I19100" s="1245"/>
    </row>
    <row r="19101" spans="8:9">
      <c r="H19101" s="1245"/>
      <c r="I19101" s="1245"/>
    </row>
    <row r="19102" spans="8:9">
      <c r="H19102" s="1245"/>
      <c r="I19102" s="1245"/>
    </row>
    <row r="19103" spans="8:9">
      <c r="H19103" s="1245"/>
      <c r="I19103" s="1245"/>
    </row>
    <row r="19104" spans="8:9">
      <c r="H19104" s="1245"/>
      <c r="I19104" s="1245"/>
    </row>
    <row r="19105" spans="8:9">
      <c r="H19105" s="1245"/>
      <c r="I19105" s="1245"/>
    </row>
    <row r="19106" spans="8:9">
      <c r="H19106" s="1245"/>
      <c r="I19106" s="1245"/>
    </row>
    <row r="19107" spans="8:9">
      <c r="H19107" s="1245"/>
      <c r="I19107" s="1245"/>
    </row>
    <row r="19108" spans="8:9">
      <c r="H19108" s="1245"/>
      <c r="I19108" s="1245"/>
    </row>
    <row r="19109" spans="8:9">
      <c r="H19109" s="1245"/>
      <c r="I19109" s="1245"/>
    </row>
    <row r="19110" spans="8:9">
      <c r="H19110" s="1245"/>
      <c r="I19110" s="1245"/>
    </row>
    <row r="19111" spans="8:9">
      <c r="H19111" s="1245"/>
      <c r="I19111" s="1245"/>
    </row>
    <row r="19112" spans="8:9">
      <c r="H19112" s="1245"/>
      <c r="I19112" s="1245"/>
    </row>
    <row r="19113" spans="8:9">
      <c r="H19113" s="1245"/>
      <c r="I19113" s="1245"/>
    </row>
    <row r="19114" spans="8:9">
      <c r="H19114" s="1245"/>
      <c r="I19114" s="1245"/>
    </row>
    <row r="19115" spans="8:9">
      <c r="H19115" s="1245"/>
      <c r="I19115" s="1245"/>
    </row>
    <row r="19116" spans="8:9">
      <c r="H19116" s="1245"/>
      <c r="I19116" s="1245"/>
    </row>
    <row r="19117" spans="8:9">
      <c r="H19117" s="1245"/>
      <c r="I19117" s="1245"/>
    </row>
    <row r="19118" spans="8:9">
      <c r="H19118" s="1245"/>
      <c r="I19118" s="1245"/>
    </row>
    <row r="19119" spans="8:9">
      <c r="H19119" s="1245"/>
      <c r="I19119" s="1245"/>
    </row>
    <row r="19120" spans="8:9">
      <c r="H19120" s="1245"/>
      <c r="I19120" s="1245"/>
    </row>
    <row r="19121" spans="8:9">
      <c r="H19121" s="1245"/>
      <c r="I19121" s="1245"/>
    </row>
    <row r="19122" spans="8:9">
      <c r="H19122" s="1245"/>
      <c r="I19122" s="1245"/>
    </row>
    <row r="19123" spans="8:9">
      <c r="H19123" s="1245"/>
      <c r="I19123" s="1245"/>
    </row>
    <row r="19124" spans="8:9">
      <c r="H19124" s="1245"/>
      <c r="I19124" s="1245"/>
    </row>
    <row r="19125" spans="8:9">
      <c r="H19125" s="1245"/>
      <c r="I19125" s="1245"/>
    </row>
    <row r="19126" spans="8:9">
      <c r="H19126" s="1245"/>
      <c r="I19126" s="1245"/>
    </row>
    <row r="19127" spans="8:9">
      <c r="H19127" s="1245"/>
      <c r="I19127" s="1245"/>
    </row>
    <row r="19128" spans="8:9">
      <c r="H19128" s="1245"/>
      <c r="I19128" s="1245"/>
    </row>
    <row r="19129" spans="8:9">
      <c r="H19129" s="1245"/>
      <c r="I19129" s="1245"/>
    </row>
    <row r="19130" spans="8:9">
      <c r="H19130" s="1245"/>
      <c r="I19130" s="1245"/>
    </row>
    <row r="19131" spans="8:9">
      <c r="H19131" s="1245"/>
      <c r="I19131" s="1245"/>
    </row>
    <row r="19132" spans="8:9">
      <c r="H19132" s="1245"/>
      <c r="I19132" s="1245"/>
    </row>
    <row r="19133" spans="8:9">
      <c r="H19133" s="1245"/>
      <c r="I19133" s="1245"/>
    </row>
    <row r="19134" spans="8:9">
      <c r="H19134" s="1245"/>
      <c r="I19134" s="1245"/>
    </row>
    <row r="19135" spans="8:9">
      <c r="H19135" s="1245"/>
      <c r="I19135" s="1245"/>
    </row>
    <row r="19136" spans="8:9">
      <c r="H19136" s="1245"/>
      <c r="I19136" s="1245"/>
    </row>
    <row r="19137" spans="8:9">
      <c r="H19137" s="1245"/>
      <c r="I19137" s="1245"/>
    </row>
    <row r="19138" spans="8:9">
      <c r="H19138" s="1245"/>
      <c r="I19138" s="1245"/>
    </row>
    <row r="19139" spans="8:9">
      <c r="H19139" s="1245"/>
      <c r="I19139" s="1245"/>
    </row>
    <row r="19140" spans="8:9">
      <c r="H19140" s="1245"/>
      <c r="I19140" s="1245"/>
    </row>
    <row r="19141" spans="8:9">
      <c r="H19141" s="1245"/>
      <c r="I19141" s="1245"/>
    </row>
    <row r="19142" spans="8:9">
      <c r="H19142" s="1245"/>
      <c r="I19142" s="1245"/>
    </row>
    <row r="19143" spans="8:9">
      <c r="H19143" s="1245"/>
      <c r="I19143" s="1245"/>
    </row>
    <row r="19144" spans="8:9">
      <c r="H19144" s="1245"/>
      <c r="I19144" s="1245"/>
    </row>
    <row r="19145" spans="8:9">
      <c r="H19145" s="1245"/>
      <c r="I19145" s="1245"/>
    </row>
    <row r="19146" spans="8:9">
      <c r="H19146" s="1245"/>
      <c r="I19146" s="1245"/>
    </row>
    <row r="19147" spans="8:9">
      <c r="H19147" s="1245"/>
      <c r="I19147" s="1245"/>
    </row>
    <row r="19148" spans="8:9">
      <c r="H19148" s="1245"/>
      <c r="I19148" s="1245"/>
    </row>
    <row r="19149" spans="8:9">
      <c r="H19149" s="1245"/>
      <c r="I19149" s="1245"/>
    </row>
    <row r="19150" spans="8:9">
      <c r="H19150" s="1245"/>
      <c r="I19150" s="1245"/>
    </row>
    <row r="19151" spans="8:9">
      <c r="H19151" s="1245"/>
      <c r="I19151" s="1245"/>
    </row>
    <row r="19152" spans="8:9">
      <c r="H19152" s="1245"/>
      <c r="I19152" s="1245"/>
    </row>
    <row r="19153" spans="8:9">
      <c r="H19153" s="1245"/>
      <c r="I19153" s="1245"/>
    </row>
    <row r="19154" spans="8:9">
      <c r="H19154" s="1245"/>
      <c r="I19154" s="1245"/>
    </row>
    <row r="19155" spans="8:9">
      <c r="H19155" s="1245"/>
      <c r="I19155" s="1245"/>
    </row>
    <row r="19156" spans="8:9">
      <c r="H19156" s="1245"/>
      <c r="I19156" s="1245"/>
    </row>
    <row r="19157" spans="8:9">
      <c r="H19157" s="1245"/>
      <c r="I19157" s="1245"/>
    </row>
    <row r="19158" spans="8:9">
      <c r="H19158" s="1245"/>
      <c r="I19158" s="1245"/>
    </row>
    <row r="19159" spans="8:9">
      <c r="H19159" s="1245"/>
      <c r="I19159" s="1245"/>
    </row>
    <row r="19160" spans="8:9">
      <c r="H19160" s="1245"/>
      <c r="I19160" s="1245"/>
    </row>
    <row r="19161" spans="8:9">
      <c r="H19161" s="1245"/>
      <c r="I19161" s="1245"/>
    </row>
    <row r="19162" spans="8:9">
      <c r="H19162" s="1245"/>
      <c r="I19162" s="1245"/>
    </row>
    <row r="19163" spans="8:9">
      <c r="H19163" s="1245"/>
      <c r="I19163" s="1245"/>
    </row>
    <row r="19164" spans="8:9">
      <c r="H19164" s="1245"/>
      <c r="I19164" s="1245"/>
    </row>
    <row r="19165" spans="8:9">
      <c r="H19165" s="1245"/>
      <c r="I19165" s="1245"/>
    </row>
    <row r="19166" spans="8:9">
      <c r="H19166" s="1245"/>
      <c r="I19166" s="1245"/>
    </row>
    <row r="19167" spans="8:9">
      <c r="H19167" s="1245"/>
      <c r="I19167" s="1245"/>
    </row>
    <row r="19168" spans="8:9">
      <c r="H19168" s="1245"/>
      <c r="I19168" s="1245"/>
    </row>
    <row r="19169" spans="8:9">
      <c r="H19169" s="1245"/>
      <c r="I19169" s="1245"/>
    </row>
    <row r="19170" spans="8:9">
      <c r="H19170" s="1245"/>
      <c r="I19170" s="1245"/>
    </row>
    <row r="19171" spans="8:9">
      <c r="H19171" s="1245"/>
      <c r="I19171" s="1245"/>
    </row>
    <row r="19172" spans="8:9">
      <c r="H19172" s="1245"/>
      <c r="I19172" s="1245"/>
    </row>
    <row r="19173" spans="8:9">
      <c r="H19173" s="1245"/>
      <c r="I19173" s="1245"/>
    </row>
    <row r="19174" spans="8:9">
      <c r="H19174" s="1245"/>
      <c r="I19174" s="1245"/>
    </row>
    <row r="19175" spans="8:9">
      <c r="H19175" s="1245"/>
      <c r="I19175" s="1245"/>
    </row>
    <row r="19176" spans="8:9">
      <c r="H19176" s="1245"/>
      <c r="I19176" s="1245"/>
    </row>
    <row r="19177" spans="8:9">
      <c r="H19177" s="1245"/>
      <c r="I19177" s="1245"/>
    </row>
    <row r="19178" spans="8:9">
      <c r="H19178" s="1245"/>
      <c r="I19178" s="1245"/>
    </row>
    <row r="19179" spans="8:9">
      <c r="H19179" s="1245"/>
      <c r="I19179" s="1245"/>
    </row>
    <row r="19180" spans="8:9">
      <c r="H19180" s="1245"/>
      <c r="I19180" s="1245"/>
    </row>
    <row r="19181" spans="8:9">
      <c r="H19181" s="1245"/>
      <c r="I19181" s="1245"/>
    </row>
    <row r="19182" spans="8:9">
      <c r="H19182" s="1245"/>
      <c r="I19182" s="1245"/>
    </row>
    <row r="19183" spans="8:9">
      <c r="H19183" s="1245"/>
      <c r="I19183" s="1245"/>
    </row>
    <row r="19184" spans="8:9">
      <c r="H19184" s="1245"/>
      <c r="I19184" s="1245"/>
    </row>
    <row r="19185" spans="8:9">
      <c r="H19185" s="1245"/>
      <c r="I19185" s="1245"/>
    </row>
    <row r="19186" spans="8:9">
      <c r="H19186" s="1245"/>
      <c r="I19186" s="1245"/>
    </row>
    <row r="19187" spans="8:9">
      <c r="H19187" s="1245"/>
      <c r="I19187" s="1245"/>
    </row>
    <row r="19188" spans="8:9">
      <c r="H19188" s="1245"/>
      <c r="I19188" s="1245"/>
    </row>
    <row r="19189" spans="8:9">
      <c r="H19189" s="1245"/>
      <c r="I19189" s="1245"/>
    </row>
    <row r="19190" spans="8:9">
      <c r="H19190" s="1245"/>
      <c r="I19190" s="1245"/>
    </row>
    <row r="19191" spans="8:9">
      <c r="H19191" s="1245"/>
      <c r="I19191" s="1245"/>
    </row>
    <row r="19192" spans="8:9">
      <c r="H19192" s="1245"/>
      <c r="I19192" s="1245"/>
    </row>
    <row r="19193" spans="8:9">
      <c r="H19193" s="1245"/>
      <c r="I19193" s="1245"/>
    </row>
    <row r="19194" spans="8:9">
      <c r="H19194" s="1245"/>
      <c r="I19194" s="1245"/>
    </row>
    <row r="19195" spans="8:9">
      <c r="H19195" s="1245"/>
      <c r="I19195" s="1245"/>
    </row>
    <row r="19196" spans="8:9">
      <c r="H19196" s="1245"/>
      <c r="I19196" s="1245"/>
    </row>
    <row r="19197" spans="8:9">
      <c r="H19197" s="1245"/>
      <c r="I19197" s="1245"/>
    </row>
    <row r="19198" spans="8:9">
      <c r="H19198" s="1245"/>
      <c r="I19198" s="1245"/>
    </row>
    <row r="19199" spans="8:9">
      <c r="H19199" s="1245"/>
      <c r="I19199" s="1245"/>
    </row>
    <row r="19200" spans="8:9">
      <c r="H19200" s="1245"/>
      <c r="I19200" s="1245"/>
    </row>
    <row r="19201" spans="8:9">
      <c r="H19201" s="1245"/>
      <c r="I19201" s="1245"/>
    </row>
    <row r="19202" spans="8:9">
      <c r="H19202" s="1245"/>
      <c r="I19202" s="1245"/>
    </row>
    <row r="19203" spans="8:9">
      <c r="H19203" s="1245"/>
      <c r="I19203" s="1245"/>
    </row>
    <row r="19204" spans="8:9">
      <c r="H19204" s="1245"/>
      <c r="I19204" s="1245"/>
    </row>
    <row r="19205" spans="8:9">
      <c r="H19205" s="1245"/>
      <c r="I19205" s="1245"/>
    </row>
    <row r="19206" spans="8:9">
      <c r="H19206" s="1245"/>
      <c r="I19206" s="1245"/>
    </row>
    <row r="19207" spans="8:9">
      <c r="H19207" s="1245"/>
      <c r="I19207" s="1245"/>
    </row>
    <row r="19208" spans="8:9">
      <c r="H19208" s="1245"/>
      <c r="I19208" s="1245"/>
    </row>
    <row r="19209" spans="8:9">
      <c r="H19209" s="1245"/>
      <c r="I19209" s="1245"/>
    </row>
    <row r="19210" spans="8:9">
      <c r="H19210" s="1245"/>
      <c r="I19210" s="1245"/>
    </row>
    <row r="19211" spans="8:9">
      <c r="H19211" s="1245"/>
      <c r="I19211" s="1245"/>
    </row>
    <row r="19212" spans="8:9">
      <c r="H19212" s="1245"/>
      <c r="I19212" s="1245"/>
    </row>
    <row r="19213" spans="8:9">
      <c r="H19213" s="1245"/>
      <c r="I19213" s="1245"/>
    </row>
    <row r="19214" spans="8:9">
      <c r="H19214" s="1245"/>
      <c r="I19214" s="1245"/>
    </row>
    <row r="19215" spans="8:9">
      <c r="H19215" s="1245"/>
      <c r="I19215" s="1245"/>
    </row>
    <row r="19216" spans="8:9">
      <c r="H19216" s="1245"/>
      <c r="I19216" s="1245"/>
    </row>
    <row r="19217" spans="8:9">
      <c r="H19217" s="1245"/>
      <c r="I19217" s="1245"/>
    </row>
    <row r="19218" spans="8:9">
      <c r="H19218" s="1245"/>
      <c r="I19218" s="1245"/>
    </row>
    <row r="19219" spans="8:9">
      <c r="H19219" s="1245"/>
      <c r="I19219" s="1245"/>
    </row>
    <row r="19220" spans="8:9">
      <c r="H19220" s="1245"/>
      <c r="I19220" s="1245"/>
    </row>
    <row r="19221" spans="8:9">
      <c r="H19221" s="1245"/>
      <c r="I19221" s="1245"/>
    </row>
    <row r="19222" spans="8:9">
      <c r="H19222" s="1245"/>
      <c r="I19222" s="1245"/>
    </row>
    <row r="19223" spans="8:9">
      <c r="H19223" s="1245"/>
      <c r="I19223" s="1245"/>
    </row>
    <row r="19224" spans="8:9">
      <c r="H19224" s="1245"/>
      <c r="I19224" s="1245"/>
    </row>
    <row r="19225" spans="8:9">
      <c r="H19225" s="1245"/>
      <c r="I19225" s="1245"/>
    </row>
    <row r="19226" spans="8:9">
      <c r="H19226" s="1245"/>
      <c r="I19226" s="1245"/>
    </row>
    <row r="19227" spans="8:9">
      <c r="H19227" s="1245"/>
      <c r="I19227" s="1245"/>
    </row>
    <row r="19228" spans="8:9">
      <c r="H19228" s="1245"/>
      <c r="I19228" s="1245"/>
    </row>
    <row r="19229" spans="8:9">
      <c r="H19229" s="1245"/>
      <c r="I19229" s="1245"/>
    </row>
    <row r="19230" spans="8:9">
      <c r="H19230" s="1245"/>
      <c r="I19230" s="1245"/>
    </row>
    <row r="19231" spans="8:9">
      <c r="H19231" s="1245"/>
      <c r="I19231" s="1245"/>
    </row>
    <row r="19232" spans="8:9">
      <c r="H19232" s="1245"/>
      <c r="I19232" s="1245"/>
    </row>
    <row r="19233" spans="8:9">
      <c r="H19233" s="1245"/>
      <c r="I19233" s="1245"/>
    </row>
    <row r="19234" spans="8:9">
      <c r="H19234" s="1245"/>
      <c r="I19234" s="1245"/>
    </row>
    <row r="19235" spans="8:9">
      <c r="H19235" s="1245"/>
      <c r="I19235" s="1245"/>
    </row>
    <row r="19236" spans="8:9">
      <c r="H19236" s="1245"/>
      <c r="I19236" s="1245"/>
    </row>
    <row r="19237" spans="8:9">
      <c r="H19237" s="1245"/>
      <c r="I19237" s="1245"/>
    </row>
    <row r="19238" spans="8:9">
      <c r="H19238" s="1245"/>
      <c r="I19238" s="1245"/>
    </row>
    <row r="19239" spans="8:9">
      <c r="H19239" s="1245"/>
      <c r="I19239" s="1245"/>
    </row>
    <row r="19240" spans="8:9">
      <c r="H19240" s="1245"/>
      <c r="I19240" s="1245"/>
    </row>
    <row r="19241" spans="8:9">
      <c r="H19241" s="1245"/>
      <c r="I19241" s="1245"/>
    </row>
    <row r="19242" spans="8:9">
      <c r="H19242" s="1245"/>
      <c r="I19242" s="1245"/>
    </row>
    <row r="19243" spans="8:9">
      <c r="H19243" s="1245"/>
      <c r="I19243" s="1245"/>
    </row>
    <row r="19244" spans="8:9">
      <c r="H19244" s="1245"/>
      <c r="I19244" s="1245"/>
    </row>
    <row r="19245" spans="8:9">
      <c r="H19245" s="1245"/>
      <c r="I19245" s="1245"/>
    </row>
    <row r="19246" spans="8:9">
      <c r="H19246" s="1245"/>
      <c r="I19246" s="1245"/>
    </row>
    <row r="19247" spans="8:9">
      <c r="H19247" s="1245"/>
      <c r="I19247" s="1245"/>
    </row>
    <row r="19248" spans="8:9">
      <c r="H19248" s="1245"/>
      <c r="I19248" s="1245"/>
    </row>
    <row r="19249" spans="8:9">
      <c r="H19249" s="1245"/>
      <c r="I19249" s="1245"/>
    </row>
    <row r="19250" spans="8:9">
      <c r="H19250" s="1245"/>
      <c r="I19250" s="1245"/>
    </row>
    <row r="19251" spans="8:9">
      <c r="H19251" s="1245"/>
      <c r="I19251" s="1245"/>
    </row>
    <row r="19252" spans="8:9">
      <c r="H19252" s="1245"/>
      <c r="I19252" s="1245"/>
    </row>
    <row r="19253" spans="8:9">
      <c r="H19253" s="1245"/>
      <c r="I19253" s="1245"/>
    </row>
    <row r="19254" spans="8:9">
      <c r="H19254" s="1245"/>
      <c r="I19254" s="1245"/>
    </row>
    <row r="19255" spans="8:9">
      <c r="H19255" s="1245"/>
      <c r="I19255" s="1245"/>
    </row>
    <row r="19256" spans="8:9">
      <c r="H19256" s="1245"/>
      <c r="I19256" s="1245"/>
    </row>
    <row r="19257" spans="8:9">
      <c r="H19257" s="1245"/>
      <c r="I19257" s="1245"/>
    </row>
    <row r="19258" spans="8:9">
      <c r="H19258" s="1245"/>
      <c r="I19258" s="1245"/>
    </row>
    <row r="19259" spans="8:9">
      <c r="H19259" s="1245"/>
      <c r="I19259" s="1245"/>
    </row>
    <row r="19260" spans="8:9">
      <c r="H19260" s="1245"/>
      <c r="I19260" s="1245"/>
    </row>
    <row r="19261" spans="8:9">
      <c r="H19261" s="1245"/>
      <c r="I19261" s="1245"/>
    </row>
    <row r="19262" spans="8:9">
      <c r="H19262" s="1245"/>
      <c r="I19262" s="1245"/>
    </row>
    <row r="19263" spans="8:9">
      <c r="H19263" s="1245"/>
      <c r="I19263" s="1245"/>
    </row>
    <row r="19264" spans="8:9">
      <c r="H19264" s="1245"/>
      <c r="I19264" s="1245"/>
    </row>
    <row r="19265" spans="8:9">
      <c r="H19265" s="1245"/>
      <c r="I19265" s="1245"/>
    </row>
    <row r="19266" spans="8:9">
      <c r="H19266" s="1245"/>
      <c r="I19266" s="1245"/>
    </row>
    <row r="19267" spans="8:9">
      <c r="H19267" s="1245"/>
      <c r="I19267" s="1245"/>
    </row>
    <row r="19268" spans="8:9">
      <c r="H19268" s="1245"/>
      <c r="I19268" s="1245"/>
    </row>
    <row r="19269" spans="8:9">
      <c r="H19269" s="1245"/>
      <c r="I19269" s="1245"/>
    </row>
    <row r="19270" spans="8:9">
      <c r="H19270" s="1245"/>
      <c r="I19270" s="1245"/>
    </row>
    <row r="19271" spans="8:9">
      <c r="H19271" s="1245"/>
      <c r="I19271" s="1245"/>
    </row>
    <row r="19272" spans="8:9">
      <c r="H19272" s="1245"/>
      <c r="I19272" s="1245"/>
    </row>
    <row r="19273" spans="8:9">
      <c r="H19273" s="1245"/>
      <c r="I19273" s="1245"/>
    </row>
    <row r="19274" spans="8:9">
      <c r="H19274" s="1245"/>
      <c r="I19274" s="1245"/>
    </row>
    <row r="19275" spans="8:9">
      <c r="H19275" s="1245"/>
      <c r="I19275" s="1245"/>
    </row>
    <row r="19276" spans="8:9">
      <c r="H19276" s="1245"/>
      <c r="I19276" s="1245"/>
    </row>
    <row r="19277" spans="8:9">
      <c r="H19277" s="1245"/>
      <c r="I19277" s="1245"/>
    </row>
    <row r="19278" spans="8:9">
      <c r="H19278" s="1245"/>
      <c r="I19278" s="1245"/>
    </row>
    <row r="19279" spans="8:9">
      <c r="H19279" s="1245"/>
      <c r="I19279" s="1245"/>
    </row>
    <row r="19280" spans="8:9">
      <c r="H19280" s="1245"/>
      <c r="I19280" s="1245"/>
    </row>
    <row r="19281" spans="8:9">
      <c r="H19281" s="1245"/>
      <c r="I19281" s="1245"/>
    </row>
    <row r="19282" spans="8:9">
      <c r="H19282" s="1245"/>
      <c r="I19282" s="1245"/>
    </row>
    <row r="19283" spans="8:9">
      <c r="H19283" s="1245"/>
      <c r="I19283" s="1245"/>
    </row>
    <row r="19284" spans="8:9">
      <c r="H19284" s="1245"/>
      <c r="I19284" s="1245"/>
    </row>
    <row r="19285" spans="8:9">
      <c r="H19285" s="1245"/>
      <c r="I19285" s="1245"/>
    </row>
    <row r="19286" spans="8:9">
      <c r="H19286" s="1245"/>
      <c r="I19286" s="1245"/>
    </row>
    <row r="19287" spans="8:9">
      <c r="H19287" s="1245"/>
      <c r="I19287" s="1245"/>
    </row>
    <row r="19288" spans="8:9">
      <c r="H19288" s="1245"/>
      <c r="I19288" s="1245"/>
    </row>
    <row r="19289" spans="8:9">
      <c r="H19289" s="1245"/>
      <c r="I19289" s="1245"/>
    </row>
    <row r="19290" spans="8:9">
      <c r="H19290" s="1245"/>
      <c r="I19290" s="1245"/>
    </row>
    <row r="19291" spans="8:9">
      <c r="H19291" s="1245"/>
      <c r="I19291" s="1245"/>
    </row>
    <row r="19292" spans="8:9">
      <c r="H19292" s="1245"/>
      <c r="I19292" s="1245"/>
    </row>
    <row r="19293" spans="8:9">
      <c r="H19293" s="1245"/>
      <c r="I19293" s="1245"/>
    </row>
    <row r="19294" spans="8:9">
      <c r="H19294" s="1245"/>
      <c r="I19294" s="1245"/>
    </row>
    <row r="19295" spans="8:9">
      <c r="H19295" s="1245"/>
      <c r="I19295" s="1245"/>
    </row>
    <row r="19296" spans="8:9">
      <c r="H19296" s="1245"/>
      <c r="I19296" s="1245"/>
    </row>
    <row r="19297" spans="8:9">
      <c r="H19297" s="1245"/>
      <c r="I19297" s="1245"/>
    </row>
    <row r="19298" spans="8:9">
      <c r="H19298" s="1245"/>
      <c r="I19298" s="1245"/>
    </row>
    <row r="19299" spans="8:9">
      <c r="H19299" s="1245"/>
      <c r="I19299" s="1245"/>
    </row>
    <row r="19300" spans="8:9">
      <c r="H19300" s="1245"/>
      <c r="I19300" s="1245"/>
    </row>
    <row r="19301" spans="8:9">
      <c r="H19301" s="1245"/>
      <c r="I19301" s="1245"/>
    </row>
    <row r="19302" spans="8:9">
      <c r="H19302" s="1245"/>
      <c r="I19302" s="1245"/>
    </row>
    <row r="19303" spans="8:9">
      <c r="H19303" s="1245"/>
      <c r="I19303" s="1245"/>
    </row>
    <row r="19304" spans="8:9">
      <c r="H19304" s="1245"/>
      <c r="I19304" s="1245"/>
    </row>
    <row r="19305" spans="8:9">
      <c r="H19305" s="1245"/>
      <c r="I19305" s="1245"/>
    </row>
    <row r="19306" spans="8:9">
      <c r="H19306" s="1245"/>
      <c r="I19306" s="1245"/>
    </row>
    <row r="19307" spans="8:9">
      <c r="H19307" s="1245"/>
      <c r="I19307" s="1245"/>
    </row>
    <row r="19308" spans="8:9">
      <c r="H19308" s="1245"/>
      <c r="I19308" s="1245"/>
    </row>
    <row r="19309" spans="8:9">
      <c r="H19309" s="1245"/>
      <c r="I19309" s="1245"/>
    </row>
    <row r="19310" spans="8:9">
      <c r="H19310" s="1245"/>
      <c r="I19310" s="1245"/>
    </row>
    <row r="19311" spans="8:9">
      <c r="H19311" s="1245"/>
      <c r="I19311" s="1245"/>
    </row>
    <row r="19312" spans="8:9">
      <c r="H19312" s="1245"/>
      <c r="I19312" s="1245"/>
    </row>
    <row r="19313" spans="8:9">
      <c r="H19313" s="1245"/>
      <c r="I19313" s="1245"/>
    </row>
    <row r="19314" spans="8:9">
      <c r="H19314" s="1245"/>
      <c r="I19314" s="1245"/>
    </row>
    <row r="19315" spans="8:9">
      <c r="H19315" s="1245"/>
      <c r="I19315" s="1245"/>
    </row>
    <row r="19316" spans="8:9">
      <c r="H19316" s="1245"/>
      <c r="I19316" s="1245"/>
    </row>
    <row r="19317" spans="8:9">
      <c r="H19317" s="1245"/>
      <c r="I19317" s="1245"/>
    </row>
    <row r="19318" spans="8:9">
      <c r="H19318" s="1245"/>
      <c r="I19318" s="1245"/>
    </row>
    <row r="19319" spans="8:9">
      <c r="H19319" s="1245"/>
      <c r="I19319" s="1245"/>
    </row>
    <row r="19320" spans="8:9">
      <c r="H19320" s="1245"/>
      <c r="I19320" s="1245"/>
    </row>
    <row r="19321" spans="8:9">
      <c r="H19321" s="1245"/>
      <c r="I19321" s="1245"/>
    </row>
    <row r="19322" spans="8:9">
      <c r="H19322" s="1245"/>
      <c r="I19322" s="1245"/>
    </row>
    <row r="19323" spans="8:9">
      <c r="H19323" s="1245"/>
      <c r="I19323" s="1245"/>
    </row>
    <row r="19324" spans="8:9">
      <c r="H19324" s="1245"/>
      <c r="I19324" s="1245"/>
    </row>
    <row r="19325" spans="8:9">
      <c r="H19325" s="1245"/>
      <c r="I19325" s="1245"/>
    </row>
    <row r="19326" spans="8:9">
      <c r="H19326" s="1245"/>
      <c r="I19326" s="1245"/>
    </row>
    <row r="19327" spans="8:9">
      <c r="H19327" s="1245"/>
      <c r="I19327" s="1245"/>
    </row>
    <row r="19328" spans="8:9">
      <c r="H19328" s="1245"/>
      <c r="I19328" s="1245"/>
    </row>
    <row r="19329" spans="8:9">
      <c r="H19329" s="1245"/>
      <c r="I19329" s="1245"/>
    </row>
    <row r="19330" spans="8:9">
      <c r="H19330" s="1245"/>
      <c r="I19330" s="1245"/>
    </row>
    <row r="19331" spans="8:9">
      <c r="H19331" s="1245"/>
      <c r="I19331" s="1245"/>
    </row>
    <row r="19332" spans="8:9">
      <c r="H19332" s="1245"/>
      <c r="I19332" s="1245"/>
    </row>
    <row r="19333" spans="8:9">
      <c r="H19333" s="1245"/>
      <c r="I19333" s="1245"/>
    </row>
    <row r="19334" spans="8:9">
      <c r="H19334" s="1245"/>
      <c r="I19334" s="1245"/>
    </row>
    <row r="19335" spans="8:9">
      <c r="H19335" s="1245"/>
      <c r="I19335" s="1245"/>
    </row>
    <row r="19336" spans="8:9">
      <c r="H19336" s="1245"/>
      <c r="I19336" s="1245"/>
    </row>
    <row r="19337" spans="8:9">
      <c r="H19337" s="1245"/>
      <c r="I19337" s="1245"/>
    </row>
    <row r="19338" spans="8:9">
      <c r="H19338" s="1245"/>
      <c r="I19338" s="1245"/>
    </row>
    <row r="19339" spans="8:9">
      <c r="H19339" s="1245"/>
      <c r="I19339" s="1245"/>
    </row>
    <row r="19340" spans="8:9">
      <c r="H19340" s="1245"/>
      <c r="I19340" s="1245"/>
    </row>
    <row r="19341" spans="8:9">
      <c r="H19341" s="1245"/>
      <c r="I19341" s="1245"/>
    </row>
    <row r="19342" spans="8:9">
      <c r="H19342" s="1245"/>
      <c r="I19342" s="1245"/>
    </row>
    <row r="19343" spans="8:9">
      <c r="H19343" s="1245"/>
      <c r="I19343" s="1245"/>
    </row>
    <row r="19344" spans="8:9">
      <c r="H19344" s="1245"/>
      <c r="I19344" s="1245"/>
    </row>
    <row r="19345" spans="8:9">
      <c r="H19345" s="1245"/>
      <c r="I19345" s="1245"/>
    </row>
    <row r="19346" spans="8:9">
      <c r="H19346" s="1245"/>
      <c r="I19346" s="1245"/>
    </row>
    <row r="19347" spans="8:9">
      <c r="H19347" s="1245"/>
      <c r="I19347" s="1245"/>
    </row>
    <row r="19348" spans="8:9">
      <c r="H19348" s="1245"/>
      <c r="I19348" s="1245"/>
    </row>
    <row r="19349" spans="8:9">
      <c r="H19349" s="1245"/>
      <c r="I19349" s="1245"/>
    </row>
    <row r="19350" spans="8:9">
      <c r="H19350" s="1245"/>
      <c r="I19350" s="1245"/>
    </row>
    <row r="19351" spans="8:9">
      <c r="H19351" s="1245"/>
      <c r="I19351" s="1245"/>
    </row>
    <row r="19352" spans="8:9">
      <c r="H19352" s="1245"/>
      <c r="I19352" s="1245"/>
    </row>
    <row r="19353" spans="8:9">
      <c r="H19353" s="1245"/>
      <c r="I19353" s="1245"/>
    </row>
    <row r="19354" spans="8:9">
      <c r="H19354" s="1245"/>
      <c r="I19354" s="1245"/>
    </row>
    <row r="19355" spans="8:9">
      <c r="H19355" s="1245"/>
      <c r="I19355" s="1245"/>
    </row>
    <row r="19356" spans="8:9">
      <c r="H19356" s="1245"/>
      <c r="I19356" s="1245"/>
    </row>
    <row r="19357" spans="8:9">
      <c r="H19357" s="1245"/>
      <c r="I19357" s="1245"/>
    </row>
    <row r="19358" spans="8:9">
      <c r="H19358" s="1245"/>
      <c r="I19358" s="1245"/>
    </row>
    <row r="19359" spans="8:9">
      <c r="H19359" s="1245"/>
      <c r="I19359" s="1245"/>
    </row>
    <row r="19360" spans="8:9">
      <c r="H19360" s="1245"/>
      <c r="I19360" s="1245"/>
    </row>
    <row r="19361" spans="8:9">
      <c r="H19361" s="1245"/>
      <c r="I19361" s="1245"/>
    </row>
    <row r="19362" spans="8:9">
      <c r="H19362" s="1245"/>
      <c r="I19362" s="1245"/>
    </row>
    <row r="19363" spans="8:9">
      <c r="H19363" s="1245"/>
      <c r="I19363" s="1245"/>
    </row>
    <row r="19364" spans="8:9">
      <c r="H19364" s="1245"/>
      <c r="I19364" s="1245"/>
    </row>
    <row r="19365" spans="8:9">
      <c r="H19365" s="1245"/>
      <c r="I19365" s="1245"/>
    </row>
    <row r="19366" spans="8:9">
      <c r="H19366" s="1245"/>
      <c r="I19366" s="1245"/>
    </row>
    <row r="19367" spans="8:9">
      <c r="H19367" s="1245"/>
      <c r="I19367" s="1245"/>
    </row>
    <row r="19368" spans="8:9">
      <c r="H19368" s="1245"/>
      <c r="I19368" s="1245"/>
    </row>
    <row r="19369" spans="8:9">
      <c r="H19369" s="1245"/>
      <c r="I19369" s="1245"/>
    </row>
    <row r="19370" spans="8:9">
      <c r="H19370" s="1245"/>
      <c r="I19370" s="1245"/>
    </row>
    <row r="19371" spans="8:9">
      <c r="H19371" s="1245"/>
      <c r="I19371" s="1245"/>
    </row>
    <row r="19372" spans="8:9">
      <c r="H19372" s="1245"/>
      <c r="I19372" s="1245"/>
    </row>
    <row r="19373" spans="8:9">
      <c r="H19373" s="1245"/>
      <c r="I19373" s="1245"/>
    </row>
    <row r="19374" spans="8:9">
      <c r="H19374" s="1245"/>
      <c r="I19374" s="1245"/>
    </row>
    <row r="19375" spans="8:9">
      <c r="H19375" s="1245"/>
      <c r="I19375" s="1245"/>
    </row>
    <row r="19376" spans="8:9">
      <c r="H19376" s="1245"/>
      <c r="I19376" s="1245"/>
    </row>
    <row r="19377" spans="8:9">
      <c r="H19377" s="1245"/>
      <c r="I19377" s="1245"/>
    </row>
    <row r="19378" spans="8:9">
      <c r="H19378" s="1245"/>
      <c r="I19378" s="1245"/>
    </row>
    <row r="19379" spans="8:9">
      <c r="H19379" s="1245"/>
      <c r="I19379" s="1245"/>
    </row>
    <row r="19380" spans="8:9">
      <c r="H19380" s="1245"/>
      <c r="I19380" s="1245"/>
    </row>
    <row r="19381" spans="8:9">
      <c r="H19381" s="1245"/>
      <c r="I19381" s="1245"/>
    </row>
    <row r="19382" spans="8:9">
      <c r="H19382" s="1245"/>
      <c r="I19382" s="1245"/>
    </row>
    <row r="19383" spans="8:9">
      <c r="H19383" s="1245"/>
      <c r="I19383" s="1245"/>
    </row>
    <row r="19384" spans="8:9">
      <c r="H19384" s="1245"/>
      <c r="I19384" s="1245"/>
    </row>
    <row r="19385" spans="8:9">
      <c r="H19385" s="1245"/>
      <c r="I19385" s="1245"/>
    </row>
    <row r="19386" spans="8:9">
      <c r="H19386" s="1245"/>
      <c r="I19386" s="1245"/>
    </row>
    <row r="19387" spans="8:9">
      <c r="H19387" s="1245"/>
      <c r="I19387" s="1245"/>
    </row>
    <row r="19388" spans="8:9">
      <c r="H19388" s="1245"/>
      <c r="I19388" s="1245"/>
    </row>
    <row r="19389" spans="8:9">
      <c r="H19389" s="1245"/>
      <c r="I19389" s="1245"/>
    </row>
    <row r="19390" spans="8:9">
      <c r="H19390" s="1245"/>
      <c r="I19390" s="1245"/>
    </row>
    <row r="19391" spans="8:9">
      <c r="H19391" s="1245"/>
      <c r="I19391" s="1245"/>
    </row>
    <row r="19392" spans="8:9">
      <c r="H19392" s="1245"/>
      <c r="I19392" s="1245"/>
    </row>
    <row r="19393" spans="8:9">
      <c r="H19393" s="1245"/>
      <c r="I19393" s="1245"/>
    </row>
    <row r="19394" spans="8:9">
      <c r="H19394" s="1245"/>
      <c r="I19394" s="1245"/>
    </row>
    <row r="19395" spans="8:9">
      <c r="H19395" s="1245"/>
      <c r="I19395" s="1245"/>
    </row>
    <row r="19396" spans="8:9">
      <c r="H19396" s="1245"/>
      <c r="I19396" s="1245"/>
    </row>
    <row r="19397" spans="8:9">
      <c r="H19397" s="1245"/>
      <c r="I19397" s="1245"/>
    </row>
    <row r="19398" spans="8:9">
      <c r="H19398" s="1245"/>
      <c r="I19398" s="1245"/>
    </row>
    <row r="19399" spans="8:9">
      <c r="H19399" s="1245"/>
      <c r="I19399" s="1245"/>
    </row>
    <row r="19400" spans="8:9">
      <c r="H19400" s="1245"/>
      <c r="I19400" s="1245"/>
    </row>
    <row r="19401" spans="8:9">
      <c r="H19401" s="1245"/>
      <c r="I19401" s="1245"/>
    </row>
    <row r="19402" spans="8:9">
      <c r="H19402" s="1245"/>
      <c r="I19402" s="1245"/>
    </row>
    <row r="19403" spans="8:9">
      <c r="H19403" s="1245"/>
      <c r="I19403" s="1245"/>
    </row>
    <row r="19404" spans="8:9">
      <c r="H19404" s="1245"/>
      <c r="I19404" s="1245"/>
    </row>
    <row r="19405" spans="8:9">
      <c r="H19405" s="1245"/>
      <c r="I19405" s="1245"/>
    </row>
    <row r="19406" spans="8:9">
      <c r="H19406" s="1245"/>
      <c r="I19406" s="1245"/>
    </row>
    <row r="19407" spans="8:9">
      <c r="H19407" s="1245"/>
      <c r="I19407" s="1245"/>
    </row>
    <row r="19408" spans="8:9">
      <c r="H19408" s="1245"/>
      <c r="I19408" s="1245"/>
    </row>
    <row r="19409" spans="8:9">
      <c r="H19409" s="1245"/>
      <c r="I19409" s="1245"/>
    </row>
    <row r="19410" spans="8:9">
      <c r="H19410" s="1245"/>
      <c r="I19410" s="1245"/>
    </row>
    <row r="19411" spans="8:9">
      <c r="H19411" s="1245"/>
      <c r="I19411" s="1245"/>
    </row>
    <row r="19412" spans="8:9">
      <c r="H19412" s="1245"/>
      <c r="I19412" s="1245"/>
    </row>
    <row r="19413" spans="8:9">
      <c r="H19413" s="1245"/>
      <c r="I19413" s="1245"/>
    </row>
    <row r="19414" spans="8:9">
      <c r="H19414" s="1245"/>
      <c r="I19414" s="1245"/>
    </row>
    <row r="19415" spans="8:9">
      <c r="H19415" s="1245"/>
      <c r="I19415" s="1245"/>
    </row>
    <row r="19416" spans="8:9">
      <c r="H19416" s="1245"/>
      <c r="I19416" s="1245"/>
    </row>
    <row r="19417" spans="8:9">
      <c r="H19417" s="1245"/>
      <c r="I19417" s="1245"/>
    </row>
    <row r="19418" spans="8:9">
      <c r="H19418" s="1245"/>
      <c r="I19418" s="1245"/>
    </row>
    <row r="19419" spans="8:9">
      <c r="H19419" s="1245"/>
      <c r="I19419" s="1245"/>
    </row>
    <row r="19420" spans="8:9">
      <c r="H19420" s="1245"/>
      <c r="I19420" s="1245"/>
    </row>
    <row r="19421" spans="8:9">
      <c r="H19421" s="1245"/>
      <c r="I19421" s="1245"/>
    </row>
    <row r="19422" spans="8:9">
      <c r="H19422" s="1245"/>
      <c r="I19422" s="1245"/>
    </row>
    <row r="19423" spans="8:9">
      <c r="H19423" s="1245"/>
      <c r="I19423" s="1245"/>
    </row>
    <row r="19424" spans="8:9">
      <c r="H19424" s="1245"/>
      <c r="I19424" s="1245"/>
    </row>
    <row r="19425" spans="8:9">
      <c r="H19425" s="1245"/>
      <c r="I19425" s="1245"/>
    </row>
    <row r="19426" spans="8:9">
      <c r="H19426" s="1245"/>
      <c r="I19426" s="1245"/>
    </row>
    <row r="19427" spans="8:9">
      <c r="H19427" s="1245"/>
      <c r="I19427" s="1245"/>
    </row>
    <row r="19428" spans="8:9">
      <c r="H19428" s="1245"/>
      <c r="I19428" s="1245"/>
    </row>
    <row r="19429" spans="8:9">
      <c r="H19429" s="1245"/>
      <c r="I19429" s="1245"/>
    </row>
    <row r="19430" spans="8:9">
      <c r="H19430" s="1245"/>
      <c r="I19430" s="1245"/>
    </row>
    <row r="19431" spans="8:9">
      <c r="H19431" s="1245"/>
      <c r="I19431" s="1245"/>
    </row>
    <row r="19432" spans="8:9">
      <c r="H19432" s="1245"/>
      <c r="I19432" s="1245"/>
    </row>
    <row r="19433" spans="8:9">
      <c r="H19433" s="1245"/>
      <c r="I19433" s="1245"/>
    </row>
    <row r="19434" spans="8:9">
      <c r="H19434" s="1245"/>
      <c r="I19434" s="1245"/>
    </row>
    <row r="19435" spans="8:9">
      <c r="H19435" s="1245"/>
      <c r="I19435" s="1245"/>
    </row>
    <row r="19436" spans="8:9">
      <c r="H19436" s="1245"/>
      <c r="I19436" s="1245"/>
    </row>
    <row r="19437" spans="8:9">
      <c r="H19437" s="1245"/>
      <c r="I19437" s="1245"/>
    </row>
    <row r="19438" spans="8:9">
      <c r="H19438" s="1245"/>
      <c r="I19438" s="1245"/>
    </row>
    <row r="19439" spans="8:9">
      <c r="H19439" s="1245"/>
      <c r="I19439" s="1245"/>
    </row>
    <row r="19440" spans="8:9">
      <c r="H19440" s="1245"/>
      <c r="I19440" s="1245"/>
    </row>
    <row r="19441" spans="8:9">
      <c r="H19441" s="1245"/>
      <c r="I19441" s="1245"/>
    </row>
    <row r="19442" spans="8:9">
      <c r="H19442" s="1245"/>
      <c r="I19442" s="1245"/>
    </row>
    <row r="19443" spans="8:9">
      <c r="H19443" s="1245"/>
      <c r="I19443" s="1245"/>
    </row>
    <row r="19444" spans="8:9">
      <c r="H19444" s="1245"/>
      <c r="I19444" s="1245"/>
    </row>
    <row r="19445" spans="8:9">
      <c r="H19445" s="1245"/>
      <c r="I19445" s="1245"/>
    </row>
    <row r="19446" spans="8:9">
      <c r="H19446" s="1245"/>
      <c r="I19446" s="1245"/>
    </row>
    <row r="19447" spans="8:9">
      <c r="H19447" s="1245"/>
      <c r="I19447" s="1245"/>
    </row>
    <row r="19448" spans="8:9">
      <c r="H19448" s="1245"/>
      <c r="I19448" s="1245"/>
    </row>
    <row r="19449" spans="8:9">
      <c r="H19449" s="1245"/>
      <c r="I19449" s="1245"/>
    </row>
    <row r="19450" spans="8:9">
      <c r="H19450" s="1245"/>
      <c r="I19450" s="1245"/>
    </row>
    <row r="19451" spans="8:9">
      <c r="H19451" s="1245"/>
      <c r="I19451" s="1245"/>
    </row>
    <row r="19452" spans="8:9">
      <c r="H19452" s="1245"/>
      <c r="I19452" s="1245"/>
    </row>
    <row r="19453" spans="8:9">
      <c r="H19453" s="1245"/>
      <c r="I19453" s="1245"/>
    </row>
    <row r="19454" spans="8:9">
      <c r="H19454" s="1245"/>
      <c r="I19454" s="1245"/>
    </row>
    <row r="19455" spans="8:9">
      <c r="H19455" s="1245"/>
      <c r="I19455" s="1245"/>
    </row>
    <row r="19456" spans="8:9">
      <c r="H19456" s="1245"/>
      <c r="I19456" s="1245"/>
    </row>
    <row r="19457" spans="8:9">
      <c r="H19457" s="1245"/>
      <c r="I19457" s="1245"/>
    </row>
    <row r="19458" spans="8:9">
      <c r="H19458" s="1245"/>
      <c r="I19458" s="1245"/>
    </row>
    <row r="19459" spans="8:9">
      <c r="H19459" s="1245"/>
      <c r="I19459" s="1245"/>
    </row>
    <row r="19460" spans="8:9">
      <c r="H19460" s="1245"/>
      <c r="I19460" s="1245"/>
    </row>
    <row r="19461" spans="8:9">
      <c r="H19461" s="1245"/>
      <c r="I19461" s="1245"/>
    </row>
    <row r="19462" spans="8:9">
      <c r="H19462" s="1245"/>
      <c r="I19462" s="1245"/>
    </row>
    <row r="19463" spans="8:9">
      <c r="H19463" s="1245"/>
      <c r="I19463" s="1245"/>
    </row>
    <row r="19464" spans="8:9">
      <c r="H19464" s="1245"/>
      <c r="I19464" s="1245"/>
    </row>
    <row r="19465" spans="8:9">
      <c r="H19465" s="1245"/>
      <c r="I19465" s="1245"/>
    </row>
    <row r="19466" spans="8:9">
      <c r="H19466" s="1245"/>
      <c r="I19466" s="1245"/>
    </row>
    <row r="19467" spans="8:9">
      <c r="H19467" s="1245"/>
      <c r="I19467" s="1245"/>
    </row>
    <row r="19468" spans="8:9">
      <c r="H19468" s="1245"/>
      <c r="I19468" s="1245"/>
    </row>
    <row r="19469" spans="8:9">
      <c r="H19469" s="1245"/>
      <c r="I19469" s="1245"/>
    </row>
    <row r="19470" spans="8:9">
      <c r="H19470" s="1245"/>
      <c r="I19470" s="1245"/>
    </row>
    <row r="19471" spans="8:9">
      <c r="H19471" s="1245"/>
      <c r="I19471" s="1245"/>
    </row>
    <row r="19472" spans="8:9">
      <c r="H19472" s="1245"/>
      <c r="I19472" s="1245"/>
    </row>
    <row r="19473" spans="8:9">
      <c r="H19473" s="1245"/>
      <c r="I19473" s="1245"/>
    </row>
    <row r="19474" spans="8:9">
      <c r="H19474" s="1245"/>
      <c r="I19474" s="1245"/>
    </row>
    <row r="19475" spans="8:9">
      <c r="H19475" s="1245"/>
      <c r="I19475" s="1245"/>
    </row>
    <row r="19476" spans="8:9">
      <c r="H19476" s="1245"/>
      <c r="I19476" s="1245"/>
    </row>
    <row r="19477" spans="8:9">
      <c r="H19477" s="1245"/>
      <c r="I19477" s="1245"/>
    </row>
    <row r="19478" spans="8:9">
      <c r="H19478" s="1245"/>
      <c r="I19478" s="1245"/>
    </row>
    <row r="19479" spans="8:9">
      <c r="H19479" s="1245"/>
      <c r="I19479" s="1245"/>
    </row>
    <row r="19480" spans="8:9">
      <c r="H19480" s="1245"/>
      <c r="I19480" s="1245"/>
    </row>
    <row r="19481" spans="8:9">
      <c r="H19481" s="1245"/>
      <c r="I19481" s="1245"/>
    </row>
    <row r="19482" spans="8:9">
      <c r="H19482" s="1245"/>
      <c r="I19482" s="1245"/>
    </row>
    <row r="19483" spans="8:9">
      <c r="H19483" s="1245"/>
      <c r="I19483" s="1245"/>
    </row>
    <row r="19484" spans="8:9">
      <c r="H19484" s="1245"/>
      <c r="I19484" s="1245"/>
    </row>
    <row r="19485" spans="8:9">
      <c r="H19485" s="1245"/>
      <c r="I19485" s="1245"/>
    </row>
    <row r="19486" spans="8:9">
      <c r="H19486" s="1245"/>
      <c r="I19486" s="1245"/>
    </row>
    <row r="19487" spans="8:9">
      <c r="H19487" s="1245"/>
      <c r="I19487" s="1245"/>
    </row>
    <row r="19488" spans="8:9">
      <c r="H19488" s="1245"/>
      <c r="I19488" s="1245"/>
    </row>
    <row r="19489" spans="8:9">
      <c r="H19489" s="1245"/>
      <c r="I19489" s="1245"/>
    </row>
    <row r="19490" spans="8:9">
      <c r="H19490" s="1245"/>
      <c r="I19490" s="1245"/>
    </row>
    <row r="19491" spans="8:9">
      <c r="H19491" s="1245"/>
      <c r="I19491" s="1245"/>
    </row>
    <row r="19492" spans="8:9">
      <c r="H19492" s="1245"/>
      <c r="I19492" s="1245"/>
    </row>
    <row r="19493" spans="8:9">
      <c r="H19493" s="1245"/>
      <c r="I19493" s="1245"/>
    </row>
    <row r="19494" spans="8:9">
      <c r="H19494" s="1245"/>
      <c r="I19494" s="1245"/>
    </row>
    <row r="19495" spans="8:9">
      <c r="H19495" s="1245"/>
      <c r="I19495" s="1245"/>
    </row>
    <row r="19496" spans="8:9">
      <c r="H19496" s="1245"/>
      <c r="I19496" s="1245"/>
    </row>
    <row r="19497" spans="8:9">
      <c r="H19497" s="1245"/>
      <c r="I19497" s="1245"/>
    </row>
    <row r="19498" spans="8:9">
      <c r="H19498" s="1245"/>
      <c r="I19498" s="1245"/>
    </row>
    <row r="19499" spans="8:9">
      <c r="H19499" s="1245"/>
      <c r="I19499" s="1245"/>
    </row>
    <row r="19500" spans="8:9">
      <c r="H19500" s="1245"/>
      <c r="I19500" s="1245"/>
    </row>
    <row r="19501" spans="8:9">
      <c r="H19501" s="1245"/>
      <c r="I19501" s="1245"/>
    </row>
    <row r="19502" spans="8:9">
      <c r="H19502" s="1245"/>
      <c r="I19502" s="1245"/>
    </row>
    <row r="19503" spans="8:9">
      <c r="H19503" s="1245"/>
      <c r="I19503" s="1245"/>
    </row>
    <row r="19504" spans="8:9">
      <c r="H19504" s="1245"/>
      <c r="I19504" s="1245"/>
    </row>
    <row r="19505" spans="8:9">
      <c r="H19505" s="1245"/>
      <c r="I19505" s="1245"/>
    </row>
    <row r="19506" spans="8:9">
      <c r="H19506" s="1245"/>
      <c r="I19506" s="1245"/>
    </row>
    <row r="19507" spans="8:9">
      <c r="H19507" s="1245"/>
      <c r="I19507" s="1245"/>
    </row>
    <row r="19508" spans="8:9">
      <c r="H19508" s="1245"/>
      <c r="I19508" s="1245"/>
    </row>
    <row r="19509" spans="8:9">
      <c r="H19509" s="1245"/>
      <c r="I19509" s="1245"/>
    </row>
    <row r="19510" spans="8:9">
      <c r="H19510" s="1245"/>
      <c r="I19510" s="1245"/>
    </row>
    <row r="19511" spans="8:9">
      <c r="H19511" s="1245"/>
      <c r="I19511" s="1245"/>
    </row>
    <row r="19512" spans="8:9">
      <c r="H19512" s="1245"/>
      <c r="I19512" s="1245"/>
    </row>
    <row r="19513" spans="8:9">
      <c r="H19513" s="1245"/>
      <c r="I19513" s="1245"/>
    </row>
    <row r="19514" spans="8:9">
      <c r="H19514" s="1245"/>
      <c r="I19514" s="1245"/>
    </row>
    <row r="19515" spans="8:9">
      <c r="H19515" s="1245"/>
      <c r="I19515" s="1245"/>
    </row>
    <row r="19516" spans="8:9">
      <c r="H19516" s="1245"/>
      <c r="I19516" s="1245"/>
    </row>
    <row r="19517" spans="8:9">
      <c r="H19517" s="1245"/>
      <c r="I19517" s="1245"/>
    </row>
    <row r="19518" spans="8:9">
      <c r="H19518" s="1245"/>
      <c r="I19518" s="1245"/>
    </row>
    <row r="19519" spans="8:9">
      <c r="H19519" s="1245"/>
      <c r="I19519" s="1245"/>
    </row>
    <row r="19520" spans="8:9">
      <c r="H19520" s="1245"/>
      <c r="I19520" s="1245"/>
    </row>
    <row r="19521" spans="8:9">
      <c r="H19521" s="1245"/>
      <c r="I19521" s="1245"/>
    </row>
    <row r="19522" spans="8:9">
      <c r="H19522" s="1245"/>
      <c r="I19522" s="1245"/>
    </row>
    <row r="19523" spans="8:9">
      <c r="H19523" s="1245"/>
      <c r="I19523" s="1245"/>
    </row>
    <row r="19524" spans="8:9">
      <c r="H19524" s="1245"/>
      <c r="I19524" s="1245"/>
    </row>
    <row r="19525" spans="8:9">
      <c r="H19525" s="1245"/>
      <c r="I19525" s="1245"/>
    </row>
    <row r="19526" spans="8:9">
      <c r="H19526" s="1245"/>
      <c r="I19526" s="1245"/>
    </row>
    <row r="19527" spans="8:9">
      <c r="H19527" s="1245"/>
      <c r="I19527" s="1245"/>
    </row>
    <row r="19528" spans="8:9">
      <c r="H19528" s="1245"/>
      <c r="I19528" s="1245"/>
    </row>
    <row r="19529" spans="8:9">
      <c r="H19529" s="1245"/>
      <c r="I19529" s="1245"/>
    </row>
    <row r="19530" spans="8:9">
      <c r="H19530" s="1245"/>
      <c r="I19530" s="1245"/>
    </row>
    <row r="19531" spans="8:9">
      <c r="H19531" s="1245"/>
      <c r="I19531" s="1245"/>
    </row>
    <row r="19532" spans="8:9">
      <c r="H19532" s="1245"/>
      <c r="I19532" s="1245"/>
    </row>
    <row r="19533" spans="8:9">
      <c r="H19533" s="1245"/>
      <c r="I19533" s="1245"/>
    </row>
    <row r="19534" spans="8:9">
      <c r="H19534" s="1245"/>
      <c r="I19534" s="1245"/>
    </row>
    <row r="19535" spans="8:9">
      <c r="H19535" s="1245"/>
      <c r="I19535" s="1245"/>
    </row>
    <row r="19536" spans="8:9">
      <c r="H19536" s="1245"/>
      <c r="I19536" s="1245"/>
    </row>
    <row r="19537" spans="8:9">
      <c r="H19537" s="1245"/>
      <c r="I19537" s="1245"/>
    </row>
    <row r="19538" spans="8:9">
      <c r="H19538" s="1245"/>
      <c r="I19538" s="1245"/>
    </row>
    <row r="19539" spans="8:9">
      <c r="H19539" s="1245"/>
      <c r="I19539" s="1245"/>
    </row>
    <row r="19540" spans="8:9">
      <c r="H19540" s="1245"/>
      <c r="I19540" s="1245"/>
    </row>
    <row r="19541" spans="8:9">
      <c r="H19541" s="1245"/>
      <c r="I19541" s="1245"/>
    </row>
    <row r="19542" spans="8:9">
      <c r="H19542" s="1245"/>
      <c r="I19542" s="1245"/>
    </row>
    <row r="19543" spans="8:9">
      <c r="H19543" s="1245"/>
      <c r="I19543" s="1245"/>
    </row>
    <row r="19544" spans="8:9">
      <c r="H19544" s="1245"/>
      <c r="I19544" s="1245"/>
    </row>
    <row r="19545" spans="8:9">
      <c r="H19545" s="1245"/>
      <c r="I19545" s="1245"/>
    </row>
    <row r="19546" spans="8:9">
      <c r="H19546" s="1245"/>
      <c r="I19546" s="1245"/>
    </row>
    <row r="19547" spans="8:9">
      <c r="H19547" s="1245"/>
      <c r="I19547" s="1245"/>
    </row>
    <row r="19548" spans="8:9">
      <c r="H19548" s="1245"/>
      <c r="I19548" s="1245"/>
    </row>
    <row r="19549" spans="8:9">
      <c r="H19549" s="1245"/>
      <c r="I19549" s="1245"/>
    </row>
    <row r="19550" spans="8:9">
      <c r="H19550" s="1245"/>
      <c r="I19550" s="1245"/>
    </row>
    <row r="19551" spans="8:9">
      <c r="H19551" s="1245"/>
      <c r="I19551" s="1245"/>
    </row>
    <row r="19552" spans="8:9">
      <c r="H19552" s="1245"/>
      <c r="I19552" s="1245"/>
    </row>
    <row r="19553" spans="8:9">
      <c r="H19553" s="1245"/>
      <c r="I19553" s="1245"/>
    </row>
    <row r="19554" spans="8:9">
      <c r="H19554" s="1245"/>
      <c r="I19554" s="1245"/>
    </row>
    <row r="19555" spans="8:9">
      <c r="H19555" s="1245"/>
      <c r="I19555" s="1245"/>
    </row>
    <row r="19556" spans="8:9">
      <c r="H19556" s="1245"/>
      <c r="I19556" s="1245"/>
    </row>
    <row r="19557" spans="8:9">
      <c r="H19557" s="1245"/>
      <c r="I19557" s="1245"/>
    </row>
    <row r="19558" spans="8:9">
      <c r="H19558" s="1245"/>
      <c r="I19558" s="1245"/>
    </row>
    <row r="19559" spans="8:9">
      <c r="H19559" s="1245"/>
      <c r="I19559" s="1245"/>
    </row>
    <row r="19560" spans="8:9">
      <c r="H19560" s="1245"/>
      <c r="I19560" s="1245"/>
    </row>
    <row r="19561" spans="8:9">
      <c r="H19561" s="1245"/>
      <c r="I19561" s="1245"/>
    </row>
    <row r="19562" spans="8:9">
      <c r="H19562" s="1245"/>
      <c r="I19562" s="1245"/>
    </row>
    <row r="19563" spans="8:9">
      <c r="H19563" s="1245"/>
      <c r="I19563" s="1245"/>
    </row>
    <row r="19564" spans="8:9">
      <c r="H19564" s="1245"/>
      <c r="I19564" s="1245"/>
    </row>
    <row r="19565" spans="8:9">
      <c r="H19565" s="1245"/>
      <c r="I19565" s="1245"/>
    </row>
    <row r="19566" spans="8:9">
      <c r="H19566" s="1245"/>
      <c r="I19566" s="1245"/>
    </row>
    <row r="19567" spans="8:9">
      <c r="H19567" s="1245"/>
      <c r="I19567" s="1245"/>
    </row>
    <row r="19568" spans="8:9">
      <c r="H19568" s="1245"/>
      <c r="I19568" s="1245"/>
    </row>
    <row r="19569" spans="8:9">
      <c r="H19569" s="1245"/>
      <c r="I19569" s="1245"/>
    </row>
    <row r="19570" spans="8:9">
      <c r="H19570" s="1245"/>
      <c r="I19570" s="1245"/>
    </row>
    <row r="19571" spans="8:9">
      <c r="H19571" s="1245"/>
      <c r="I19571" s="1245"/>
    </row>
    <row r="19572" spans="8:9">
      <c r="H19572" s="1245"/>
      <c r="I19572" s="1245"/>
    </row>
    <row r="19573" spans="8:9">
      <c r="H19573" s="1245"/>
      <c r="I19573" s="1245"/>
    </row>
    <row r="19574" spans="8:9">
      <c r="H19574" s="1245"/>
      <c r="I19574" s="1245"/>
    </row>
    <row r="19575" spans="8:9">
      <c r="H19575" s="1245"/>
      <c r="I19575" s="1245"/>
    </row>
    <row r="19576" spans="8:9">
      <c r="H19576" s="1245"/>
      <c r="I19576" s="1245"/>
    </row>
    <row r="19577" spans="8:9">
      <c r="H19577" s="1245"/>
      <c r="I19577" s="1245"/>
    </row>
    <row r="19578" spans="8:9">
      <c r="H19578" s="1245"/>
      <c r="I19578" s="1245"/>
    </row>
    <row r="19579" spans="8:9">
      <c r="H19579" s="1245"/>
      <c r="I19579" s="1245"/>
    </row>
    <row r="19580" spans="8:9">
      <c r="H19580" s="1245"/>
      <c r="I19580" s="1245"/>
    </row>
    <row r="19581" spans="8:9">
      <c r="H19581" s="1245"/>
      <c r="I19581" s="1245"/>
    </row>
    <row r="19582" spans="8:9">
      <c r="H19582" s="1245"/>
      <c r="I19582" s="1245"/>
    </row>
    <row r="19583" spans="8:9">
      <c r="H19583" s="1245"/>
      <c r="I19583" s="1245"/>
    </row>
    <row r="19584" spans="8:9">
      <c r="H19584" s="1245"/>
      <c r="I19584" s="1245"/>
    </row>
    <row r="19585" spans="8:9">
      <c r="H19585" s="1245"/>
      <c r="I19585" s="1245"/>
    </row>
    <row r="19586" spans="8:9">
      <c r="H19586" s="1245"/>
      <c r="I19586" s="1245"/>
    </row>
    <row r="19587" spans="8:9">
      <c r="H19587" s="1245"/>
      <c r="I19587" s="1245"/>
    </row>
    <row r="19588" spans="8:9">
      <c r="H19588" s="1245"/>
      <c r="I19588" s="1245"/>
    </row>
    <row r="19589" spans="8:9">
      <c r="H19589" s="1245"/>
      <c r="I19589" s="1245"/>
    </row>
    <row r="19590" spans="8:9">
      <c r="H19590" s="1245"/>
      <c r="I19590" s="1245"/>
    </row>
    <row r="19591" spans="8:9">
      <c r="H19591" s="1245"/>
      <c r="I19591" s="1245"/>
    </row>
    <row r="19592" spans="8:9">
      <c r="H19592" s="1245"/>
      <c r="I19592" s="1245"/>
    </row>
    <row r="19593" spans="8:9">
      <c r="H19593" s="1245"/>
      <c r="I19593" s="1245"/>
    </row>
    <row r="19594" spans="8:9">
      <c r="H19594" s="1245"/>
      <c r="I19594" s="1245"/>
    </row>
    <row r="19595" spans="8:9">
      <c r="H19595" s="1245"/>
      <c r="I19595" s="1245"/>
    </row>
    <row r="19596" spans="8:9">
      <c r="H19596" s="1245"/>
      <c r="I19596" s="1245"/>
    </row>
    <row r="19597" spans="8:9">
      <c r="H19597" s="1245"/>
      <c r="I19597" s="1245"/>
    </row>
    <row r="19598" spans="8:9">
      <c r="H19598" s="1245"/>
      <c r="I19598" s="1245"/>
    </row>
    <row r="19599" spans="8:9">
      <c r="H19599" s="1245"/>
      <c r="I19599" s="1245"/>
    </row>
    <row r="19600" spans="8:9">
      <c r="H19600" s="1245"/>
      <c r="I19600" s="1245"/>
    </row>
    <row r="19601" spans="8:9">
      <c r="H19601" s="1245"/>
      <c r="I19601" s="1245"/>
    </row>
    <row r="19602" spans="8:9">
      <c r="H19602" s="1245"/>
      <c r="I19602" s="1245"/>
    </row>
    <row r="19603" spans="8:9">
      <c r="H19603" s="1245"/>
      <c r="I19603" s="1245"/>
    </row>
    <row r="19604" spans="8:9">
      <c r="H19604" s="1245"/>
      <c r="I19604" s="1245"/>
    </row>
    <row r="19605" spans="8:9">
      <c r="H19605" s="1245"/>
      <c r="I19605" s="1245"/>
    </row>
    <row r="19606" spans="8:9">
      <c r="H19606" s="1245"/>
      <c r="I19606" s="1245"/>
    </row>
    <row r="19607" spans="8:9">
      <c r="H19607" s="1245"/>
      <c r="I19607" s="1245"/>
    </row>
    <row r="19608" spans="8:9">
      <c r="H19608" s="1245"/>
      <c r="I19608" s="1245"/>
    </row>
    <row r="19609" spans="8:9">
      <c r="H19609" s="1245"/>
      <c r="I19609" s="1245"/>
    </row>
    <row r="19610" spans="8:9">
      <c r="H19610" s="1245"/>
      <c r="I19610" s="1245"/>
    </row>
    <row r="19611" spans="8:9">
      <c r="H19611" s="1245"/>
      <c r="I19611" s="1245"/>
    </row>
    <row r="19612" spans="8:9">
      <c r="H19612" s="1245"/>
      <c r="I19612" s="1245"/>
    </row>
    <row r="19613" spans="8:9">
      <c r="H19613" s="1245"/>
      <c r="I19613" s="1245"/>
    </row>
    <row r="19614" spans="8:9">
      <c r="H19614" s="1245"/>
      <c r="I19614" s="1245"/>
    </row>
    <row r="19615" spans="8:9">
      <c r="H19615" s="1245"/>
      <c r="I19615" s="1245"/>
    </row>
    <row r="19616" spans="8:9">
      <c r="H19616" s="1245"/>
      <c r="I19616" s="1245"/>
    </row>
    <row r="19617" spans="8:9">
      <c r="H19617" s="1245"/>
      <c r="I19617" s="1245"/>
    </row>
    <row r="19618" spans="8:9">
      <c r="H19618" s="1245"/>
      <c r="I19618" s="1245"/>
    </row>
    <row r="19619" spans="8:9">
      <c r="H19619" s="1245"/>
      <c r="I19619" s="1245"/>
    </row>
    <row r="19620" spans="8:9">
      <c r="H19620" s="1245"/>
      <c r="I19620" s="1245"/>
    </row>
    <row r="19621" spans="8:9">
      <c r="H19621" s="1245"/>
      <c r="I19621" s="1245"/>
    </row>
    <row r="19622" spans="8:9">
      <c r="H19622" s="1245"/>
      <c r="I19622" s="1245"/>
    </row>
    <row r="19623" spans="8:9">
      <c r="H19623" s="1245"/>
      <c r="I19623" s="1245"/>
    </row>
    <row r="19624" spans="8:9">
      <c r="H19624" s="1245"/>
      <c r="I19624" s="1245"/>
    </row>
    <row r="19625" spans="8:9">
      <c r="H19625" s="1245"/>
      <c r="I19625" s="1245"/>
    </row>
    <row r="19626" spans="8:9">
      <c r="H19626" s="1245"/>
      <c r="I19626" s="1245"/>
    </row>
    <row r="19627" spans="8:9">
      <c r="H19627" s="1245"/>
      <c r="I19627" s="1245"/>
    </row>
    <row r="19628" spans="8:9">
      <c r="H19628" s="1245"/>
      <c r="I19628" s="1245"/>
    </row>
    <row r="19629" spans="8:9">
      <c r="H19629" s="1245"/>
      <c r="I19629" s="1245"/>
    </row>
    <row r="19630" spans="8:9">
      <c r="H19630" s="1245"/>
      <c r="I19630" s="1245"/>
    </row>
    <row r="19631" spans="8:9">
      <c r="H19631" s="1245"/>
      <c r="I19631" s="1245"/>
    </row>
    <row r="19632" spans="8:9">
      <c r="H19632" s="1245"/>
      <c r="I19632" s="1245"/>
    </row>
    <row r="19633" spans="8:9">
      <c r="H19633" s="1245"/>
      <c r="I19633" s="1245"/>
    </row>
    <row r="19634" spans="8:9">
      <c r="H19634" s="1245"/>
      <c r="I19634" s="1245"/>
    </row>
    <row r="19635" spans="8:9">
      <c r="H19635" s="1245"/>
      <c r="I19635" s="1245"/>
    </row>
    <row r="19636" spans="8:9">
      <c r="H19636" s="1245"/>
      <c r="I19636" s="1245"/>
    </row>
    <row r="19637" spans="8:9">
      <c r="H19637" s="1245"/>
      <c r="I19637" s="1245"/>
    </row>
    <row r="19638" spans="8:9">
      <c r="H19638" s="1245"/>
      <c r="I19638" s="1245"/>
    </row>
    <row r="19639" spans="8:9">
      <c r="H19639" s="1245"/>
      <c r="I19639" s="1245"/>
    </row>
    <row r="19640" spans="8:9">
      <c r="H19640" s="1245"/>
      <c r="I19640" s="1245"/>
    </row>
    <row r="19641" spans="8:9">
      <c r="H19641" s="1245"/>
      <c r="I19641" s="1245"/>
    </row>
    <row r="19642" spans="8:9">
      <c r="H19642" s="1245"/>
      <c r="I19642" s="1245"/>
    </row>
    <row r="19643" spans="8:9">
      <c r="H19643" s="1245"/>
      <c r="I19643" s="1245"/>
    </row>
    <row r="19644" spans="8:9">
      <c r="H19644" s="1245"/>
      <c r="I19644" s="1245"/>
    </row>
    <row r="19645" spans="8:9">
      <c r="H19645" s="1245"/>
      <c r="I19645" s="1245"/>
    </row>
    <row r="19646" spans="8:9">
      <c r="H19646" s="1245"/>
      <c r="I19646" s="1245"/>
    </row>
    <row r="19647" spans="8:9">
      <c r="H19647" s="1245"/>
      <c r="I19647" s="1245"/>
    </row>
    <row r="19648" spans="8:9">
      <c r="H19648" s="1245"/>
      <c r="I19648" s="1245"/>
    </row>
    <row r="19649" spans="8:9">
      <c r="H19649" s="1245"/>
      <c r="I19649" s="1245"/>
    </row>
    <row r="19650" spans="8:9">
      <c r="H19650" s="1245"/>
      <c r="I19650" s="1245"/>
    </row>
    <row r="19651" spans="8:9">
      <c r="H19651" s="1245"/>
      <c r="I19651" s="1245"/>
    </row>
    <row r="19652" spans="8:9">
      <c r="H19652" s="1245"/>
      <c r="I19652" s="1245"/>
    </row>
    <row r="19653" spans="8:9">
      <c r="H19653" s="1245"/>
      <c r="I19653" s="1245"/>
    </row>
    <row r="19654" spans="8:9">
      <c r="H19654" s="1245"/>
      <c r="I19654" s="1245"/>
    </row>
    <row r="19655" spans="8:9">
      <c r="H19655" s="1245"/>
      <c r="I19655" s="1245"/>
    </row>
    <row r="19656" spans="8:9">
      <c r="H19656" s="1245"/>
      <c r="I19656" s="1245"/>
    </row>
    <row r="19657" spans="8:9">
      <c r="H19657" s="1245"/>
      <c r="I19657" s="1245"/>
    </row>
    <row r="19658" spans="8:9">
      <c r="H19658" s="1245"/>
      <c r="I19658" s="1245"/>
    </row>
    <row r="19659" spans="8:9">
      <c r="H19659" s="1245"/>
      <c r="I19659" s="1245"/>
    </row>
    <row r="19660" spans="8:9">
      <c r="H19660" s="1245"/>
      <c r="I19660" s="1245"/>
    </row>
    <row r="19661" spans="8:9">
      <c r="H19661" s="1245"/>
      <c r="I19661" s="1245"/>
    </row>
    <row r="19662" spans="8:9">
      <c r="H19662" s="1245"/>
      <c r="I19662" s="1245"/>
    </row>
    <row r="19663" spans="8:9">
      <c r="H19663" s="1245"/>
      <c r="I19663" s="1245"/>
    </row>
    <row r="19664" spans="8:9">
      <c r="H19664" s="1245"/>
      <c r="I19664" s="1245"/>
    </row>
    <row r="19665" spans="8:9">
      <c r="H19665" s="1245"/>
      <c r="I19665" s="1245"/>
    </row>
    <row r="19666" spans="8:9">
      <c r="H19666" s="1245"/>
      <c r="I19666" s="1245"/>
    </row>
    <row r="19667" spans="8:9">
      <c r="H19667" s="1245"/>
      <c r="I19667" s="1245"/>
    </row>
    <row r="19668" spans="8:9">
      <c r="H19668" s="1245"/>
      <c r="I19668" s="1245"/>
    </row>
    <row r="19669" spans="8:9">
      <c r="H19669" s="1245"/>
      <c r="I19669" s="1245"/>
    </row>
    <row r="19670" spans="8:9">
      <c r="H19670" s="1245"/>
      <c r="I19670" s="1245"/>
    </row>
    <row r="19671" spans="8:9">
      <c r="H19671" s="1245"/>
      <c r="I19671" s="1245"/>
    </row>
    <row r="19672" spans="8:9">
      <c r="H19672" s="1245"/>
      <c r="I19672" s="1245"/>
    </row>
    <row r="19673" spans="8:9">
      <c r="H19673" s="1245"/>
      <c r="I19673" s="1245"/>
    </row>
    <row r="19674" spans="8:9">
      <c r="H19674" s="1245"/>
      <c r="I19674" s="1245"/>
    </row>
    <row r="19675" spans="8:9">
      <c r="H19675" s="1245"/>
      <c r="I19675" s="1245"/>
    </row>
    <row r="19676" spans="8:9">
      <c r="H19676" s="1245"/>
      <c r="I19676" s="1245"/>
    </row>
    <row r="19677" spans="8:9">
      <c r="H19677" s="1245"/>
      <c r="I19677" s="1245"/>
    </row>
    <row r="19678" spans="8:9">
      <c r="H19678" s="1245"/>
      <c r="I19678" s="1245"/>
    </row>
    <row r="19679" spans="8:9">
      <c r="H19679" s="1245"/>
      <c r="I19679" s="1245"/>
    </row>
    <row r="19680" spans="8:9">
      <c r="H19680" s="1245"/>
      <c r="I19680" s="1245"/>
    </row>
    <row r="19681" spans="8:9">
      <c r="H19681" s="1245"/>
      <c r="I19681" s="1245"/>
    </row>
    <row r="19682" spans="8:9">
      <c r="H19682" s="1245"/>
      <c r="I19682" s="1245"/>
    </row>
    <row r="19683" spans="8:9">
      <c r="H19683" s="1245"/>
      <c r="I19683" s="1245"/>
    </row>
    <row r="19684" spans="8:9">
      <c r="H19684" s="1245"/>
      <c r="I19684" s="1245"/>
    </row>
    <row r="19685" spans="8:9">
      <c r="H19685" s="1245"/>
      <c r="I19685" s="1245"/>
    </row>
    <row r="19686" spans="8:9">
      <c r="H19686" s="1245"/>
      <c r="I19686" s="1245"/>
    </row>
    <row r="19687" spans="8:9">
      <c r="H19687" s="1245"/>
      <c r="I19687" s="1245"/>
    </row>
    <row r="19688" spans="8:9">
      <c r="H19688" s="1245"/>
      <c r="I19688" s="1245"/>
    </row>
    <row r="19689" spans="8:9">
      <c r="H19689" s="1245"/>
      <c r="I19689" s="1245"/>
    </row>
    <row r="19690" spans="8:9">
      <c r="H19690" s="1245"/>
      <c r="I19690" s="1245"/>
    </row>
    <row r="19691" spans="8:9">
      <c r="H19691" s="1245"/>
      <c r="I19691" s="1245"/>
    </row>
    <row r="19692" spans="8:9">
      <c r="H19692" s="1245"/>
      <c r="I19692" s="1245"/>
    </row>
    <row r="19693" spans="8:9">
      <c r="H19693" s="1245"/>
      <c r="I19693" s="1245"/>
    </row>
    <row r="19694" spans="8:9">
      <c r="H19694" s="1245"/>
      <c r="I19694" s="1245"/>
    </row>
    <row r="19695" spans="8:9">
      <c r="H19695" s="1245"/>
      <c r="I19695" s="1245"/>
    </row>
    <row r="19696" spans="8:9">
      <c r="H19696" s="1245"/>
      <c r="I19696" s="1245"/>
    </row>
    <row r="19697" spans="8:9">
      <c r="H19697" s="1245"/>
      <c r="I19697" s="1245"/>
    </row>
    <row r="19698" spans="8:9">
      <c r="H19698" s="1245"/>
      <c r="I19698" s="1245"/>
    </row>
    <row r="19699" spans="8:9">
      <c r="H19699" s="1245"/>
      <c r="I19699" s="1245"/>
    </row>
    <row r="19700" spans="8:9">
      <c r="H19700" s="1245"/>
      <c r="I19700" s="1245"/>
    </row>
    <row r="19701" spans="8:9">
      <c r="H19701" s="1245"/>
      <c r="I19701" s="1245"/>
    </row>
    <row r="19702" spans="8:9">
      <c r="H19702" s="1245"/>
      <c r="I19702" s="1245"/>
    </row>
    <row r="19703" spans="8:9">
      <c r="H19703" s="1245"/>
      <c r="I19703" s="1245"/>
    </row>
    <row r="19704" spans="8:9">
      <c r="H19704" s="1245"/>
      <c r="I19704" s="1245"/>
    </row>
    <row r="19705" spans="8:9">
      <c r="H19705" s="1245"/>
      <c r="I19705" s="1245"/>
    </row>
    <row r="19706" spans="8:9">
      <c r="H19706" s="1245"/>
      <c r="I19706" s="1245"/>
    </row>
    <row r="19707" spans="8:9">
      <c r="H19707" s="1245"/>
      <c r="I19707" s="1245"/>
    </row>
    <row r="19708" spans="8:9">
      <c r="H19708" s="1245"/>
      <c r="I19708" s="1245"/>
    </row>
    <row r="19709" spans="8:9">
      <c r="H19709" s="1245"/>
      <c r="I19709" s="1245"/>
    </row>
    <row r="19710" spans="8:9">
      <c r="H19710" s="1245"/>
      <c r="I19710" s="1245"/>
    </row>
    <row r="19711" spans="8:9">
      <c r="H19711" s="1245"/>
      <c r="I19711" s="1245"/>
    </row>
    <row r="19712" spans="8:9">
      <c r="H19712" s="1245"/>
      <c r="I19712" s="1245"/>
    </row>
    <row r="19713" spans="8:9">
      <c r="H19713" s="1245"/>
      <c r="I19713" s="1245"/>
    </row>
    <row r="19714" spans="8:9">
      <c r="H19714" s="1245"/>
      <c r="I19714" s="1245"/>
    </row>
    <row r="19715" spans="8:9">
      <c r="H19715" s="1245"/>
      <c r="I19715" s="1245"/>
    </row>
    <row r="19716" spans="8:9">
      <c r="H19716" s="1245"/>
      <c r="I19716" s="1245"/>
    </row>
    <row r="19717" spans="8:9">
      <c r="H19717" s="1245"/>
      <c r="I19717" s="1245"/>
    </row>
    <row r="19718" spans="8:9">
      <c r="H19718" s="1245"/>
      <c r="I19718" s="1245"/>
    </row>
    <row r="19719" spans="8:9">
      <c r="H19719" s="1245"/>
      <c r="I19719" s="1245"/>
    </row>
    <row r="19720" spans="8:9">
      <c r="H19720" s="1245"/>
      <c r="I19720" s="1245"/>
    </row>
    <row r="19721" spans="8:9">
      <c r="H19721" s="1245"/>
      <c r="I19721" s="1245"/>
    </row>
    <row r="19722" spans="8:9">
      <c r="H19722" s="1245"/>
      <c r="I19722" s="1245"/>
    </row>
    <row r="19723" spans="8:9">
      <c r="H19723" s="1245"/>
      <c r="I19723" s="1245"/>
    </row>
    <row r="19724" spans="8:9">
      <c r="H19724" s="1245"/>
      <c r="I19724" s="1245"/>
    </row>
    <row r="19725" spans="8:9">
      <c r="H19725" s="1245"/>
      <c r="I19725" s="1245"/>
    </row>
    <row r="19726" spans="8:9">
      <c r="H19726" s="1245"/>
      <c r="I19726" s="1245"/>
    </row>
    <row r="19727" spans="8:9">
      <c r="H19727" s="1245"/>
      <c r="I19727" s="1245"/>
    </row>
    <row r="19728" spans="8:9">
      <c r="H19728" s="1245"/>
      <c r="I19728" s="1245"/>
    </row>
    <row r="19729" spans="8:9">
      <c r="H19729" s="1245"/>
      <c r="I19729" s="1245"/>
    </row>
    <row r="19730" spans="8:9">
      <c r="H19730" s="1245"/>
      <c r="I19730" s="1245"/>
    </row>
    <row r="19731" spans="8:9">
      <c r="H19731" s="1245"/>
      <c r="I19731" s="1245"/>
    </row>
    <row r="19732" spans="8:9">
      <c r="H19732" s="1245"/>
      <c r="I19732" s="1245"/>
    </row>
    <row r="19733" spans="8:9">
      <c r="H19733" s="1245"/>
      <c r="I19733" s="1245"/>
    </row>
    <row r="19734" spans="8:9">
      <c r="H19734" s="1245"/>
      <c r="I19734" s="1245"/>
    </row>
    <row r="19735" spans="8:9">
      <c r="H19735" s="1245"/>
      <c r="I19735" s="1245"/>
    </row>
    <row r="19736" spans="8:9">
      <c r="H19736" s="1245"/>
      <c r="I19736" s="1245"/>
    </row>
    <row r="19737" spans="8:9">
      <c r="H19737" s="1245"/>
      <c r="I19737" s="1245"/>
    </row>
    <row r="19738" spans="8:9">
      <c r="H19738" s="1245"/>
      <c r="I19738" s="1245"/>
    </row>
    <row r="19739" spans="8:9">
      <c r="H19739" s="1245"/>
      <c r="I19739" s="1245"/>
    </row>
    <row r="19740" spans="8:9">
      <c r="H19740" s="1245"/>
      <c r="I19740" s="1245"/>
    </row>
    <row r="19741" spans="8:9">
      <c r="H19741" s="1245"/>
      <c r="I19741" s="1245"/>
    </row>
    <row r="19742" spans="8:9">
      <c r="H19742" s="1245"/>
      <c r="I19742" s="1245"/>
    </row>
    <row r="19743" spans="8:9">
      <c r="H19743" s="1245"/>
      <c r="I19743" s="1245"/>
    </row>
    <row r="19744" spans="8:9">
      <c r="H19744" s="1245"/>
      <c r="I19744" s="1245"/>
    </row>
    <row r="19745" spans="8:9">
      <c r="H19745" s="1245"/>
      <c r="I19745" s="1245"/>
    </row>
    <row r="19746" spans="8:9">
      <c r="H19746" s="1245"/>
      <c r="I19746" s="1245"/>
    </row>
    <row r="19747" spans="8:9">
      <c r="H19747" s="1245"/>
      <c r="I19747" s="1245"/>
    </row>
    <row r="19748" spans="8:9">
      <c r="H19748" s="1245"/>
      <c r="I19748" s="1245"/>
    </row>
    <row r="19749" spans="8:9">
      <c r="H19749" s="1245"/>
      <c r="I19749" s="1245"/>
    </row>
    <row r="19750" spans="8:9">
      <c r="H19750" s="1245"/>
      <c r="I19750" s="1245"/>
    </row>
    <row r="19751" spans="8:9">
      <c r="H19751" s="1245"/>
      <c r="I19751" s="1245"/>
    </row>
    <row r="19752" spans="8:9">
      <c r="H19752" s="1245"/>
      <c r="I19752" s="1245"/>
    </row>
    <row r="19753" spans="8:9">
      <c r="H19753" s="1245"/>
      <c r="I19753" s="1245"/>
    </row>
    <row r="19754" spans="8:9">
      <c r="H19754" s="1245"/>
      <c r="I19754" s="1245"/>
    </row>
    <row r="19755" spans="8:9">
      <c r="H19755" s="1245"/>
      <c r="I19755" s="1245"/>
    </row>
    <row r="19756" spans="8:9">
      <c r="H19756" s="1245"/>
      <c r="I19756" s="1245"/>
    </row>
    <row r="19757" spans="8:9">
      <c r="H19757" s="1245"/>
      <c r="I19757" s="1245"/>
    </row>
    <row r="19758" spans="8:9">
      <c r="H19758" s="1245"/>
      <c r="I19758" s="1245"/>
    </row>
    <row r="19759" spans="8:9">
      <c r="H19759" s="1245"/>
      <c r="I19759" s="1245"/>
    </row>
    <row r="19760" spans="8:9">
      <c r="H19760" s="1245"/>
      <c r="I19760" s="1245"/>
    </row>
    <row r="19761" spans="8:9">
      <c r="H19761" s="1245"/>
      <c r="I19761" s="1245"/>
    </row>
    <row r="19762" spans="8:9">
      <c r="H19762" s="1245"/>
      <c r="I19762" s="1245"/>
    </row>
    <row r="19763" spans="8:9">
      <c r="H19763" s="1245"/>
      <c r="I19763" s="1245"/>
    </row>
    <row r="19764" spans="8:9">
      <c r="H19764" s="1245"/>
      <c r="I19764" s="1245"/>
    </row>
    <row r="19765" spans="8:9">
      <c r="H19765" s="1245"/>
      <c r="I19765" s="1245"/>
    </row>
    <row r="19766" spans="8:9">
      <c r="H19766" s="1245"/>
      <c r="I19766" s="1245"/>
    </row>
    <row r="19767" spans="8:9">
      <c r="H19767" s="1245"/>
      <c r="I19767" s="1245"/>
    </row>
    <row r="19768" spans="8:9">
      <c r="H19768" s="1245"/>
      <c r="I19768" s="1245"/>
    </row>
    <row r="19769" spans="8:9">
      <c r="H19769" s="1245"/>
      <c r="I19769" s="1245"/>
    </row>
    <row r="19770" spans="8:9">
      <c r="H19770" s="1245"/>
      <c r="I19770" s="1245"/>
    </row>
    <row r="19771" spans="8:9">
      <c r="H19771" s="1245"/>
      <c r="I19771" s="1245"/>
    </row>
    <row r="19772" spans="8:9">
      <c r="H19772" s="1245"/>
      <c r="I19772" s="1245"/>
    </row>
    <row r="19773" spans="8:9">
      <c r="H19773" s="1245"/>
      <c r="I19773" s="1245"/>
    </row>
    <row r="19774" spans="8:9">
      <c r="H19774" s="1245"/>
      <c r="I19774" s="1245"/>
    </row>
    <row r="19775" spans="8:9">
      <c r="H19775" s="1245"/>
      <c r="I19775" s="1245"/>
    </row>
    <row r="19776" spans="8:9">
      <c r="H19776" s="1245"/>
      <c r="I19776" s="1245"/>
    </row>
    <row r="19777" spans="8:9">
      <c r="H19777" s="1245"/>
      <c r="I19777" s="1245"/>
    </row>
    <row r="19778" spans="8:9">
      <c r="H19778" s="1245"/>
      <c r="I19778" s="1245"/>
    </row>
    <row r="19779" spans="8:9">
      <c r="H19779" s="1245"/>
      <c r="I19779" s="1245"/>
    </row>
    <row r="19780" spans="8:9">
      <c r="H19780" s="1245"/>
      <c r="I19780" s="1245"/>
    </row>
    <row r="19781" spans="8:9">
      <c r="H19781" s="1245"/>
      <c r="I19781" s="1245"/>
    </row>
    <row r="19782" spans="8:9">
      <c r="H19782" s="1245"/>
      <c r="I19782" s="1245"/>
    </row>
    <row r="19783" spans="8:9">
      <c r="H19783" s="1245"/>
      <c r="I19783" s="1245"/>
    </row>
    <row r="19784" spans="8:9">
      <c r="H19784" s="1245"/>
      <c r="I19784" s="1245"/>
    </row>
    <row r="19785" spans="8:9">
      <c r="H19785" s="1245"/>
      <c r="I19785" s="1245"/>
    </row>
    <row r="19786" spans="8:9">
      <c r="H19786" s="1245"/>
      <c r="I19786" s="1245"/>
    </row>
    <row r="19787" spans="8:9">
      <c r="H19787" s="1245"/>
      <c r="I19787" s="1245"/>
    </row>
    <row r="19788" spans="8:9">
      <c r="H19788" s="1245"/>
      <c r="I19788" s="1245"/>
    </row>
    <row r="19789" spans="8:9">
      <c r="H19789" s="1245"/>
      <c r="I19789" s="1245"/>
    </row>
    <row r="19790" spans="8:9">
      <c r="H19790" s="1245"/>
      <c r="I19790" s="1245"/>
    </row>
    <row r="19791" spans="8:9">
      <c r="H19791" s="1245"/>
      <c r="I19791" s="1245"/>
    </row>
    <row r="19792" spans="8:9">
      <c r="H19792" s="1245"/>
      <c r="I19792" s="1245"/>
    </row>
    <row r="19793" spans="8:9">
      <c r="H19793" s="1245"/>
      <c r="I19793" s="1245"/>
    </row>
    <row r="19794" spans="8:9">
      <c r="H19794" s="1245"/>
      <c r="I19794" s="1245"/>
    </row>
    <row r="19795" spans="8:9">
      <c r="H19795" s="1245"/>
      <c r="I19795" s="1245"/>
    </row>
    <row r="19796" spans="8:9">
      <c r="H19796" s="1245"/>
      <c r="I19796" s="1245"/>
    </row>
    <row r="19797" spans="8:9">
      <c r="H19797" s="1245"/>
      <c r="I19797" s="1245"/>
    </row>
    <row r="19798" spans="8:9">
      <c r="H19798" s="1245"/>
      <c r="I19798" s="1245"/>
    </row>
    <row r="19799" spans="8:9">
      <c r="H19799" s="1245"/>
      <c r="I19799" s="1245"/>
    </row>
    <row r="19800" spans="8:9">
      <c r="H19800" s="1245"/>
      <c r="I19800" s="1245"/>
    </row>
    <row r="19801" spans="8:9">
      <c r="H19801" s="1245"/>
      <c r="I19801" s="1245"/>
    </row>
    <row r="19802" spans="8:9">
      <c r="H19802" s="1245"/>
      <c r="I19802" s="1245"/>
    </row>
    <row r="19803" spans="8:9">
      <c r="H19803" s="1245"/>
      <c r="I19803" s="1245"/>
    </row>
    <row r="19804" spans="8:9">
      <c r="H19804" s="1245"/>
      <c r="I19804" s="1245"/>
    </row>
    <row r="19805" spans="8:9">
      <c r="H19805" s="1245"/>
      <c r="I19805" s="1245"/>
    </row>
    <row r="19806" spans="8:9">
      <c r="H19806" s="1245"/>
      <c r="I19806" s="1245"/>
    </row>
    <row r="19807" spans="8:9">
      <c r="H19807" s="1245"/>
      <c r="I19807" s="1245"/>
    </row>
    <row r="19808" spans="8:9">
      <c r="H19808" s="1245"/>
      <c r="I19808" s="1245"/>
    </row>
    <row r="19809" spans="8:9">
      <c r="H19809" s="1245"/>
      <c r="I19809" s="1245"/>
    </row>
    <row r="19810" spans="8:9">
      <c r="H19810" s="1245"/>
      <c r="I19810" s="1245"/>
    </row>
    <row r="19811" spans="8:9">
      <c r="H19811" s="1245"/>
      <c r="I19811" s="1245"/>
    </row>
    <row r="19812" spans="8:9">
      <c r="H19812" s="1245"/>
      <c r="I19812" s="1245"/>
    </row>
    <row r="19813" spans="8:9">
      <c r="H19813" s="1245"/>
      <c r="I19813" s="1245"/>
    </row>
    <row r="19814" spans="8:9">
      <c r="H19814" s="1245"/>
      <c r="I19814" s="1245"/>
    </row>
    <row r="19815" spans="8:9">
      <c r="H19815" s="1245"/>
      <c r="I19815" s="1245"/>
    </row>
    <row r="19816" spans="8:9">
      <c r="H19816" s="1245"/>
      <c r="I19816" s="1245"/>
    </row>
    <row r="19817" spans="8:9">
      <c r="H19817" s="1245"/>
      <c r="I19817" s="1245"/>
    </row>
    <row r="19818" spans="8:9">
      <c r="H19818" s="1245"/>
      <c r="I19818" s="1245"/>
    </row>
    <row r="19819" spans="8:9">
      <c r="H19819" s="1245"/>
      <c r="I19819" s="1245"/>
    </row>
    <row r="19820" spans="8:9">
      <c r="H19820" s="1245"/>
      <c r="I19820" s="1245"/>
    </row>
    <row r="19821" spans="8:9">
      <c r="H19821" s="1245"/>
      <c r="I19821" s="1245"/>
    </row>
    <row r="19822" spans="8:9">
      <c r="H19822" s="1245"/>
      <c r="I19822" s="1245"/>
    </row>
    <row r="19823" spans="8:9">
      <c r="H19823" s="1245"/>
      <c r="I19823" s="1245"/>
    </row>
    <row r="19824" spans="8:9">
      <c r="H19824" s="1245"/>
      <c r="I19824" s="1245"/>
    </row>
    <row r="19825" spans="8:9">
      <c r="H19825" s="1245"/>
      <c r="I19825" s="1245"/>
    </row>
    <row r="19826" spans="8:9">
      <c r="H19826" s="1245"/>
      <c r="I19826" s="1245"/>
    </row>
    <row r="19827" spans="8:9">
      <c r="H19827" s="1245"/>
      <c r="I19827" s="1245"/>
    </row>
    <row r="19828" spans="8:9">
      <c r="H19828" s="1245"/>
      <c r="I19828" s="1245"/>
    </row>
    <row r="19829" spans="8:9">
      <c r="H19829" s="1245"/>
      <c r="I19829" s="1245"/>
    </row>
    <row r="19830" spans="8:9">
      <c r="H19830" s="1245"/>
      <c r="I19830" s="1245"/>
    </row>
    <row r="19831" spans="8:9">
      <c r="H19831" s="1245"/>
      <c r="I19831" s="1245"/>
    </row>
    <row r="19832" spans="8:9">
      <c r="H19832" s="1245"/>
      <c r="I19832" s="1245"/>
    </row>
    <row r="19833" spans="8:9">
      <c r="H19833" s="1245"/>
      <c r="I19833" s="1245"/>
    </row>
    <row r="19834" spans="8:9">
      <c r="H19834" s="1245"/>
      <c r="I19834" s="1245"/>
    </row>
    <row r="19835" spans="8:9">
      <c r="H19835" s="1245"/>
      <c r="I19835" s="1245"/>
    </row>
    <row r="19836" spans="8:9">
      <c r="H19836" s="1245"/>
      <c r="I19836" s="1245"/>
    </row>
    <row r="19837" spans="8:9">
      <c r="H19837" s="1245"/>
      <c r="I19837" s="1245"/>
    </row>
    <row r="19838" spans="8:9">
      <c r="H19838" s="1245"/>
      <c r="I19838" s="1245"/>
    </row>
    <row r="19839" spans="8:9">
      <c r="H19839" s="1245"/>
      <c r="I19839" s="1245"/>
    </row>
    <row r="19840" spans="8:9">
      <c r="H19840" s="1245"/>
      <c r="I19840" s="1245"/>
    </row>
    <row r="19841" spans="8:9">
      <c r="H19841" s="1245"/>
      <c r="I19841" s="1245"/>
    </row>
    <row r="19842" spans="8:9">
      <c r="H19842" s="1245"/>
      <c r="I19842" s="1245"/>
    </row>
    <row r="19843" spans="8:9">
      <c r="H19843" s="1245"/>
      <c r="I19843" s="1245"/>
    </row>
    <row r="19844" spans="8:9">
      <c r="H19844" s="1245"/>
      <c r="I19844" s="1245"/>
    </row>
    <row r="19845" spans="8:9">
      <c r="H19845" s="1245"/>
      <c r="I19845" s="1245"/>
    </row>
    <row r="19846" spans="8:9">
      <c r="H19846" s="1245"/>
      <c r="I19846" s="1245"/>
    </row>
    <row r="19847" spans="8:9">
      <c r="H19847" s="1245"/>
      <c r="I19847" s="1245"/>
    </row>
    <row r="19848" spans="8:9">
      <c r="H19848" s="1245"/>
      <c r="I19848" s="1245"/>
    </row>
    <row r="19849" spans="8:9">
      <c r="H19849" s="1245"/>
      <c r="I19849" s="1245"/>
    </row>
    <row r="19850" spans="8:9">
      <c r="H19850" s="1245"/>
      <c r="I19850" s="1245"/>
    </row>
    <row r="19851" spans="8:9">
      <c r="H19851" s="1245"/>
      <c r="I19851" s="1245"/>
    </row>
    <row r="19852" spans="8:9">
      <c r="H19852" s="1245"/>
      <c r="I19852" s="1245"/>
    </row>
    <row r="19853" spans="8:9">
      <c r="H19853" s="1245"/>
      <c r="I19853" s="1245"/>
    </row>
    <row r="19854" spans="8:9">
      <c r="H19854" s="1245"/>
      <c r="I19854" s="1245"/>
    </row>
    <row r="19855" spans="8:9">
      <c r="H19855" s="1245"/>
      <c r="I19855" s="1245"/>
    </row>
    <row r="19856" spans="8:9">
      <c r="H19856" s="1245"/>
      <c r="I19856" s="1245"/>
    </row>
    <row r="19857" spans="8:9">
      <c r="H19857" s="1245"/>
      <c r="I19857" s="1245"/>
    </row>
    <row r="19858" spans="8:9">
      <c r="H19858" s="1245"/>
      <c r="I19858" s="1245"/>
    </row>
    <row r="19859" spans="8:9">
      <c r="H19859" s="1245"/>
      <c r="I19859" s="1245"/>
    </row>
    <row r="19860" spans="8:9">
      <c r="H19860" s="1245"/>
      <c r="I19860" s="1245"/>
    </row>
    <row r="19861" spans="8:9">
      <c r="H19861" s="1245"/>
      <c r="I19861" s="1245"/>
    </row>
    <row r="19862" spans="8:9">
      <c r="H19862" s="1245"/>
      <c r="I19862" s="1245"/>
    </row>
    <row r="19863" spans="8:9">
      <c r="H19863" s="1245"/>
      <c r="I19863" s="1245"/>
    </row>
    <row r="19864" spans="8:9">
      <c r="H19864" s="1245"/>
      <c r="I19864" s="1245"/>
    </row>
    <row r="19865" spans="8:9">
      <c r="H19865" s="1245"/>
      <c r="I19865" s="1245"/>
    </row>
    <row r="19866" spans="8:9">
      <c r="H19866" s="1245"/>
      <c r="I19866" s="1245"/>
    </row>
    <row r="19867" spans="8:9">
      <c r="H19867" s="1245"/>
      <c r="I19867" s="1245"/>
    </row>
    <row r="19868" spans="8:9">
      <c r="H19868" s="1245"/>
      <c r="I19868" s="1245"/>
    </row>
    <row r="19869" spans="8:9">
      <c r="H19869" s="1245"/>
      <c r="I19869" s="1245"/>
    </row>
    <row r="19870" spans="8:9">
      <c r="H19870" s="1245"/>
      <c r="I19870" s="1245"/>
    </row>
    <row r="19871" spans="8:9">
      <c r="H19871" s="1245"/>
      <c r="I19871" s="1245"/>
    </row>
    <row r="19872" spans="8:9">
      <c r="H19872" s="1245"/>
      <c r="I19872" s="1245"/>
    </row>
    <row r="19873" spans="8:9">
      <c r="H19873" s="1245"/>
      <c r="I19873" s="1245"/>
    </row>
    <row r="19874" spans="8:9">
      <c r="H19874" s="1245"/>
      <c r="I19874" s="1245"/>
    </row>
    <row r="19875" spans="8:9">
      <c r="H19875" s="1245"/>
      <c r="I19875" s="1245"/>
    </row>
    <row r="19876" spans="8:9">
      <c r="H19876" s="1245"/>
      <c r="I19876" s="1245"/>
    </row>
    <row r="19877" spans="8:9">
      <c r="H19877" s="1245"/>
      <c r="I19877" s="1245"/>
    </row>
    <row r="19878" spans="8:9">
      <c r="H19878" s="1245"/>
      <c r="I19878" s="1245"/>
    </row>
    <row r="19879" spans="8:9">
      <c r="H19879" s="1245"/>
      <c r="I19879" s="1245"/>
    </row>
    <row r="19880" spans="8:9">
      <c r="H19880" s="1245"/>
      <c r="I19880" s="1245"/>
    </row>
    <row r="19881" spans="8:9">
      <c r="H19881" s="1245"/>
      <c r="I19881" s="1245"/>
    </row>
    <row r="19882" spans="8:9">
      <c r="H19882" s="1245"/>
      <c r="I19882" s="1245"/>
    </row>
    <row r="19883" spans="8:9">
      <c r="H19883" s="1245"/>
      <c r="I19883" s="1245"/>
    </row>
    <row r="19884" spans="8:9">
      <c r="H19884" s="1245"/>
      <c r="I19884" s="1245"/>
    </row>
    <row r="19885" spans="8:9">
      <c r="H19885" s="1245"/>
      <c r="I19885" s="1245"/>
    </row>
    <row r="19886" spans="8:9">
      <c r="H19886" s="1245"/>
      <c r="I19886" s="1245"/>
    </row>
    <row r="19887" spans="8:9">
      <c r="H19887" s="1245"/>
      <c r="I19887" s="1245"/>
    </row>
    <row r="19888" spans="8:9">
      <c r="H19888" s="1245"/>
      <c r="I19888" s="1245"/>
    </row>
    <row r="19889" spans="8:9">
      <c r="H19889" s="1245"/>
      <c r="I19889" s="1245"/>
    </row>
    <row r="19890" spans="8:9">
      <c r="H19890" s="1245"/>
      <c r="I19890" s="1245"/>
    </row>
    <row r="19891" spans="8:9">
      <c r="H19891" s="1245"/>
      <c r="I19891" s="1245"/>
    </row>
    <row r="19892" spans="8:9">
      <c r="H19892" s="1245"/>
      <c r="I19892" s="1245"/>
    </row>
    <row r="19893" spans="8:9">
      <c r="H19893" s="1245"/>
      <c r="I19893" s="1245"/>
    </row>
    <row r="19894" spans="8:9">
      <c r="H19894" s="1245"/>
      <c r="I19894" s="1245"/>
    </row>
    <row r="19895" spans="8:9">
      <c r="H19895" s="1245"/>
      <c r="I19895" s="1245"/>
    </row>
    <row r="19896" spans="8:9">
      <c r="H19896" s="1245"/>
      <c r="I19896" s="1245"/>
    </row>
    <row r="19897" spans="8:9">
      <c r="H19897" s="1245"/>
      <c r="I19897" s="1245"/>
    </row>
    <row r="19898" spans="8:9">
      <c r="H19898" s="1245"/>
      <c r="I19898" s="1245"/>
    </row>
    <row r="19899" spans="8:9">
      <c r="H19899" s="1245"/>
      <c r="I19899" s="1245"/>
    </row>
    <row r="19900" spans="8:9">
      <c r="H19900" s="1245"/>
      <c r="I19900" s="1245"/>
    </row>
    <row r="19901" spans="8:9">
      <c r="H19901" s="1245"/>
      <c r="I19901" s="1245"/>
    </row>
    <row r="19902" spans="8:9">
      <c r="H19902" s="1245"/>
      <c r="I19902" s="1245"/>
    </row>
    <row r="19903" spans="8:9">
      <c r="H19903" s="1245"/>
      <c r="I19903" s="1245"/>
    </row>
    <row r="19904" spans="8:9">
      <c r="H19904" s="1245"/>
      <c r="I19904" s="1245"/>
    </row>
    <row r="19905" spans="8:9">
      <c r="H19905" s="1245"/>
      <c r="I19905" s="1245"/>
    </row>
    <row r="19906" spans="8:9">
      <c r="H19906" s="1245"/>
      <c r="I19906" s="1245"/>
    </row>
    <row r="19907" spans="8:9">
      <c r="H19907" s="1245"/>
      <c r="I19907" s="1245"/>
    </row>
    <row r="19908" spans="8:9">
      <c r="H19908" s="1245"/>
      <c r="I19908" s="1245"/>
    </row>
    <row r="19909" spans="8:9">
      <c r="H19909" s="1245"/>
      <c r="I19909" s="1245"/>
    </row>
    <row r="19910" spans="8:9">
      <c r="H19910" s="1245"/>
      <c r="I19910" s="1245"/>
    </row>
    <row r="19911" spans="8:9">
      <c r="H19911" s="1245"/>
      <c r="I19911" s="1245"/>
    </row>
    <row r="19912" spans="8:9">
      <c r="H19912" s="1245"/>
      <c r="I19912" s="1245"/>
    </row>
    <row r="19913" spans="8:9">
      <c r="H19913" s="1245"/>
      <c r="I19913" s="1245"/>
    </row>
    <row r="19914" spans="8:9">
      <c r="H19914" s="1245"/>
      <c r="I19914" s="1245"/>
    </row>
    <row r="19915" spans="8:9">
      <c r="H19915" s="1245"/>
      <c r="I19915" s="1245"/>
    </row>
    <row r="19916" spans="8:9">
      <c r="H19916" s="1245"/>
      <c r="I19916" s="1245"/>
    </row>
    <row r="19917" spans="8:9">
      <c r="H19917" s="1245"/>
      <c r="I19917" s="1245"/>
    </row>
    <row r="19918" spans="8:9">
      <c r="H19918" s="1245"/>
      <c r="I19918" s="1245"/>
    </row>
    <row r="19919" spans="8:9">
      <c r="H19919" s="1245"/>
      <c r="I19919" s="1245"/>
    </row>
    <row r="19920" spans="8:9">
      <c r="H19920" s="1245"/>
      <c r="I19920" s="1245"/>
    </row>
    <row r="19921" spans="8:9">
      <c r="H19921" s="1245"/>
      <c r="I19921" s="1245"/>
    </row>
    <row r="19922" spans="8:9">
      <c r="H19922" s="1245"/>
      <c r="I19922" s="1245"/>
    </row>
    <row r="19923" spans="8:9">
      <c r="H19923" s="1245"/>
      <c r="I19923" s="1245"/>
    </row>
    <row r="19924" spans="8:9">
      <c r="H19924" s="1245"/>
      <c r="I19924" s="1245"/>
    </row>
    <row r="19925" spans="8:9">
      <c r="H19925" s="1245"/>
      <c r="I19925" s="1245"/>
    </row>
    <row r="19926" spans="8:9">
      <c r="H19926" s="1245"/>
      <c r="I19926" s="1245"/>
    </row>
    <row r="19927" spans="8:9">
      <c r="H19927" s="1245"/>
      <c r="I19927" s="1245"/>
    </row>
    <row r="19928" spans="8:9">
      <c r="H19928" s="1245"/>
      <c r="I19928" s="1245"/>
    </row>
    <row r="19929" spans="8:9">
      <c r="H19929" s="1245"/>
      <c r="I19929" s="1245"/>
    </row>
    <row r="19930" spans="8:9">
      <c r="H19930" s="1245"/>
      <c r="I19930" s="1245"/>
    </row>
    <row r="19931" spans="8:9">
      <c r="H19931" s="1245"/>
      <c r="I19931" s="1245"/>
    </row>
    <row r="19932" spans="8:9">
      <c r="H19932" s="1245"/>
      <c r="I19932" s="1245"/>
    </row>
    <row r="19933" spans="8:9">
      <c r="H19933" s="1245"/>
      <c r="I19933" s="1245"/>
    </row>
    <row r="19934" spans="8:9">
      <c r="H19934" s="1245"/>
      <c r="I19934" s="1245"/>
    </row>
    <row r="19935" spans="8:9">
      <c r="H19935" s="1245"/>
      <c r="I19935" s="1245"/>
    </row>
    <row r="19936" spans="8:9">
      <c r="H19936" s="1245"/>
      <c r="I19936" s="1245"/>
    </row>
    <row r="19937" spans="8:9">
      <c r="H19937" s="1245"/>
      <c r="I19937" s="1245"/>
    </row>
    <row r="19938" spans="8:9">
      <c r="H19938" s="1245"/>
      <c r="I19938" s="1245"/>
    </row>
    <row r="19939" spans="8:9">
      <c r="H19939" s="1245"/>
      <c r="I19939" s="1245"/>
    </row>
    <row r="19940" spans="8:9">
      <c r="H19940" s="1245"/>
      <c r="I19940" s="1245"/>
    </row>
    <row r="19941" spans="8:9">
      <c r="H19941" s="1245"/>
      <c r="I19941" s="1245"/>
    </row>
    <row r="19942" spans="8:9">
      <c r="H19942" s="1245"/>
      <c r="I19942" s="1245"/>
    </row>
    <row r="19943" spans="8:9">
      <c r="H19943" s="1245"/>
      <c r="I19943" s="1245"/>
    </row>
    <row r="19944" spans="8:9">
      <c r="H19944" s="1245"/>
      <c r="I19944" s="1245"/>
    </row>
    <row r="19945" spans="8:9">
      <c r="H19945" s="1245"/>
      <c r="I19945" s="1245"/>
    </row>
    <row r="19946" spans="8:9">
      <c r="H19946" s="1245"/>
      <c r="I19946" s="1245"/>
    </row>
    <row r="19947" spans="8:9">
      <c r="H19947" s="1245"/>
      <c r="I19947" s="1245"/>
    </row>
    <row r="19948" spans="8:9">
      <c r="H19948" s="1245"/>
      <c r="I19948" s="1245"/>
    </row>
    <row r="19949" spans="8:9">
      <c r="H19949" s="1245"/>
      <c r="I19949" s="1245"/>
    </row>
    <row r="19950" spans="8:9">
      <c r="H19950" s="1245"/>
      <c r="I19950" s="1245"/>
    </row>
    <row r="19951" spans="8:9">
      <c r="H19951" s="1245"/>
      <c r="I19951" s="1245"/>
    </row>
    <row r="19952" spans="8:9">
      <c r="H19952" s="1245"/>
      <c r="I19952" s="1245"/>
    </row>
    <row r="19953" spans="8:9">
      <c r="H19953" s="1245"/>
      <c r="I19953" s="1245"/>
    </row>
    <row r="19954" spans="8:9">
      <c r="H19954" s="1245"/>
      <c r="I19954" s="1245"/>
    </row>
    <row r="19955" spans="8:9">
      <c r="H19955" s="1245"/>
      <c r="I19955" s="1245"/>
    </row>
    <row r="19956" spans="8:9">
      <c r="H19956" s="1245"/>
      <c r="I19956" s="1245"/>
    </row>
    <row r="19957" spans="8:9">
      <c r="H19957" s="1245"/>
      <c r="I19957" s="1245"/>
    </row>
    <row r="19958" spans="8:9">
      <c r="H19958" s="1245"/>
      <c r="I19958" s="1245"/>
    </row>
    <row r="19959" spans="8:9">
      <c r="H19959" s="1245"/>
      <c r="I19959" s="1245"/>
    </row>
    <row r="19960" spans="8:9">
      <c r="H19960" s="1245"/>
      <c r="I19960" s="1245"/>
    </row>
    <row r="19961" spans="8:9">
      <c r="H19961" s="1245"/>
      <c r="I19961" s="1245"/>
    </row>
    <row r="19962" spans="8:9">
      <c r="H19962" s="1245"/>
      <c r="I19962" s="1245"/>
    </row>
    <row r="19963" spans="8:9">
      <c r="H19963" s="1245"/>
      <c r="I19963" s="1245"/>
    </row>
    <row r="19964" spans="8:9">
      <c r="H19964" s="1245"/>
      <c r="I19964" s="1245"/>
    </row>
    <row r="19965" spans="8:9">
      <c r="H19965" s="1245"/>
      <c r="I19965" s="1245"/>
    </row>
    <row r="19966" spans="8:9">
      <c r="H19966" s="1245"/>
      <c r="I19966" s="1245"/>
    </row>
    <row r="19967" spans="8:9">
      <c r="H19967" s="1245"/>
      <c r="I19967" s="1245"/>
    </row>
    <row r="19968" spans="8:9">
      <c r="H19968" s="1245"/>
      <c r="I19968" s="1245"/>
    </row>
    <row r="19969" spans="8:9">
      <c r="H19969" s="1245"/>
      <c r="I19969" s="1245"/>
    </row>
    <row r="19970" spans="8:9">
      <c r="H19970" s="1245"/>
      <c r="I19970" s="1245"/>
    </row>
    <row r="19971" spans="8:9">
      <c r="H19971" s="1245"/>
      <c r="I19971" s="1245"/>
    </row>
    <row r="19972" spans="8:9">
      <c r="H19972" s="1245"/>
      <c r="I19972" s="1245"/>
    </row>
    <row r="19973" spans="8:9">
      <c r="H19973" s="1245"/>
      <c r="I19973" s="1245"/>
    </row>
    <row r="19974" spans="8:9">
      <c r="H19974" s="1245"/>
      <c r="I19974" s="1245"/>
    </row>
    <row r="19975" spans="8:9">
      <c r="H19975" s="1245"/>
      <c r="I19975" s="1245"/>
    </row>
    <row r="19976" spans="8:9">
      <c r="H19976" s="1245"/>
      <c r="I19976" s="1245"/>
    </row>
    <row r="19977" spans="8:9">
      <c r="H19977" s="1245"/>
      <c r="I19977" s="1245"/>
    </row>
    <row r="19978" spans="8:9">
      <c r="H19978" s="1245"/>
      <c r="I19978" s="1245"/>
    </row>
    <row r="19979" spans="8:9">
      <c r="H19979" s="1245"/>
      <c r="I19979" s="1245"/>
    </row>
    <row r="19980" spans="8:9">
      <c r="H19980" s="1245"/>
      <c r="I19980" s="1245"/>
    </row>
    <row r="19981" spans="8:9">
      <c r="H19981" s="1245"/>
      <c r="I19981" s="1245"/>
    </row>
    <row r="19982" spans="8:9">
      <c r="H19982" s="1245"/>
      <c r="I19982" s="1245"/>
    </row>
    <row r="19983" spans="8:9">
      <c r="H19983" s="1245"/>
      <c r="I19983" s="1245"/>
    </row>
    <row r="19984" spans="8:9">
      <c r="H19984" s="1245"/>
      <c r="I19984" s="1245"/>
    </row>
    <row r="19985" spans="8:9">
      <c r="H19985" s="1245"/>
      <c r="I19985" s="1245"/>
    </row>
    <row r="19986" spans="8:9">
      <c r="H19986" s="1245"/>
      <c r="I19986" s="1245"/>
    </row>
    <row r="19987" spans="8:9">
      <c r="H19987" s="1245"/>
      <c r="I19987" s="1245"/>
    </row>
    <row r="19988" spans="8:9">
      <c r="H19988" s="1245"/>
      <c r="I19988" s="1245"/>
    </row>
    <row r="19989" spans="8:9">
      <c r="H19989" s="1245"/>
      <c r="I19989" s="1245"/>
    </row>
    <row r="19990" spans="8:9">
      <c r="H19990" s="1245"/>
      <c r="I19990" s="1245"/>
    </row>
    <row r="19991" spans="8:9">
      <c r="H19991" s="1245"/>
      <c r="I19991" s="1245"/>
    </row>
    <row r="19992" spans="8:9">
      <c r="H19992" s="1245"/>
      <c r="I19992" s="1245"/>
    </row>
    <row r="19993" spans="8:9">
      <c r="H19993" s="1245"/>
      <c r="I19993" s="1245"/>
    </row>
    <row r="19994" spans="8:9">
      <c r="H19994" s="1245"/>
      <c r="I19994" s="1245"/>
    </row>
    <row r="19995" spans="8:9">
      <c r="H19995" s="1245"/>
      <c r="I19995" s="1245"/>
    </row>
    <row r="19996" spans="8:9">
      <c r="H19996" s="1245"/>
      <c r="I19996" s="1245"/>
    </row>
    <row r="19997" spans="8:9">
      <c r="H19997" s="1245"/>
      <c r="I19997" s="1245"/>
    </row>
    <row r="19998" spans="8:9">
      <c r="H19998" s="1245"/>
      <c r="I19998" s="1245"/>
    </row>
    <row r="19999" spans="8:9">
      <c r="H19999" s="1245"/>
      <c r="I19999" s="1245"/>
    </row>
    <row r="20000" spans="8:9">
      <c r="H20000" s="1245"/>
      <c r="I20000" s="1245"/>
    </row>
    <row r="20001" spans="8:9">
      <c r="H20001" s="1245"/>
      <c r="I20001" s="1245"/>
    </row>
    <row r="20002" spans="8:9">
      <c r="H20002" s="1245"/>
      <c r="I20002" s="1245"/>
    </row>
    <row r="20003" spans="8:9">
      <c r="H20003" s="1245"/>
      <c r="I20003" s="1245"/>
    </row>
    <row r="20004" spans="8:9">
      <c r="H20004" s="1245"/>
      <c r="I20004" s="1245"/>
    </row>
    <row r="20005" spans="8:9">
      <c r="H20005" s="1245"/>
      <c r="I20005" s="1245"/>
    </row>
    <row r="20006" spans="8:9">
      <c r="H20006" s="1245"/>
      <c r="I20006" s="1245"/>
    </row>
    <row r="20007" spans="8:9">
      <c r="H20007" s="1245"/>
      <c r="I20007" s="1245"/>
    </row>
    <row r="20008" spans="8:9">
      <c r="H20008" s="1245"/>
      <c r="I20008" s="1245"/>
    </row>
    <row r="20009" spans="8:9">
      <c r="H20009" s="1245"/>
      <c r="I20009" s="1245"/>
    </row>
    <row r="20010" spans="8:9">
      <c r="H20010" s="1245"/>
      <c r="I20010" s="1245"/>
    </row>
    <row r="20011" spans="8:9">
      <c r="H20011" s="1245"/>
      <c r="I20011" s="1245"/>
    </row>
    <row r="20012" spans="8:9">
      <c r="H20012" s="1245"/>
      <c r="I20012" s="1245"/>
    </row>
    <row r="20013" spans="8:9">
      <c r="H20013" s="1245"/>
      <c r="I20013" s="1245"/>
    </row>
    <row r="20014" spans="8:9">
      <c r="H20014" s="1245"/>
      <c r="I20014" s="1245"/>
    </row>
    <row r="20015" spans="8:9">
      <c r="H20015" s="1245"/>
      <c r="I20015" s="1245"/>
    </row>
    <row r="20016" spans="8:9">
      <c r="H20016" s="1245"/>
      <c r="I20016" s="1245"/>
    </row>
    <row r="20017" spans="8:9">
      <c r="H20017" s="1245"/>
      <c r="I20017" s="1245"/>
    </row>
    <row r="20018" spans="8:9">
      <c r="H20018" s="1245"/>
      <c r="I20018" s="1245"/>
    </row>
    <row r="20019" spans="8:9">
      <c r="H20019" s="1245"/>
      <c r="I20019" s="1245"/>
    </row>
    <row r="20020" spans="8:9">
      <c r="H20020" s="1245"/>
      <c r="I20020" s="1245"/>
    </row>
    <row r="20021" spans="8:9">
      <c r="H20021" s="1245"/>
      <c r="I20021" s="1245"/>
    </row>
    <row r="20022" spans="8:9">
      <c r="H20022" s="1245"/>
      <c r="I20022" s="1245"/>
    </row>
    <row r="20023" spans="8:9">
      <c r="H20023" s="1245"/>
      <c r="I20023" s="1245"/>
    </row>
    <row r="20024" spans="8:9">
      <c r="H20024" s="1245"/>
      <c r="I20024" s="1245"/>
    </row>
    <row r="20025" spans="8:9">
      <c r="H20025" s="1245"/>
      <c r="I20025" s="1245"/>
    </row>
    <row r="20026" spans="8:9">
      <c r="H20026" s="1245"/>
      <c r="I20026" s="1245"/>
    </row>
    <row r="20027" spans="8:9">
      <c r="H20027" s="1245"/>
      <c r="I20027" s="1245"/>
    </row>
    <row r="20028" spans="8:9">
      <c r="H20028" s="1245"/>
      <c r="I20028" s="1245"/>
    </row>
    <row r="20029" spans="8:9">
      <c r="H20029" s="1245"/>
      <c r="I20029" s="1245"/>
    </row>
    <row r="20030" spans="8:9">
      <c r="H20030" s="1245"/>
      <c r="I20030" s="1245"/>
    </row>
    <row r="20031" spans="8:9">
      <c r="H20031" s="1245"/>
      <c r="I20031" s="1245"/>
    </row>
    <row r="20032" spans="8:9">
      <c r="H20032" s="1245"/>
      <c r="I20032" s="1245"/>
    </row>
    <row r="20033" spans="8:9">
      <c r="H20033" s="1245"/>
      <c r="I20033" s="1245"/>
    </row>
    <row r="20034" spans="8:9">
      <c r="H20034" s="1245"/>
      <c r="I20034" s="1245"/>
    </row>
    <row r="20035" spans="8:9">
      <c r="H20035" s="1245"/>
      <c r="I20035" s="1245"/>
    </row>
    <row r="20036" spans="8:9">
      <c r="H20036" s="1245"/>
      <c r="I20036" s="1245"/>
    </row>
    <row r="20037" spans="8:9">
      <c r="H20037" s="1245"/>
      <c r="I20037" s="1245"/>
    </row>
    <row r="20038" spans="8:9">
      <c r="H20038" s="1245"/>
      <c r="I20038" s="1245"/>
    </row>
    <row r="20039" spans="8:9">
      <c r="H20039" s="1245"/>
      <c r="I20039" s="1245"/>
    </row>
    <row r="20040" spans="8:9">
      <c r="H20040" s="1245"/>
      <c r="I20040" s="1245"/>
    </row>
    <row r="20041" spans="8:9">
      <c r="H20041" s="1245"/>
      <c r="I20041" s="1245"/>
    </row>
    <row r="20042" spans="8:9">
      <c r="H20042" s="1245"/>
      <c r="I20042" s="1245"/>
    </row>
    <row r="20043" spans="8:9">
      <c r="H20043" s="1245"/>
      <c r="I20043" s="1245"/>
    </row>
    <row r="20044" spans="8:9">
      <c r="H20044" s="1245"/>
      <c r="I20044" s="1245"/>
    </row>
    <row r="20045" spans="8:9">
      <c r="H20045" s="1245"/>
      <c r="I20045" s="1245"/>
    </row>
    <row r="20046" spans="8:9">
      <c r="H20046" s="1245"/>
      <c r="I20046" s="1245"/>
    </row>
    <row r="20047" spans="8:9">
      <c r="H20047" s="1245"/>
      <c r="I20047" s="1245"/>
    </row>
    <row r="20048" spans="8:9">
      <c r="H20048" s="1245"/>
      <c r="I20048" s="1245"/>
    </row>
    <row r="20049" spans="8:9">
      <c r="H20049" s="1245"/>
      <c r="I20049" s="1245"/>
    </row>
    <row r="20050" spans="8:9">
      <c r="H20050" s="1245"/>
      <c r="I20050" s="1245"/>
    </row>
    <row r="20051" spans="8:9">
      <c r="H20051" s="1245"/>
      <c r="I20051" s="1245"/>
    </row>
    <row r="20052" spans="8:9">
      <c r="H20052" s="1245"/>
      <c r="I20052" s="1245"/>
    </row>
    <row r="20053" spans="8:9">
      <c r="H20053" s="1245"/>
      <c r="I20053" s="1245"/>
    </row>
    <row r="20054" spans="8:9">
      <c r="H20054" s="1245"/>
      <c r="I20054" s="1245"/>
    </row>
    <row r="20055" spans="8:9">
      <c r="H20055" s="1245"/>
      <c r="I20055" s="1245"/>
    </row>
    <row r="20056" spans="8:9">
      <c r="H20056" s="1245"/>
      <c r="I20056" s="1245"/>
    </row>
    <row r="20057" spans="8:9">
      <c r="H20057" s="1245"/>
      <c r="I20057" s="1245"/>
    </row>
    <row r="20058" spans="8:9">
      <c r="H20058" s="1245"/>
      <c r="I20058" s="1245"/>
    </row>
    <row r="20059" spans="8:9">
      <c r="H20059" s="1245"/>
      <c r="I20059" s="1245"/>
    </row>
    <row r="20060" spans="8:9">
      <c r="H20060" s="1245"/>
      <c r="I20060" s="1245"/>
    </row>
    <row r="20061" spans="8:9">
      <c r="H20061" s="1245"/>
      <c r="I20061" s="1245"/>
    </row>
    <row r="20062" spans="8:9">
      <c r="H20062" s="1245"/>
      <c r="I20062" s="1245"/>
    </row>
    <row r="20063" spans="8:9">
      <c r="H20063" s="1245"/>
      <c r="I20063" s="1245"/>
    </row>
    <row r="20064" spans="8:9">
      <c r="H20064" s="1245"/>
      <c r="I20064" s="1245"/>
    </row>
    <row r="20065" spans="8:9">
      <c r="H20065" s="1245"/>
      <c r="I20065" s="1245"/>
    </row>
    <row r="20066" spans="8:9">
      <c r="H20066" s="1245"/>
      <c r="I20066" s="1245"/>
    </row>
    <row r="20067" spans="8:9">
      <c r="H20067" s="1245"/>
      <c r="I20067" s="1245"/>
    </row>
    <row r="20068" spans="8:9">
      <c r="H20068" s="1245"/>
      <c r="I20068" s="1245"/>
    </row>
    <row r="20069" spans="8:9">
      <c r="H20069" s="1245"/>
      <c r="I20069" s="1245"/>
    </row>
    <row r="20070" spans="8:9">
      <c r="H20070" s="1245"/>
      <c r="I20070" s="1245"/>
    </row>
    <row r="20071" spans="8:9">
      <c r="H20071" s="1245"/>
      <c r="I20071" s="1245"/>
    </row>
    <row r="20072" spans="8:9">
      <c r="H20072" s="1245"/>
      <c r="I20072" s="1245"/>
    </row>
    <row r="20073" spans="8:9">
      <c r="H20073" s="1245"/>
      <c r="I20073" s="1245"/>
    </row>
    <row r="20074" spans="8:9">
      <c r="H20074" s="1245"/>
      <c r="I20074" s="1245"/>
    </row>
    <row r="20075" spans="8:9">
      <c r="H20075" s="1245"/>
      <c r="I20075" s="1245"/>
    </row>
    <row r="20076" spans="8:9">
      <c r="H20076" s="1245"/>
      <c r="I20076" s="1245"/>
    </row>
    <row r="20077" spans="8:9">
      <c r="H20077" s="1245"/>
      <c r="I20077" s="1245"/>
    </row>
    <row r="20078" spans="8:9">
      <c r="H20078" s="1245"/>
      <c r="I20078" s="1245"/>
    </row>
    <row r="20079" spans="8:9">
      <c r="H20079" s="1245"/>
      <c r="I20079" s="1245"/>
    </row>
    <row r="20080" spans="8:9">
      <c r="H20080" s="1245"/>
      <c r="I20080" s="1245"/>
    </row>
    <row r="20081" spans="8:9">
      <c r="H20081" s="1245"/>
      <c r="I20081" s="1245"/>
    </row>
    <row r="20082" spans="8:9">
      <c r="H20082" s="1245"/>
      <c r="I20082" s="1245"/>
    </row>
    <row r="20083" spans="8:9">
      <c r="H20083" s="1245"/>
      <c r="I20083" s="1245"/>
    </row>
    <row r="20084" spans="8:9">
      <c r="H20084" s="1245"/>
      <c r="I20084" s="1245"/>
    </row>
    <row r="20085" spans="8:9">
      <c r="H20085" s="1245"/>
      <c r="I20085" s="1245"/>
    </row>
    <row r="20086" spans="8:9">
      <c r="H20086" s="1245"/>
      <c r="I20086" s="1245"/>
    </row>
    <row r="20087" spans="8:9">
      <c r="H20087" s="1245"/>
      <c r="I20087" s="1245"/>
    </row>
    <row r="20088" spans="8:9">
      <c r="H20088" s="1245"/>
      <c r="I20088" s="1245"/>
    </row>
    <row r="20089" spans="8:9">
      <c r="H20089" s="1245"/>
      <c r="I20089" s="1245"/>
    </row>
    <row r="20090" spans="8:9">
      <c r="H20090" s="1245"/>
      <c r="I20090" s="1245"/>
    </row>
    <row r="20091" spans="8:9">
      <c r="H20091" s="1245"/>
      <c r="I20091" s="1245"/>
    </row>
    <row r="20092" spans="8:9">
      <c r="H20092" s="1245"/>
      <c r="I20092" s="1245"/>
    </row>
    <row r="20093" spans="8:9">
      <c r="H20093" s="1245"/>
      <c r="I20093" s="1245"/>
    </row>
    <row r="20094" spans="8:9">
      <c r="H20094" s="1245"/>
      <c r="I20094" s="1245"/>
    </row>
    <row r="20095" spans="8:9">
      <c r="H20095" s="1245"/>
      <c r="I20095" s="1245"/>
    </row>
    <row r="20096" spans="8:9">
      <c r="H20096" s="1245"/>
      <c r="I20096" s="1245"/>
    </row>
    <row r="20097" spans="8:9">
      <c r="H20097" s="1245"/>
      <c r="I20097" s="1245"/>
    </row>
    <row r="20098" spans="8:9">
      <c r="H20098" s="1245"/>
      <c r="I20098" s="1245"/>
    </row>
    <row r="20099" spans="8:9">
      <c r="H20099" s="1245"/>
      <c r="I20099" s="1245"/>
    </row>
    <row r="20100" spans="8:9">
      <c r="H20100" s="1245"/>
      <c r="I20100" s="1245"/>
    </row>
    <row r="20101" spans="8:9">
      <c r="H20101" s="1245"/>
      <c r="I20101" s="1245"/>
    </row>
    <row r="20102" spans="8:9">
      <c r="H20102" s="1245"/>
      <c r="I20102" s="1245"/>
    </row>
    <row r="20103" spans="8:9">
      <c r="H20103" s="1245"/>
      <c r="I20103" s="1245"/>
    </row>
    <row r="20104" spans="8:9">
      <c r="H20104" s="1245"/>
      <c r="I20104" s="1245"/>
    </row>
    <row r="20105" spans="8:9">
      <c r="H20105" s="1245"/>
      <c r="I20105" s="1245"/>
    </row>
    <row r="20106" spans="8:9">
      <c r="H20106" s="1245"/>
      <c r="I20106" s="1245"/>
    </row>
    <row r="20107" spans="8:9">
      <c r="H20107" s="1245"/>
      <c r="I20107" s="1245"/>
    </row>
    <row r="20108" spans="8:9">
      <c r="H20108" s="1245"/>
      <c r="I20108" s="1245"/>
    </row>
    <row r="20109" spans="8:9">
      <c r="H20109" s="1245"/>
      <c r="I20109" s="1245"/>
    </row>
    <row r="20110" spans="8:9">
      <c r="H20110" s="1245"/>
      <c r="I20110" s="1245"/>
    </row>
    <row r="20111" spans="8:9">
      <c r="H20111" s="1245"/>
      <c r="I20111" s="1245"/>
    </row>
    <row r="20112" spans="8:9">
      <c r="H20112" s="1245"/>
      <c r="I20112" s="1245"/>
    </row>
    <row r="20113" spans="8:9">
      <c r="H20113" s="1245"/>
      <c r="I20113" s="1245"/>
    </row>
    <row r="20114" spans="8:9">
      <c r="H20114" s="1245"/>
      <c r="I20114" s="1245"/>
    </row>
    <row r="20115" spans="8:9">
      <c r="H20115" s="1245"/>
      <c r="I20115" s="1245"/>
    </row>
    <row r="20116" spans="8:9">
      <c r="H20116" s="1245"/>
      <c r="I20116" s="1245"/>
    </row>
    <row r="20117" spans="8:9">
      <c r="H20117" s="1245"/>
      <c r="I20117" s="1245"/>
    </row>
    <row r="20118" spans="8:9">
      <c r="H20118" s="1245"/>
      <c r="I20118" s="1245"/>
    </row>
    <row r="20119" spans="8:9">
      <c r="H20119" s="1245"/>
      <c r="I20119" s="1245"/>
    </row>
    <row r="20120" spans="8:9">
      <c r="H20120" s="1245"/>
      <c r="I20120" s="1245"/>
    </row>
    <row r="20121" spans="8:9">
      <c r="H20121" s="1245"/>
      <c r="I20121" s="1245"/>
    </row>
    <row r="20122" spans="8:9">
      <c r="H20122" s="1245"/>
      <c r="I20122" s="1245"/>
    </row>
    <row r="20123" spans="8:9">
      <c r="H20123" s="1245"/>
      <c r="I20123" s="1245"/>
    </row>
    <row r="20124" spans="8:9">
      <c r="H20124" s="1245"/>
      <c r="I20124" s="1245"/>
    </row>
    <row r="20125" spans="8:9">
      <c r="H20125" s="1245"/>
      <c r="I20125" s="1245"/>
    </row>
    <row r="20126" spans="8:9">
      <c r="H20126" s="1245"/>
      <c r="I20126" s="1245"/>
    </row>
    <row r="20127" spans="8:9">
      <c r="H20127" s="1245"/>
      <c r="I20127" s="1245"/>
    </row>
    <row r="20128" spans="8:9">
      <c r="H20128" s="1245"/>
      <c r="I20128" s="1245"/>
    </row>
    <row r="20129" spans="8:9">
      <c r="H20129" s="1245"/>
      <c r="I20129" s="1245"/>
    </row>
    <row r="20130" spans="8:9">
      <c r="H20130" s="1245"/>
      <c r="I20130" s="1245"/>
    </row>
    <row r="20131" spans="8:9">
      <c r="H20131" s="1245"/>
      <c r="I20131" s="1245"/>
    </row>
    <row r="20132" spans="8:9">
      <c r="H20132" s="1245"/>
      <c r="I20132" s="1245"/>
    </row>
    <row r="20133" spans="8:9">
      <c r="H20133" s="1245"/>
      <c r="I20133" s="1245"/>
    </row>
    <row r="20134" spans="8:9">
      <c r="H20134" s="1245"/>
      <c r="I20134" s="1245"/>
    </row>
    <row r="20135" spans="8:9">
      <c r="H20135" s="1245"/>
      <c r="I20135" s="1245"/>
    </row>
    <row r="20136" spans="8:9">
      <c r="H20136" s="1245"/>
      <c r="I20136" s="1245"/>
    </row>
    <row r="20137" spans="8:9">
      <c r="H20137" s="1245"/>
      <c r="I20137" s="1245"/>
    </row>
    <row r="20138" spans="8:9">
      <c r="H20138" s="1245"/>
      <c r="I20138" s="1245"/>
    </row>
    <row r="20139" spans="8:9">
      <c r="H20139" s="1245"/>
      <c r="I20139" s="1245"/>
    </row>
    <row r="20140" spans="8:9">
      <c r="H20140" s="1245"/>
      <c r="I20140" s="1245"/>
    </row>
    <row r="20141" spans="8:9">
      <c r="H20141" s="1245"/>
      <c r="I20141" s="1245"/>
    </row>
    <row r="20142" spans="8:9">
      <c r="H20142" s="1245"/>
      <c r="I20142" s="1245"/>
    </row>
    <row r="20143" spans="8:9">
      <c r="H20143" s="1245"/>
      <c r="I20143" s="1245"/>
    </row>
    <row r="20144" spans="8:9">
      <c r="H20144" s="1245"/>
      <c r="I20144" s="1245"/>
    </row>
    <row r="20145" spans="8:9">
      <c r="H20145" s="1245"/>
      <c r="I20145" s="1245"/>
    </row>
    <row r="20146" spans="8:9">
      <c r="H20146" s="1245"/>
      <c r="I20146" s="1245"/>
    </row>
    <row r="20147" spans="8:9">
      <c r="H20147" s="1245"/>
      <c r="I20147" s="1245"/>
    </row>
    <row r="20148" spans="8:9">
      <c r="H20148" s="1245"/>
      <c r="I20148" s="1245"/>
    </row>
    <row r="20149" spans="8:9">
      <c r="H20149" s="1245"/>
      <c r="I20149" s="1245"/>
    </row>
    <row r="20150" spans="8:9">
      <c r="H20150" s="1245"/>
      <c r="I20150" s="1245"/>
    </row>
    <row r="20151" spans="8:9">
      <c r="H20151" s="1245"/>
      <c r="I20151" s="1245"/>
    </row>
    <row r="20152" spans="8:9">
      <c r="H20152" s="1245"/>
      <c r="I20152" s="1245"/>
    </row>
    <row r="20153" spans="8:9">
      <c r="H20153" s="1245"/>
      <c r="I20153" s="1245"/>
    </row>
    <row r="20154" spans="8:9">
      <c r="H20154" s="1245"/>
      <c r="I20154" s="1245"/>
    </row>
    <row r="20155" spans="8:9">
      <c r="H20155" s="1245"/>
      <c r="I20155" s="1245"/>
    </row>
    <row r="20156" spans="8:9">
      <c r="H20156" s="1245"/>
      <c r="I20156" s="1245"/>
    </row>
    <row r="20157" spans="8:9">
      <c r="H20157" s="1245"/>
      <c r="I20157" s="1245"/>
    </row>
    <row r="20158" spans="8:9">
      <c r="H20158" s="1245"/>
      <c r="I20158" s="1245"/>
    </row>
    <row r="20159" spans="8:9">
      <c r="H20159" s="1245"/>
      <c r="I20159" s="1245"/>
    </row>
    <row r="20160" spans="8:9">
      <c r="H20160" s="1245"/>
      <c r="I20160" s="1245"/>
    </row>
    <row r="20161" spans="8:9">
      <c r="H20161" s="1245"/>
      <c r="I20161" s="1245"/>
    </row>
    <row r="20162" spans="8:9">
      <c r="H20162" s="1245"/>
      <c r="I20162" s="1245"/>
    </row>
    <row r="20163" spans="8:9">
      <c r="H20163" s="1245"/>
      <c r="I20163" s="1245"/>
    </row>
    <row r="20164" spans="8:9">
      <c r="H20164" s="1245"/>
      <c r="I20164" s="1245"/>
    </row>
    <row r="20165" spans="8:9">
      <c r="H20165" s="1245"/>
      <c r="I20165" s="1245"/>
    </row>
    <row r="20166" spans="8:9">
      <c r="H20166" s="1245"/>
      <c r="I20166" s="1245"/>
    </row>
    <row r="20167" spans="8:9">
      <c r="H20167" s="1245"/>
      <c r="I20167" s="1245"/>
    </row>
    <row r="20168" spans="8:9">
      <c r="H20168" s="1245"/>
      <c r="I20168" s="1245"/>
    </row>
    <row r="20169" spans="8:9">
      <c r="H20169" s="1245"/>
      <c r="I20169" s="1245"/>
    </row>
    <row r="20170" spans="8:9">
      <c r="H20170" s="1245"/>
      <c r="I20170" s="1245"/>
    </row>
    <row r="20171" spans="8:9">
      <c r="H20171" s="1245"/>
      <c r="I20171" s="1245"/>
    </row>
    <row r="20172" spans="8:9">
      <c r="H20172" s="1245"/>
      <c r="I20172" s="1245"/>
    </row>
    <row r="20173" spans="8:9">
      <c r="H20173" s="1245"/>
      <c r="I20173" s="1245"/>
    </row>
    <row r="20174" spans="8:9">
      <c r="H20174" s="1245"/>
      <c r="I20174" s="1245"/>
    </row>
    <row r="20175" spans="8:9">
      <c r="H20175" s="1245"/>
      <c r="I20175" s="1245"/>
    </row>
    <row r="20176" spans="8:9">
      <c r="H20176" s="1245"/>
      <c r="I20176" s="1245"/>
    </row>
    <row r="20177" spans="8:9">
      <c r="H20177" s="1245"/>
      <c r="I20177" s="1245"/>
    </row>
    <row r="20178" spans="8:9">
      <c r="H20178" s="1245"/>
      <c r="I20178" s="1245"/>
    </row>
    <row r="20179" spans="8:9">
      <c r="H20179" s="1245"/>
      <c r="I20179" s="1245"/>
    </row>
    <row r="20180" spans="8:9">
      <c r="H20180" s="1245"/>
      <c r="I20180" s="1245"/>
    </row>
    <row r="20181" spans="8:9">
      <c r="H20181" s="1245"/>
      <c r="I20181" s="1245"/>
    </row>
    <row r="20182" spans="8:9">
      <c r="H20182" s="1245"/>
      <c r="I20182" s="1245"/>
    </row>
    <row r="20183" spans="8:9">
      <c r="H20183" s="1245"/>
      <c r="I20183" s="1245"/>
    </row>
    <row r="20184" spans="8:9">
      <c r="H20184" s="1245"/>
      <c r="I20184" s="1245"/>
    </row>
    <row r="20185" spans="8:9">
      <c r="H20185" s="1245"/>
      <c r="I20185" s="1245"/>
    </row>
    <row r="20186" spans="8:9">
      <c r="H20186" s="1245"/>
      <c r="I20186" s="1245"/>
    </row>
    <row r="20187" spans="8:9">
      <c r="H20187" s="1245"/>
      <c r="I20187" s="1245"/>
    </row>
    <row r="20188" spans="8:9">
      <c r="H20188" s="1245"/>
      <c r="I20188" s="1245"/>
    </row>
    <row r="20189" spans="8:9">
      <c r="H20189" s="1245"/>
      <c r="I20189" s="1245"/>
    </row>
    <row r="20190" spans="8:9">
      <c r="H20190" s="1245"/>
      <c r="I20190" s="1245"/>
    </row>
    <row r="20191" spans="8:9">
      <c r="H20191" s="1245"/>
      <c r="I20191" s="1245"/>
    </row>
    <row r="20192" spans="8:9">
      <c r="H20192" s="1245"/>
      <c r="I20192" s="1245"/>
    </row>
    <row r="20193" spans="8:9">
      <c r="H20193" s="1245"/>
      <c r="I20193" s="1245"/>
    </row>
    <row r="20194" spans="8:9">
      <c r="H20194" s="1245"/>
      <c r="I20194" s="1245"/>
    </row>
    <row r="20195" spans="8:9">
      <c r="H20195" s="1245"/>
      <c r="I20195" s="1245"/>
    </row>
    <row r="20196" spans="8:9">
      <c r="H20196" s="1245"/>
      <c r="I20196" s="1245"/>
    </row>
    <row r="20197" spans="8:9">
      <c r="H20197" s="1245"/>
      <c r="I20197" s="1245"/>
    </row>
    <row r="20198" spans="8:9">
      <c r="H20198" s="1245"/>
      <c r="I20198" s="1245"/>
    </row>
    <row r="20199" spans="8:9">
      <c r="H20199" s="1245"/>
      <c r="I20199" s="1245"/>
    </row>
    <row r="20200" spans="8:9">
      <c r="H20200" s="1245"/>
      <c r="I20200" s="1245"/>
    </row>
    <row r="20201" spans="8:9">
      <c r="H20201" s="1245"/>
      <c r="I20201" s="1245"/>
    </row>
    <row r="20202" spans="8:9">
      <c r="H20202" s="1245"/>
      <c r="I20202" s="1245"/>
    </row>
    <row r="20203" spans="8:9">
      <c r="H20203" s="1245"/>
      <c r="I20203" s="1245"/>
    </row>
    <row r="20204" spans="8:9">
      <c r="H20204" s="1245"/>
      <c r="I20204" s="1245"/>
    </row>
    <row r="20205" spans="8:9">
      <c r="H20205" s="1245"/>
      <c r="I20205" s="1245"/>
    </row>
    <row r="20206" spans="8:9">
      <c r="H20206" s="1245"/>
      <c r="I20206" s="1245"/>
    </row>
    <row r="20207" spans="8:9">
      <c r="H20207" s="1245"/>
      <c r="I20207" s="1245"/>
    </row>
    <row r="20208" spans="8:9">
      <c r="H20208" s="1245"/>
      <c r="I20208" s="1245"/>
    </row>
    <row r="20209" spans="8:9">
      <c r="H20209" s="1245"/>
      <c r="I20209" s="1245"/>
    </row>
    <row r="20210" spans="8:9">
      <c r="H20210" s="1245"/>
      <c r="I20210" s="1245"/>
    </row>
    <row r="20211" spans="8:9">
      <c r="H20211" s="1245"/>
      <c r="I20211" s="1245"/>
    </row>
    <row r="20212" spans="8:9">
      <c r="H20212" s="1245"/>
      <c r="I20212" s="1245"/>
    </row>
    <row r="20213" spans="8:9">
      <c r="H20213" s="1245"/>
      <c r="I20213" s="1245"/>
    </row>
    <row r="20214" spans="8:9">
      <c r="H20214" s="1245"/>
      <c r="I20214" s="1245"/>
    </row>
    <row r="20215" spans="8:9">
      <c r="H20215" s="1245"/>
      <c r="I20215" s="1245"/>
    </row>
    <row r="20216" spans="8:9">
      <c r="H20216" s="1245"/>
      <c r="I20216" s="1245"/>
    </row>
    <row r="20217" spans="8:9">
      <c r="H20217" s="1245"/>
      <c r="I20217" s="1245"/>
    </row>
    <row r="20218" spans="8:9">
      <c r="H20218" s="1245"/>
      <c r="I20218" s="1245"/>
    </row>
    <row r="20219" spans="8:9">
      <c r="H20219" s="1245"/>
      <c r="I20219" s="1245"/>
    </row>
    <row r="20220" spans="8:9">
      <c r="H20220" s="1245"/>
      <c r="I20220" s="1245"/>
    </row>
    <row r="20221" spans="8:9">
      <c r="H20221" s="1245"/>
      <c r="I20221" s="1245"/>
    </row>
    <row r="20222" spans="8:9">
      <c r="H20222" s="1245"/>
      <c r="I20222" s="1245"/>
    </row>
    <row r="20223" spans="8:9">
      <c r="H20223" s="1245"/>
      <c r="I20223" s="1245"/>
    </row>
    <row r="20224" spans="8:9">
      <c r="H20224" s="1245"/>
      <c r="I20224" s="1245"/>
    </row>
    <row r="20225" spans="8:9">
      <c r="H20225" s="1245"/>
      <c r="I20225" s="1245"/>
    </row>
    <row r="20226" spans="8:9">
      <c r="H20226" s="1245"/>
      <c r="I20226" s="1245"/>
    </row>
    <row r="20227" spans="8:9">
      <c r="H20227" s="1245"/>
      <c r="I20227" s="1245"/>
    </row>
    <row r="20228" spans="8:9">
      <c r="H20228" s="1245"/>
      <c r="I20228" s="1245"/>
    </row>
    <row r="20229" spans="8:9">
      <c r="H20229" s="1245"/>
      <c r="I20229" s="1245"/>
    </row>
    <row r="20230" spans="8:9">
      <c r="H20230" s="1245"/>
      <c r="I20230" s="1245"/>
    </row>
    <row r="20231" spans="8:9">
      <c r="H20231" s="1245"/>
      <c r="I20231" s="1245"/>
    </row>
    <row r="20232" spans="8:9">
      <c r="H20232" s="1245"/>
      <c r="I20232" s="1245"/>
    </row>
    <row r="20233" spans="8:9">
      <c r="H20233" s="1245"/>
      <c r="I20233" s="1245"/>
    </row>
    <row r="20234" spans="8:9">
      <c r="H20234" s="1245"/>
      <c r="I20234" s="1245"/>
    </row>
    <row r="20235" spans="8:9">
      <c r="H20235" s="1245"/>
      <c r="I20235" s="1245"/>
    </row>
    <row r="20236" spans="8:9">
      <c r="H20236" s="1245"/>
      <c r="I20236" s="1245"/>
    </row>
    <row r="20237" spans="8:9">
      <c r="H20237" s="1245"/>
      <c r="I20237" s="1245"/>
    </row>
    <row r="20238" spans="8:9">
      <c r="H20238" s="1245"/>
      <c r="I20238" s="1245"/>
    </row>
    <row r="20239" spans="8:9">
      <c r="H20239" s="1245"/>
      <c r="I20239" s="1245"/>
    </row>
    <row r="20240" spans="8:9">
      <c r="H20240" s="1245"/>
      <c r="I20240" s="1245"/>
    </row>
    <row r="20241" spans="8:9">
      <c r="H20241" s="1245"/>
      <c r="I20241" s="1245"/>
    </row>
    <row r="20242" spans="8:9">
      <c r="H20242" s="1245"/>
      <c r="I20242" s="1245"/>
    </row>
    <row r="20243" spans="8:9">
      <c r="H20243" s="1245"/>
      <c r="I20243" s="1245"/>
    </row>
    <row r="20244" spans="8:9">
      <c r="H20244" s="1245"/>
      <c r="I20244" s="1245"/>
    </row>
    <row r="20245" spans="8:9">
      <c r="H20245" s="1245"/>
      <c r="I20245" s="1245"/>
    </row>
    <row r="20246" spans="8:9">
      <c r="H20246" s="1245"/>
      <c r="I20246" s="1245"/>
    </row>
    <row r="20247" spans="8:9">
      <c r="H20247" s="1245"/>
      <c r="I20247" s="1245"/>
    </row>
    <row r="20248" spans="8:9">
      <c r="H20248" s="1245"/>
      <c r="I20248" s="1245"/>
    </row>
    <row r="20249" spans="8:9">
      <c r="H20249" s="1245"/>
      <c r="I20249" s="1245"/>
    </row>
    <row r="20250" spans="8:9">
      <c r="H20250" s="1245"/>
      <c r="I20250" s="1245"/>
    </row>
    <row r="20251" spans="8:9">
      <c r="H20251" s="1245"/>
      <c r="I20251" s="1245"/>
    </row>
    <row r="20252" spans="8:9">
      <c r="H20252" s="1245"/>
      <c r="I20252" s="1245"/>
    </row>
    <row r="20253" spans="8:9">
      <c r="H20253" s="1245"/>
      <c r="I20253" s="1245"/>
    </row>
    <row r="20254" spans="8:9">
      <c r="H20254" s="1245"/>
      <c r="I20254" s="1245"/>
    </row>
    <row r="20255" spans="8:9">
      <c r="H20255" s="1245"/>
      <c r="I20255" s="1245"/>
    </row>
    <row r="20256" spans="8:9">
      <c r="H20256" s="1245"/>
      <c r="I20256" s="1245"/>
    </row>
    <row r="20257" spans="8:9">
      <c r="H20257" s="1245"/>
      <c r="I20257" s="1245"/>
    </row>
    <row r="20258" spans="8:9">
      <c r="H20258" s="1245"/>
      <c r="I20258" s="1245"/>
    </row>
    <row r="20259" spans="8:9">
      <c r="H20259" s="1245"/>
      <c r="I20259" s="1245"/>
    </row>
    <row r="20260" spans="8:9">
      <c r="H20260" s="1245"/>
      <c r="I20260" s="1245"/>
    </row>
    <row r="20261" spans="8:9">
      <c r="H20261" s="1245"/>
      <c r="I20261" s="1245"/>
    </row>
    <row r="20262" spans="8:9">
      <c r="H20262" s="1245"/>
      <c r="I20262" s="1245"/>
    </row>
    <row r="20263" spans="8:9">
      <c r="H20263" s="1245"/>
      <c r="I20263" s="1245"/>
    </row>
    <row r="20264" spans="8:9">
      <c r="H20264" s="1245"/>
      <c r="I20264" s="1245"/>
    </row>
    <row r="20265" spans="8:9">
      <c r="H20265" s="1245"/>
      <c r="I20265" s="1245"/>
    </row>
    <row r="20266" spans="8:9">
      <c r="H20266" s="1245"/>
      <c r="I20266" s="1245"/>
    </row>
    <row r="20267" spans="8:9">
      <c r="H20267" s="1245"/>
      <c r="I20267" s="1245"/>
    </row>
    <row r="20268" spans="8:9">
      <c r="H20268" s="1245"/>
      <c r="I20268" s="1245"/>
    </row>
    <row r="20269" spans="8:9">
      <c r="H20269" s="1245"/>
      <c r="I20269" s="1245"/>
    </row>
    <row r="20270" spans="8:9">
      <c r="H20270" s="1245"/>
      <c r="I20270" s="1245"/>
    </row>
    <row r="20271" spans="8:9">
      <c r="H20271" s="1245"/>
      <c r="I20271" s="1245"/>
    </row>
    <row r="20272" spans="8:9">
      <c r="H20272" s="1245"/>
      <c r="I20272" s="1245"/>
    </row>
    <row r="20273" spans="8:9">
      <c r="H20273" s="1245"/>
      <c r="I20273" s="1245"/>
    </row>
    <row r="20274" spans="8:9">
      <c r="H20274" s="1245"/>
      <c r="I20274" s="1245"/>
    </row>
    <row r="20275" spans="8:9">
      <c r="H20275" s="1245"/>
      <c r="I20275" s="1245"/>
    </row>
    <row r="20276" spans="8:9">
      <c r="H20276" s="1245"/>
      <c r="I20276" s="1245"/>
    </row>
    <row r="20277" spans="8:9">
      <c r="H20277" s="1245"/>
      <c r="I20277" s="1245"/>
    </row>
    <row r="20278" spans="8:9">
      <c r="H20278" s="1245"/>
      <c r="I20278" s="1245"/>
    </row>
    <row r="20279" spans="8:9">
      <c r="H20279" s="1245"/>
      <c r="I20279" s="1245"/>
    </row>
    <row r="20280" spans="8:9">
      <c r="H20280" s="1245"/>
      <c r="I20280" s="1245"/>
    </row>
    <row r="20281" spans="8:9">
      <c r="H20281" s="1245"/>
      <c r="I20281" s="1245"/>
    </row>
    <row r="20282" spans="8:9">
      <c r="H20282" s="1245"/>
      <c r="I20282" s="1245"/>
    </row>
    <row r="20283" spans="8:9">
      <c r="H20283" s="1245"/>
      <c r="I20283" s="1245"/>
    </row>
    <row r="20284" spans="8:9">
      <c r="H20284" s="1245"/>
      <c r="I20284" s="1245"/>
    </row>
    <row r="20285" spans="8:9">
      <c r="H20285" s="1245"/>
      <c r="I20285" s="1245"/>
    </row>
    <row r="20286" spans="8:9">
      <c r="H20286" s="1245"/>
      <c r="I20286" s="1245"/>
    </row>
    <row r="20287" spans="8:9">
      <c r="H20287" s="1245"/>
      <c r="I20287" s="1245"/>
    </row>
    <row r="20288" spans="8:9">
      <c r="H20288" s="1245"/>
      <c r="I20288" s="1245"/>
    </row>
    <row r="20289" spans="8:9">
      <c r="H20289" s="1245"/>
      <c r="I20289" s="1245"/>
    </row>
    <row r="20290" spans="8:9">
      <c r="H20290" s="1245"/>
      <c r="I20290" s="1245"/>
    </row>
    <row r="20291" spans="8:9">
      <c r="H20291" s="1245"/>
      <c r="I20291" s="1245"/>
    </row>
    <row r="20292" spans="8:9">
      <c r="H20292" s="1245"/>
      <c r="I20292" s="1245"/>
    </row>
    <row r="20293" spans="8:9">
      <c r="H20293" s="1245"/>
      <c r="I20293" s="1245"/>
    </row>
    <row r="20294" spans="8:9">
      <c r="H20294" s="1245"/>
      <c r="I20294" s="1245"/>
    </row>
    <row r="20295" spans="8:9">
      <c r="H20295" s="1245"/>
      <c r="I20295" s="1245"/>
    </row>
    <row r="20296" spans="8:9">
      <c r="H20296" s="1245"/>
      <c r="I20296" s="1245"/>
    </row>
    <row r="20297" spans="8:9">
      <c r="H20297" s="1245"/>
      <c r="I20297" s="1245"/>
    </row>
    <row r="20298" spans="8:9">
      <c r="H20298" s="1245"/>
      <c r="I20298" s="1245"/>
    </row>
    <row r="20299" spans="8:9">
      <c r="H20299" s="1245"/>
      <c r="I20299" s="1245"/>
    </row>
    <row r="20300" spans="8:9">
      <c r="H20300" s="1245"/>
      <c r="I20300" s="1245"/>
    </row>
    <row r="20301" spans="8:9">
      <c r="H20301" s="1245"/>
      <c r="I20301" s="1245"/>
    </row>
    <row r="20302" spans="8:9">
      <c r="H20302" s="1245"/>
      <c r="I20302" s="1245"/>
    </row>
    <row r="20303" spans="8:9">
      <c r="H20303" s="1245"/>
      <c r="I20303" s="1245"/>
    </row>
    <row r="20304" spans="8:9">
      <c r="H20304" s="1245"/>
      <c r="I20304" s="1245"/>
    </row>
    <row r="20305" spans="8:9">
      <c r="H20305" s="1245"/>
      <c r="I20305" s="1245"/>
    </row>
    <row r="20306" spans="8:9">
      <c r="H20306" s="1245"/>
      <c r="I20306" s="1245"/>
    </row>
    <row r="20307" spans="8:9">
      <c r="H20307" s="1245"/>
      <c r="I20307" s="1245"/>
    </row>
    <row r="20308" spans="8:9">
      <c r="H20308" s="1245"/>
      <c r="I20308" s="1245"/>
    </row>
    <row r="20309" spans="8:9">
      <c r="H20309" s="1245"/>
      <c r="I20309" s="1245"/>
    </row>
    <row r="20310" spans="8:9">
      <c r="H20310" s="1245"/>
      <c r="I20310" s="1245"/>
    </row>
    <row r="20311" spans="8:9">
      <c r="H20311" s="1245"/>
      <c r="I20311" s="1245"/>
    </row>
    <row r="20312" spans="8:9">
      <c r="H20312" s="1245"/>
      <c r="I20312" s="1245"/>
    </row>
    <row r="20313" spans="8:9">
      <c r="H20313" s="1245"/>
      <c r="I20313" s="1245"/>
    </row>
    <row r="20314" spans="8:9">
      <c r="H20314" s="1245"/>
      <c r="I20314" s="1245"/>
    </row>
    <row r="20315" spans="8:9">
      <c r="H20315" s="1245"/>
      <c r="I20315" s="1245"/>
    </row>
    <row r="20316" spans="8:9">
      <c r="H20316" s="1245"/>
      <c r="I20316" s="1245"/>
    </row>
    <row r="20317" spans="8:9">
      <c r="H20317" s="1245"/>
      <c r="I20317" s="1245"/>
    </row>
    <row r="20318" spans="8:9">
      <c r="H20318" s="1245"/>
      <c r="I20318" s="1245"/>
    </row>
    <row r="20319" spans="8:9">
      <c r="H20319" s="1245"/>
      <c r="I20319" s="1245"/>
    </row>
    <row r="20320" spans="8:9">
      <c r="H20320" s="1245"/>
      <c r="I20320" s="1245"/>
    </row>
    <row r="20321" spans="8:9">
      <c r="H20321" s="1245"/>
      <c r="I20321" s="1245"/>
    </row>
    <row r="20322" spans="8:9">
      <c r="H20322" s="1245"/>
      <c r="I20322" s="1245"/>
    </row>
    <row r="20323" spans="8:9">
      <c r="H20323" s="1245"/>
      <c r="I20323" s="1245"/>
    </row>
    <row r="20324" spans="8:9">
      <c r="H20324" s="1245"/>
      <c r="I20324" s="1245"/>
    </row>
    <row r="20325" spans="8:9">
      <c r="H20325" s="1245"/>
      <c r="I20325" s="1245"/>
    </row>
    <row r="20326" spans="8:9">
      <c r="H20326" s="1245"/>
      <c r="I20326" s="1245"/>
    </row>
    <row r="20327" spans="8:9">
      <c r="H20327" s="1245"/>
      <c r="I20327" s="1245"/>
    </row>
    <row r="20328" spans="8:9">
      <c r="H20328" s="1245"/>
      <c r="I20328" s="1245"/>
    </row>
    <row r="20329" spans="8:9">
      <c r="H20329" s="1245"/>
      <c r="I20329" s="1245"/>
    </row>
    <row r="20330" spans="8:9">
      <c r="H20330" s="1245"/>
      <c r="I20330" s="1245"/>
    </row>
    <row r="20331" spans="8:9">
      <c r="H20331" s="1245"/>
      <c r="I20331" s="1245"/>
    </row>
    <row r="20332" spans="8:9">
      <c r="H20332" s="1245"/>
      <c r="I20332" s="1245"/>
    </row>
    <row r="20333" spans="8:9">
      <c r="H20333" s="1245"/>
      <c r="I20333" s="1245"/>
    </row>
    <row r="20334" spans="8:9">
      <c r="H20334" s="1245"/>
      <c r="I20334" s="1245"/>
    </row>
    <row r="20335" spans="8:9">
      <c r="H20335" s="1245"/>
      <c r="I20335" s="1245"/>
    </row>
    <row r="20336" spans="8:9">
      <c r="H20336" s="1245"/>
      <c r="I20336" s="1245"/>
    </row>
    <row r="20337" spans="8:9">
      <c r="H20337" s="1245"/>
      <c r="I20337" s="1245"/>
    </row>
    <row r="20338" spans="8:9">
      <c r="H20338" s="1245"/>
      <c r="I20338" s="1245"/>
    </row>
    <row r="20339" spans="8:9">
      <c r="H20339" s="1245"/>
      <c r="I20339" s="1245"/>
    </row>
    <row r="20340" spans="8:9">
      <c r="H20340" s="1245"/>
      <c r="I20340" s="1245"/>
    </row>
    <row r="20341" spans="8:9">
      <c r="H20341" s="1245"/>
      <c r="I20341" s="1245"/>
    </row>
    <row r="20342" spans="8:9">
      <c r="H20342" s="1245"/>
      <c r="I20342" s="1245"/>
    </row>
    <row r="20343" spans="8:9">
      <c r="H20343" s="1245"/>
      <c r="I20343" s="1245"/>
    </row>
    <row r="20344" spans="8:9">
      <c r="H20344" s="1245"/>
      <c r="I20344" s="1245"/>
    </row>
    <row r="20345" spans="8:9">
      <c r="H20345" s="1245"/>
      <c r="I20345" s="1245"/>
    </row>
    <row r="20346" spans="8:9">
      <c r="H20346" s="1245"/>
      <c r="I20346" s="1245"/>
    </row>
    <row r="20347" spans="8:9">
      <c r="H20347" s="1245"/>
      <c r="I20347" s="1245"/>
    </row>
    <row r="20348" spans="8:9">
      <c r="H20348" s="1245"/>
      <c r="I20348" s="1245"/>
    </row>
    <row r="20349" spans="8:9">
      <c r="H20349" s="1245"/>
      <c r="I20349" s="1245"/>
    </row>
    <row r="20350" spans="8:9">
      <c r="H20350" s="1245"/>
      <c r="I20350" s="1245"/>
    </row>
    <row r="20351" spans="8:9">
      <c r="H20351" s="1245"/>
      <c r="I20351" s="1245"/>
    </row>
    <row r="20352" spans="8:9">
      <c r="H20352" s="1245"/>
      <c r="I20352" s="1245"/>
    </row>
    <row r="20353" spans="8:9">
      <c r="H20353" s="1245"/>
      <c r="I20353" s="1245"/>
    </row>
    <row r="20354" spans="8:9">
      <c r="H20354" s="1245"/>
      <c r="I20354" s="1245"/>
    </row>
    <row r="20355" spans="8:9">
      <c r="H20355" s="1245"/>
      <c r="I20355" s="1245"/>
    </row>
    <row r="20356" spans="8:9">
      <c r="H20356" s="1245"/>
      <c r="I20356" s="1245"/>
    </row>
    <row r="20357" spans="8:9">
      <c r="H20357" s="1245"/>
      <c r="I20357" s="1245"/>
    </row>
    <row r="20358" spans="8:9">
      <c r="H20358" s="1245"/>
      <c r="I20358" s="1245"/>
    </row>
    <row r="20359" spans="8:9">
      <c r="H20359" s="1245"/>
      <c r="I20359" s="1245"/>
    </row>
    <row r="20360" spans="8:9">
      <c r="H20360" s="1245"/>
      <c r="I20360" s="1245"/>
    </row>
    <row r="20361" spans="8:9">
      <c r="H20361" s="1245"/>
      <c r="I20361" s="1245"/>
    </row>
    <row r="20362" spans="8:9">
      <c r="H20362" s="1245"/>
      <c r="I20362" s="1245"/>
    </row>
    <row r="20363" spans="8:9">
      <c r="H20363" s="1245"/>
      <c r="I20363" s="1245"/>
    </row>
    <row r="20364" spans="8:9">
      <c r="H20364" s="1245"/>
      <c r="I20364" s="1245"/>
    </row>
    <row r="20365" spans="8:9">
      <c r="H20365" s="1245"/>
      <c r="I20365" s="1245"/>
    </row>
    <row r="20366" spans="8:9">
      <c r="H20366" s="1245"/>
      <c r="I20366" s="1245"/>
    </row>
    <row r="20367" spans="8:9">
      <c r="H20367" s="1245"/>
      <c r="I20367" s="1245"/>
    </row>
    <row r="20368" spans="8:9">
      <c r="H20368" s="1245"/>
      <c r="I20368" s="1245"/>
    </row>
    <row r="20369" spans="8:9">
      <c r="H20369" s="1245"/>
      <c r="I20369" s="1245"/>
    </row>
    <row r="20370" spans="8:9">
      <c r="H20370" s="1245"/>
      <c r="I20370" s="1245"/>
    </row>
    <row r="20371" spans="8:9">
      <c r="H20371" s="1245"/>
      <c r="I20371" s="1245"/>
    </row>
    <row r="20372" spans="8:9">
      <c r="H20372" s="1245"/>
      <c r="I20372" s="1245"/>
    </row>
    <row r="20373" spans="8:9">
      <c r="H20373" s="1245"/>
      <c r="I20373" s="1245"/>
    </row>
    <row r="20374" spans="8:9">
      <c r="H20374" s="1245"/>
      <c r="I20374" s="1245"/>
    </row>
    <row r="20375" spans="8:9">
      <c r="H20375" s="1245"/>
      <c r="I20375" s="1245"/>
    </row>
    <row r="20376" spans="8:9">
      <c r="H20376" s="1245"/>
      <c r="I20376" s="1245"/>
    </row>
    <row r="20377" spans="8:9">
      <c r="H20377" s="1245"/>
      <c r="I20377" s="1245"/>
    </row>
    <row r="20378" spans="8:9">
      <c r="H20378" s="1245"/>
      <c r="I20378" s="1245"/>
    </row>
    <row r="20379" spans="8:9">
      <c r="H20379" s="1245"/>
      <c r="I20379" s="1245"/>
    </row>
    <row r="20380" spans="8:9">
      <c r="H20380" s="1245"/>
      <c r="I20380" s="1245"/>
    </row>
    <row r="20381" spans="8:9">
      <c r="H20381" s="1245"/>
      <c r="I20381" s="1245"/>
    </row>
    <row r="20382" spans="8:9">
      <c r="H20382" s="1245"/>
      <c r="I20382" s="1245"/>
    </row>
    <row r="20383" spans="8:9">
      <c r="H20383" s="1245"/>
      <c r="I20383" s="1245"/>
    </row>
    <row r="20384" spans="8:9">
      <c r="H20384" s="1245"/>
      <c r="I20384" s="1245"/>
    </row>
    <row r="20385" spans="8:9">
      <c r="H20385" s="1245"/>
      <c r="I20385" s="1245"/>
    </row>
    <row r="20386" spans="8:9">
      <c r="H20386" s="1245"/>
      <c r="I20386" s="1245"/>
    </row>
    <row r="20387" spans="8:9">
      <c r="H20387" s="1245"/>
      <c r="I20387" s="1245"/>
    </row>
    <row r="20388" spans="8:9">
      <c r="H20388" s="1245"/>
      <c r="I20388" s="1245"/>
    </row>
    <row r="20389" spans="8:9">
      <c r="H20389" s="1245"/>
      <c r="I20389" s="1245"/>
    </row>
    <row r="20390" spans="8:9">
      <c r="H20390" s="1245"/>
      <c r="I20390" s="1245"/>
    </row>
    <row r="20391" spans="8:9">
      <c r="H20391" s="1245"/>
      <c r="I20391" s="1245"/>
    </row>
    <row r="20392" spans="8:9">
      <c r="H20392" s="1245"/>
      <c r="I20392" s="1245"/>
    </row>
    <row r="20393" spans="8:9">
      <c r="H20393" s="1245"/>
      <c r="I20393" s="1245"/>
    </row>
    <row r="20394" spans="8:9">
      <c r="H20394" s="1245"/>
      <c r="I20394" s="1245"/>
    </row>
    <row r="20395" spans="8:9">
      <c r="H20395" s="1245"/>
      <c r="I20395" s="1245"/>
    </row>
    <row r="20396" spans="8:9">
      <c r="H20396" s="1245"/>
      <c r="I20396" s="1245"/>
    </row>
    <row r="20397" spans="8:9">
      <c r="H20397" s="1245"/>
      <c r="I20397" s="1245"/>
    </row>
    <row r="20398" spans="8:9">
      <c r="H20398" s="1245"/>
      <c r="I20398" s="1245"/>
    </row>
    <row r="20399" spans="8:9">
      <c r="H20399" s="1245"/>
      <c r="I20399" s="1245"/>
    </row>
    <row r="20400" spans="8:9">
      <c r="H20400" s="1245"/>
      <c r="I20400" s="1245"/>
    </row>
    <row r="20401" spans="8:9">
      <c r="H20401" s="1245"/>
      <c r="I20401" s="1245"/>
    </row>
    <row r="20402" spans="8:9">
      <c r="H20402" s="1245"/>
      <c r="I20402" s="1245"/>
    </row>
    <row r="20403" spans="8:9">
      <c r="H20403" s="1245"/>
      <c r="I20403" s="1245"/>
    </row>
    <row r="20404" spans="8:9">
      <c r="H20404" s="1245"/>
      <c r="I20404" s="1245"/>
    </row>
    <row r="20405" spans="8:9">
      <c r="H20405" s="1245"/>
      <c r="I20405" s="1245"/>
    </row>
    <row r="20406" spans="8:9">
      <c r="H20406" s="1245"/>
      <c r="I20406" s="1245"/>
    </row>
    <row r="20407" spans="8:9">
      <c r="H20407" s="1245"/>
      <c r="I20407" s="1245"/>
    </row>
    <row r="20408" spans="8:9">
      <c r="H20408" s="1245"/>
      <c r="I20408" s="1245"/>
    </row>
    <row r="20409" spans="8:9">
      <c r="H20409" s="1245"/>
      <c r="I20409" s="1245"/>
    </row>
    <row r="20410" spans="8:9">
      <c r="H20410" s="1245"/>
      <c r="I20410" s="1245"/>
    </row>
    <row r="20411" spans="8:9">
      <c r="H20411" s="1245"/>
      <c r="I20411" s="1245"/>
    </row>
    <row r="20412" spans="8:9">
      <c r="H20412" s="1245"/>
      <c r="I20412" s="1245"/>
    </row>
    <row r="20413" spans="8:9">
      <c r="H20413" s="1245"/>
      <c r="I20413" s="1245"/>
    </row>
    <row r="20414" spans="8:9">
      <c r="H20414" s="1245"/>
      <c r="I20414" s="1245"/>
    </row>
    <row r="20415" spans="8:9">
      <c r="H20415" s="1245"/>
      <c r="I20415" s="1245"/>
    </row>
    <row r="20416" spans="8:9">
      <c r="H20416" s="1245"/>
      <c r="I20416" s="1245"/>
    </row>
    <row r="20417" spans="8:9">
      <c r="H20417" s="1245"/>
      <c r="I20417" s="1245"/>
    </row>
    <row r="20418" spans="8:9">
      <c r="H20418" s="1245"/>
      <c r="I20418" s="1245"/>
    </row>
    <row r="20419" spans="8:9">
      <c r="H20419" s="1245"/>
      <c r="I20419" s="1245"/>
    </row>
    <row r="20420" spans="8:9">
      <c r="H20420" s="1245"/>
      <c r="I20420" s="1245"/>
    </row>
    <row r="20421" spans="8:9">
      <c r="H20421" s="1245"/>
      <c r="I20421" s="1245"/>
    </row>
    <row r="20422" spans="8:9">
      <c r="H20422" s="1245"/>
      <c r="I20422" s="1245"/>
    </row>
    <row r="20423" spans="8:9">
      <c r="H20423" s="1245"/>
      <c r="I20423" s="1245"/>
    </row>
    <row r="20424" spans="8:9">
      <c r="H20424" s="1245"/>
      <c r="I20424" s="1245"/>
    </row>
    <row r="20425" spans="8:9">
      <c r="H20425" s="1245"/>
      <c r="I20425" s="1245"/>
    </row>
    <row r="20426" spans="8:9">
      <c r="H20426" s="1245"/>
      <c r="I20426" s="1245"/>
    </row>
    <row r="20427" spans="8:9">
      <c r="H20427" s="1245"/>
      <c r="I20427" s="1245"/>
    </row>
    <row r="20428" spans="8:9">
      <c r="H20428" s="1245"/>
      <c r="I20428" s="1245"/>
    </row>
    <row r="20429" spans="8:9">
      <c r="H20429" s="1245"/>
      <c r="I20429" s="1245"/>
    </row>
    <row r="20430" spans="8:9">
      <c r="H20430" s="1245"/>
      <c r="I20430" s="1245"/>
    </row>
    <row r="20431" spans="8:9">
      <c r="H20431" s="1245"/>
      <c r="I20431" s="1245"/>
    </row>
    <row r="20432" spans="8:9">
      <c r="H20432" s="1245"/>
      <c r="I20432" s="1245"/>
    </row>
    <row r="20433" spans="8:9">
      <c r="H20433" s="1245"/>
      <c r="I20433" s="1245"/>
    </row>
    <row r="20434" spans="8:9">
      <c r="H20434" s="1245"/>
      <c r="I20434" s="1245"/>
    </row>
    <row r="20435" spans="8:9">
      <c r="H20435" s="1245"/>
      <c r="I20435" s="1245"/>
    </row>
    <row r="20436" spans="8:9">
      <c r="H20436" s="1245"/>
      <c r="I20436" s="1245"/>
    </row>
    <row r="20437" spans="8:9">
      <c r="H20437" s="1245"/>
      <c r="I20437" s="1245"/>
    </row>
    <row r="20438" spans="8:9">
      <c r="H20438" s="1245"/>
      <c r="I20438" s="1245"/>
    </row>
    <row r="20439" spans="8:9">
      <c r="H20439" s="1245"/>
      <c r="I20439" s="1245"/>
    </row>
    <row r="20440" spans="8:9">
      <c r="H20440" s="1245"/>
      <c r="I20440" s="1245"/>
    </row>
    <row r="20441" spans="8:9">
      <c r="H20441" s="1245"/>
      <c r="I20441" s="1245"/>
    </row>
    <row r="20442" spans="8:9">
      <c r="H20442" s="1245"/>
      <c r="I20442" s="1245"/>
    </row>
    <row r="20443" spans="8:9">
      <c r="H20443" s="1245"/>
      <c r="I20443" s="1245"/>
    </row>
    <row r="20444" spans="8:9">
      <c r="H20444" s="1245"/>
      <c r="I20444" s="1245"/>
    </row>
    <row r="20445" spans="8:9">
      <c r="H20445" s="1245"/>
      <c r="I20445" s="1245"/>
    </row>
    <row r="20446" spans="8:9">
      <c r="H20446" s="1245"/>
      <c r="I20446" s="1245"/>
    </row>
    <row r="20447" spans="8:9">
      <c r="H20447" s="1245"/>
      <c r="I20447" s="1245"/>
    </row>
    <row r="20448" spans="8:9">
      <c r="H20448" s="1245"/>
      <c r="I20448" s="1245"/>
    </row>
    <row r="20449" spans="8:9">
      <c r="H20449" s="1245"/>
      <c r="I20449" s="1245"/>
    </row>
    <row r="20450" spans="8:9">
      <c r="H20450" s="1245"/>
      <c r="I20450" s="1245"/>
    </row>
    <row r="20451" spans="8:9">
      <c r="H20451" s="1245"/>
      <c r="I20451" s="1245"/>
    </row>
    <row r="20452" spans="8:9">
      <c r="H20452" s="1245"/>
      <c r="I20452" s="1245"/>
    </row>
    <row r="20453" spans="8:9">
      <c r="H20453" s="1245"/>
      <c r="I20453" s="1245"/>
    </row>
    <row r="20454" spans="8:9">
      <c r="H20454" s="1245"/>
      <c r="I20454" s="1245"/>
    </row>
    <row r="20455" spans="8:9">
      <c r="H20455" s="1245"/>
      <c r="I20455" s="1245"/>
    </row>
    <row r="20456" spans="8:9">
      <c r="H20456" s="1245"/>
      <c r="I20456" s="1245"/>
    </row>
    <row r="20457" spans="8:9">
      <c r="H20457" s="1245"/>
      <c r="I20457" s="1245"/>
    </row>
    <row r="20458" spans="8:9">
      <c r="H20458" s="1245"/>
      <c r="I20458" s="1245"/>
    </row>
    <row r="20459" spans="8:9">
      <c r="H20459" s="1245"/>
      <c r="I20459" s="1245"/>
    </row>
    <row r="20460" spans="8:9">
      <c r="H20460" s="1245"/>
      <c r="I20460" s="1245"/>
    </row>
    <row r="20461" spans="8:9">
      <c r="H20461" s="1245"/>
      <c r="I20461" s="1245"/>
    </row>
    <row r="20462" spans="8:9">
      <c r="H20462" s="1245"/>
      <c r="I20462" s="1245"/>
    </row>
    <row r="20463" spans="8:9">
      <c r="H20463" s="1245"/>
      <c r="I20463" s="1245"/>
    </row>
    <row r="20464" spans="8:9">
      <c r="H20464" s="1245"/>
      <c r="I20464" s="1245"/>
    </row>
    <row r="20465" spans="8:9">
      <c r="H20465" s="1245"/>
      <c r="I20465" s="1245"/>
    </row>
    <row r="20466" spans="8:9">
      <c r="H20466" s="1245"/>
      <c r="I20466" s="1245"/>
    </row>
    <row r="20467" spans="8:9">
      <c r="H20467" s="1245"/>
      <c r="I20467" s="1245"/>
    </row>
    <row r="20468" spans="8:9">
      <c r="H20468" s="1245"/>
      <c r="I20468" s="1245"/>
    </row>
    <row r="20469" spans="8:9">
      <c r="H20469" s="1245"/>
      <c r="I20469" s="1245"/>
    </row>
    <row r="20470" spans="8:9">
      <c r="H20470" s="1245"/>
      <c r="I20470" s="1245"/>
    </row>
    <row r="20471" spans="8:9">
      <c r="H20471" s="1245"/>
      <c r="I20471" s="1245"/>
    </row>
    <row r="20472" spans="8:9">
      <c r="H20472" s="1245"/>
      <c r="I20472" s="1245"/>
    </row>
    <row r="20473" spans="8:9">
      <c r="H20473" s="1245"/>
      <c r="I20473" s="1245"/>
    </row>
    <row r="20474" spans="8:9">
      <c r="H20474" s="1245"/>
      <c r="I20474" s="1245"/>
    </row>
    <row r="20475" spans="8:9">
      <c r="H20475" s="1245"/>
      <c r="I20475" s="1245"/>
    </row>
    <row r="20476" spans="8:9">
      <c r="H20476" s="1245"/>
      <c r="I20476" s="1245"/>
    </row>
    <row r="20477" spans="8:9">
      <c r="H20477" s="1245"/>
      <c r="I20477" s="1245"/>
    </row>
    <row r="20478" spans="8:9">
      <c r="H20478" s="1245"/>
      <c r="I20478" s="1245"/>
    </row>
    <row r="20479" spans="8:9">
      <c r="H20479" s="1245"/>
      <c r="I20479" s="1245"/>
    </row>
    <row r="20480" spans="8:9">
      <c r="H20480" s="1245"/>
      <c r="I20480" s="1245"/>
    </row>
    <row r="20481" spans="8:9">
      <c r="H20481" s="1245"/>
      <c r="I20481" s="1245"/>
    </row>
    <row r="20482" spans="8:9">
      <c r="H20482" s="1245"/>
      <c r="I20482" s="1245"/>
    </row>
    <row r="20483" spans="8:9">
      <c r="H20483" s="1245"/>
      <c r="I20483" s="1245"/>
    </row>
    <row r="20484" spans="8:9">
      <c r="H20484" s="1245"/>
      <c r="I20484" s="1245"/>
    </row>
    <row r="20485" spans="8:9">
      <c r="H20485" s="1245"/>
      <c r="I20485" s="1245"/>
    </row>
    <row r="20486" spans="8:9">
      <c r="H20486" s="1245"/>
      <c r="I20486" s="1245"/>
    </row>
    <row r="20487" spans="8:9">
      <c r="H20487" s="1245"/>
      <c r="I20487" s="1245"/>
    </row>
    <row r="20488" spans="8:9">
      <c r="H20488" s="1245"/>
      <c r="I20488" s="1245"/>
    </row>
    <row r="20489" spans="8:9">
      <c r="H20489" s="1245"/>
      <c r="I20489" s="1245"/>
    </row>
    <row r="20490" spans="8:9">
      <c r="H20490" s="1245"/>
      <c r="I20490" s="1245"/>
    </row>
    <row r="20491" spans="8:9">
      <c r="H20491" s="1245"/>
      <c r="I20491" s="1245"/>
    </row>
    <row r="20492" spans="8:9">
      <c r="H20492" s="1245"/>
      <c r="I20492" s="1245"/>
    </row>
    <row r="20493" spans="8:9">
      <c r="H20493" s="1245"/>
      <c r="I20493" s="1245"/>
    </row>
    <row r="20494" spans="8:9">
      <c r="H20494" s="1245"/>
      <c r="I20494" s="1245"/>
    </row>
    <row r="20495" spans="8:9">
      <c r="H20495" s="1245"/>
      <c r="I20495" s="1245"/>
    </row>
    <row r="20496" spans="8:9">
      <c r="H20496" s="1245"/>
      <c r="I20496" s="1245"/>
    </row>
    <row r="20497" spans="8:9">
      <c r="H20497" s="1245"/>
      <c r="I20497" s="1245"/>
    </row>
    <row r="20498" spans="8:9">
      <c r="H20498" s="1245"/>
      <c r="I20498" s="1245"/>
    </row>
    <row r="20499" spans="8:9">
      <c r="H20499" s="1245"/>
      <c r="I20499" s="1245"/>
    </row>
    <row r="20500" spans="8:9">
      <c r="H20500" s="1245"/>
      <c r="I20500" s="1245"/>
    </row>
    <row r="20501" spans="8:9">
      <c r="H20501" s="1245"/>
      <c r="I20501" s="1245"/>
    </row>
    <row r="20502" spans="8:9">
      <c r="H20502" s="1245"/>
      <c r="I20502" s="1245"/>
    </row>
    <row r="20503" spans="8:9">
      <c r="H20503" s="1245"/>
      <c r="I20503" s="1245"/>
    </row>
    <row r="20504" spans="8:9">
      <c r="H20504" s="1245"/>
      <c r="I20504" s="1245"/>
    </row>
    <row r="20505" spans="8:9">
      <c r="H20505" s="1245"/>
      <c r="I20505" s="1245"/>
    </row>
    <row r="20506" spans="8:9">
      <c r="H20506" s="1245"/>
      <c r="I20506" s="1245"/>
    </row>
    <row r="20507" spans="8:9">
      <c r="H20507" s="1245"/>
      <c r="I20507" s="1245"/>
    </row>
    <row r="20508" spans="8:9">
      <c r="H20508" s="1245"/>
      <c r="I20508" s="1245"/>
    </row>
    <row r="20509" spans="8:9">
      <c r="H20509" s="1245"/>
      <c r="I20509" s="1245"/>
    </row>
    <row r="20510" spans="8:9">
      <c r="H20510" s="1245"/>
      <c r="I20510" s="1245"/>
    </row>
    <row r="20511" spans="8:9">
      <c r="H20511" s="1245"/>
      <c r="I20511" s="1245"/>
    </row>
    <row r="20512" spans="8:9">
      <c r="H20512" s="1245"/>
      <c r="I20512" s="1245"/>
    </row>
    <row r="20513" spans="8:9">
      <c r="H20513" s="1245"/>
      <c r="I20513" s="1245"/>
    </row>
    <row r="20514" spans="8:9">
      <c r="H20514" s="1245"/>
      <c r="I20514" s="1245"/>
    </row>
    <row r="20515" spans="8:9">
      <c r="H20515" s="1245"/>
      <c r="I20515" s="1245"/>
    </row>
    <row r="20516" spans="8:9">
      <c r="H20516" s="1245"/>
      <c r="I20516" s="1245"/>
    </row>
    <row r="20517" spans="8:9">
      <c r="H20517" s="1245"/>
      <c r="I20517" s="1245"/>
    </row>
    <row r="20518" spans="8:9">
      <c r="H20518" s="1245"/>
      <c r="I20518" s="1245"/>
    </row>
    <row r="20519" spans="8:9">
      <c r="H20519" s="1245"/>
      <c r="I20519" s="1245"/>
    </row>
    <row r="20520" spans="8:9">
      <c r="H20520" s="1245"/>
      <c r="I20520" s="1245"/>
    </row>
    <row r="20521" spans="8:9">
      <c r="H20521" s="1245"/>
      <c r="I20521" s="1245"/>
    </row>
    <row r="20522" spans="8:9">
      <c r="H20522" s="1245"/>
      <c r="I20522" s="1245"/>
    </row>
    <row r="20523" spans="8:9">
      <c r="H20523" s="1245"/>
      <c r="I20523" s="1245"/>
    </row>
    <row r="20524" spans="8:9">
      <c r="H20524" s="1245"/>
      <c r="I20524" s="1245"/>
    </row>
    <row r="20525" spans="8:9">
      <c r="H20525" s="1245"/>
      <c r="I20525" s="1245"/>
    </row>
    <row r="20526" spans="8:9">
      <c r="H20526" s="1245"/>
      <c r="I20526" s="1245"/>
    </row>
    <row r="20527" spans="8:9">
      <c r="H20527" s="1245"/>
      <c r="I20527" s="1245"/>
    </row>
    <row r="20528" spans="8:9">
      <c r="H20528" s="1245"/>
      <c r="I20528" s="1245"/>
    </row>
    <row r="20529" spans="8:9">
      <c r="H20529" s="1245"/>
      <c r="I20529" s="1245"/>
    </row>
    <row r="20530" spans="8:9">
      <c r="H20530" s="1245"/>
      <c r="I20530" s="1245"/>
    </row>
    <row r="20531" spans="8:9">
      <c r="H20531" s="1245"/>
      <c r="I20531" s="1245"/>
    </row>
    <row r="20532" spans="8:9">
      <c r="H20532" s="1245"/>
      <c r="I20532" s="1245"/>
    </row>
    <row r="20533" spans="8:9">
      <c r="H20533" s="1245"/>
      <c r="I20533" s="1245"/>
    </row>
    <row r="20534" spans="8:9">
      <c r="H20534" s="1245"/>
      <c r="I20534" s="1245"/>
    </row>
    <row r="20535" spans="8:9">
      <c r="H20535" s="1245"/>
      <c r="I20535" s="1245"/>
    </row>
    <row r="20536" spans="8:9">
      <c r="H20536" s="1245"/>
      <c r="I20536" s="1245"/>
    </row>
    <row r="20537" spans="8:9">
      <c r="H20537" s="1245"/>
      <c r="I20537" s="1245"/>
    </row>
    <row r="20538" spans="8:9">
      <c r="H20538" s="1245"/>
      <c r="I20538" s="1245"/>
    </row>
    <row r="20539" spans="8:9">
      <c r="H20539" s="1245"/>
      <c r="I20539" s="1245"/>
    </row>
    <row r="20540" spans="8:9">
      <c r="H20540" s="1245"/>
      <c r="I20540" s="1245"/>
    </row>
    <row r="20541" spans="8:9">
      <c r="H20541" s="1245"/>
      <c r="I20541" s="1245"/>
    </row>
    <row r="20542" spans="8:9">
      <c r="H20542" s="1245"/>
      <c r="I20542" s="1245"/>
    </row>
    <row r="20543" spans="8:9">
      <c r="H20543" s="1245"/>
      <c r="I20543" s="1245"/>
    </row>
    <row r="20544" spans="8:9">
      <c r="H20544" s="1245"/>
      <c r="I20544" s="1245"/>
    </row>
    <row r="20545" spans="8:9">
      <c r="H20545" s="1245"/>
      <c r="I20545" s="1245"/>
    </row>
    <row r="20546" spans="8:9">
      <c r="H20546" s="1245"/>
      <c r="I20546" s="1245"/>
    </row>
    <row r="20547" spans="8:9">
      <c r="H20547" s="1245"/>
      <c r="I20547" s="1245"/>
    </row>
    <row r="20548" spans="8:9">
      <c r="H20548" s="1245"/>
      <c r="I20548" s="1245"/>
    </row>
    <row r="20549" spans="8:9">
      <c r="H20549" s="1245"/>
      <c r="I20549" s="1245"/>
    </row>
    <row r="20550" spans="8:9">
      <c r="H20550" s="1245"/>
      <c r="I20550" s="1245"/>
    </row>
    <row r="20551" spans="8:9">
      <c r="H20551" s="1245"/>
      <c r="I20551" s="1245"/>
    </row>
    <row r="20552" spans="8:9">
      <c r="H20552" s="1245"/>
      <c r="I20552" s="1245"/>
    </row>
    <row r="20553" spans="8:9">
      <c r="H20553" s="1245"/>
      <c r="I20553" s="1245"/>
    </row>
    <row r="20554" spans="8:9">
      <c r="H20554" s="1245"/>
      <c r="I20554" s="1245"/>
    </row>
    <row r="20555" spans="8:9">
      <c r="H20555" s="1245"/>
      <c r="I20555" s="1245"/>
    </row>
    <row r="20556" spans="8:9">
      <c r="H20556" s="1245"/>
      <c r="I20556" s="1245"/>
    </row>
    <row r="20557" spans="8:9">
      <c r="H20557" s="1245"/>
      <c r="I20557" s="1245"/>
    </row>
    <row r="20558" spans="8:9">
      <c r="H20558" s="1245"/>
      <c r="I20558" s="1245"/>
    </row>
    <row r="20559" spans="8:9">
      <c r="H20559" s="1245"/>
      <c r="I20559" s="1245"/>
    </row>
    <row r="20560" spans="8:9">
      <c r="H20560" s="1245"/>
      <c r="I20560" s="1245"/>
    </row>
    <row r="20561" spans="8:9">
      <c r="H20561" s="1245"/>
      <c r="I20561" s="1245"/>
    </row>
    <row r="20562" spans="8:9">
      <c r="H20562" s="1245"/>
      <c r="I20562" s="1245"/>
    </row>
    <row r="20563" spans="8:9">
      <c r="H20563" s="1245"/>
      <c r="I20563" s="1245"/>
    </row>
    <row r="20564" spans="8:9">
      <c r="H20564" s="1245"/>
      <c r="I20564" s="1245"/>
    </row>
    <row r="20565" spans="8:9">
      <c r="H20565" s="1245"/>
      <c r="I20565" s="1245"/>
    </row>
    <row r="20566" spans="8:9">
      <c r="H20566" s="1245"/>
      <c r="I20566" s="1245"/>
    </row>
    <row r="20567" spans="8:9">
      <c r="H20567" s="1245"/>
      <c r="I20567" s="1245"/>
    </row>
    <row r="20568" spans="8:9">
      <c r="H20568" s="1245"/>
      <c r="I20568" s="1245"/>
    </row>
    <row r="20569" spans="8:9">
      <c r="H20569" s="1245"/>
      <c r="I20569" s="1245"/>
    </row>
    <row r="20570" spans="8:9">
      <c r="H20570" s="1245"/>
      <c r="I20570" s="1245"/>
    </row>
    <row r="20571" spans="8:9">
      <c r="H20571" s="1245"/>
      <c r="I20571" s="1245"/>
    </row>
    <row r="20572" spans="8:9">
      <c r="H20572" s="1245"/>
      <c r="I20572" s="1245"/>
    </row>
    <row r="20573" spans="8:9">
      <c r="H20573" s="1245"/>
      <c r="I20573" s="1245"/>
    </row>
    <row r="20574" spans="8:9">
      <c r="H20574" s="1245"/>
      <c r="I20574" s="1245"/>
    </row>
    <row r="20575" spans="8:9">
      <c r="H20575" s="1245"/>
      <c r="I20575" s="1245"/>
    </row>
    <row r="20576" spans="8:9">
      <c r="H20576" s="1245"/>
      <c r="I20576" s="1245"/>
    </row>
    <row r="20577" spans="8:9">
      <c r="H20577" s="1245"/>
      <c r="I20577" s="1245"/>
    </row>
    <row r="20578" spans="8:9">
      <c r="H20578" s="1245"/>
      <c r="I20578" s="1245"/>
    </row>
    <row r="20579" spans="8:9">
      <c r="H20579" s="1245"/>
      <c r="I20579" s="1245"/>
    </row>
    <row r="20580" spans="8:9">
      <c r="H20580" s="1245"/>
      <c r="I20580" s="1245"/>
    </row>
    <row r="20581" spans="8:9">
      <c r="H20581" s="1245"/>
      <c r="I20581" s="1245"/>
    </row>
    <row r="20582" spans="8:9">
      <c r="H20582" s="1245"/>
      <c r="I20582" s="1245"/>
    </row>
    <row r="20583" spans="8:9">
      <c r="H20583" s="1245"/>
      <c r="I20583" s="1245"/>
    </row>
    <row r="20584" spans="8:9">
      <c r="H20584" s="1245"/>
      <c r="I20584" s="1245"/>
    </row>
    <row r="20585" spans="8:9">
      <c r="H20585" s="1245"/>
      <c r="I20585" s="1245"/>
    </row>
    <row r="20586" spans="8:9">
      <c r="H20586" s="1245"/>
      <c r="I20586" s="1245"/>
    </row>
    <row r="20587" spans="8:9">
      <c r="H20587" s="1245"/>
      <c r="I20587" s="1245"/>
    </row>
    <row r="20588" spans="8:9">
      <c r="H20588" s="1245"/>
      <c r="I20588" s="1245"/>
    </row>
    <row r="20589" spans="8:9">
      <c r="H20589" s="1245"/>
      <c r="I20589" s="1245"/>
    </row>
    <row r="20590" spans="8:9">
      <c r="H20590" s="1245"/>
      <c r="I20590" s="1245"/>
    </row>
    <row r="20591" spans="8:9">
      <c r="H20591" s="1245"/>
      <c r="I20591" s="1245"/>
    </row>
    <row r="20592" spans="8:9">
      <c r="H20592" s="1245"/>
      <c r="I20592" s="1245"/>
    </row>
    <row r="20593" spans="8:9">
      <c r="H20593" s="1245"/>
      <c r="I20593" s="1245"/>
    </row>
    <row r="20594" spans="8:9">
      <c r="H20594" s="1245"/>
      <c r="I20594" s="1245"/>
    </row>
    <row r="20595" spans="8:9">
      <c r="H20595" s="1245"/>
      <c r="I20595" s="1245"/>
    </row>
    <row r="20596" spans="8:9">
      <c r="H20596" s="1245"/>
      <c r="I20596" s="1245"/>
    </row>
    <row r="20597" spans="8:9">
      <c r="H20597" s="1245"/>
      <c r="I20597" s="1245"/>
    </row>
    <row r="20598" spans="8:9">
      <c r="H20598" s="1245"/>
      <c r="I20598" s="1245"/>
    </row>
    <row r="20599" spans="8:9">
      <c r="H20599" s="1245"/>
      <c r="I20599" s="1245"/>
    </row>
    <row r="20600" spans="8:9">
      <c r="H20600" s="1245"/>
      <c r="I20600" s="1245"/>
    </row>
    <row r="20601" spans="8:9">
      <c r="H20601" s="1245"/>
      <c r="I20601" s="1245"/>
    </row>
    <row r="20602" spans="8:9">
      <c r="H20602" s="1245"/>
      <c r="I20602" s="1245"/>
    </row>
    <row r="20603" spans="8:9">
      <c r="H20603" s="1245"/>
      <c r="I20603" s="1245"/>
    </row>
    <row r="20604" spans="8:9">
      <c r="H20604" s="1245"/>
      <c r="I20604" s="1245"/>
    </row>
    <row r="20605" spans="8:9">
      <c r="H20605" s="1245"/>
      <c r="I20605" s="1245"/>
    </row>
    <row r="20606" spans="8:9">
      <c r="H20606" s="1245"/>
      <c r="I20606" s="1245"/>
    </row>
    <row r="20607" spans="8:9">
      <c r="H20607" s="1245"/>
      <c r="I20607" s="1245"/>
    </row>
    <row r="20608" spans="8:9">
      <c r="H20608" s="1245"/>
      <c r="I20608" s="1245"/>
    </row>
    <row r="20609" spans="8:9">
      <c r="H20609" s="1245"/>
      <c r="I20609" s="1245"/>
    </row>
    <row r="20610" spans="8:9">
      <c r="H20610" s="1245"/>
      <c r="I20610" s="1245"/>
    </row>
    <row r="20611" spans="8:9">
      <c r="H20611" s="1245"/>
      <c r="I20611" s="1245"/>
    </row>
    <row r="20612" spans="8:9">
      <c r="H20612" s="1245"/>
      <c r="I20612" s="1245"/>
    </row>
    <row r="20613" spans="8:9">
      <c r="H20613" s="1245"/>
      <c r="I20613" s="1245"/>
    </row>
    <row r="20614" spans="8:9">
      <c r="H20614" s="1245"/>
      <c r="I20614" s="1245"/>
    </row>
    <row r="20615" spans="8:9">
      <c r="H20615" s="1245"/>
      <c r="I20615" s="1245"/>
    </row>
    <row r="20616" spans="8:9">
      <c r="H20616" s="1245"/>
      <c r="I20616" s="1245"/>
    </row>
    <row r="20617" spans="8:9">
      <c r="H20617" s="1245"/>
      <c r="I20617" s="1245"/>
    </row>
    <row r="20618" spans="8:9">
      <c r="H20618" s="1245"/>
      <c r="I20618" s="1245"/>
    </row>
    <row r="20619" spans="8:9">
      <c r="H20619" s="1245"/>
      <c r="I20619" s="1245"/>
    </row>
    <row r="20620" spans="8:9">
      <c r="H20620" s="1245"/>
      <c r="I20620" s="1245"/>
    </row>
    <row r="20621" spans="8:9">
      <c r="H20621" s="1245"/>
      <c r="I20621" s="1245"/>
    </row>
    <row r="20622" spans="8:9">
      <c r="H20622" s="1245"/>
      <c r="I20622" s="1245"/>
    </row>
    <row r="20623" spans="8:9">
      <c r="H20623" s="1245"/>
      <c r="I20623" s="1245"/>
    </row>
    <row r="20624" spans="8:9">
      <c r="H20624" s="1245"/>
      <c r="I20624" s="1245"/>
    </row>
    <row r="20625" spans="8:9">
      <c r="H20625" s="1245"/>
      <c r="I20625" s="1245"/>
    </row>
    <row r="20626" spans="8:9">
      <c r="H20626" s="1245"/>
      <c r="I20626" s="1245"/>
    </row>
    <row r="20627" spans="8:9">
      <c r="H20627" s="1245"/>
      <c r="I20627" s="1245"/>
    </row>
    <row r="20628" spans="8:9">
      <c r="H20628" s="1245"/>
      <c r="I20628" s="1245"/>
    </row>
    <row r="20629" spans="8:9">
      <c r="H20629" s="1245"/>
      <c r="I20629" s="1245"/>
    </row>
    <row r="20630" spans="8:9">
      <c r="H20630" s="1245"/>
      <c r="I20630" s="1245"/>
    </row>
    <row r="20631" spans="8:9">
      <c r="H20631" s="1245"/>
      <c r="I20631" s="1245"/>
    </row>
    <row r="20632" spans="8:9">
      <c r="H20632" s="1245"/>
      <c r="I20632" s="1245"/>
    </row>
    <row r="20633" spans="8:9">
      <c r="H20633" s="1245"/>
      <c r="I20633" s="1245"/>
    </row>
    <row r="20634" spans="8:9">
      <c r="H20634" s="1245"/>
      <c r="I20634" s="1245"/>
    </row>
    <row r="20635" spans="8:9">
      <c r="H20635" s="1245"/>
      <c r="I20635" s="1245"/>
    </row>
    <row r="20636" spans="8:9">
      <c r="H20636" s="1245"/>
      <c r="I20636" s="1245"/>
    </row>
    <row r="20637" spans="8:9">
      <c r="H20637" s="1245"/>
      <c r="I20637" s="1245"/>
    </row>
    <row r="20638" spans="8:9">
      <c r="H20638" s="1245"/>
      <c r="I20638" s="1245"/>
    </row>
    <row r="20639" spans="8:9">
      <c r="H20639" s="1245"/>
      <c r="I20639" s="1245"/>
    </row>
    <row r="20640" spans="8:9">
      <c r="H20640" s="1245"/>
      <c r="I20640" s="1245"/>
    </row>
    <row r="20641" spans="8:9">
      <c r="H20641" s="1245"/>
      <c r="I20641" s="1245"/>
    </row>
    <row r="20642" spans="8:9">
      <c r="H20642" s="1245"/>
      <c r="I20642" s="1245"/>
    </row>
    <row r="20643" spans="8:9">
      <c r="H20643" s="1245"/>
      <c r="I20643" s="1245"/>
    </row>
    <row r="20644" spans="8:9">
      <c r="H20644" s="1245"/>
      <c r="I20644" s="1245"/>
    </row>
    <row r="20645" spans="8:9">
      <c r="H20645" s="1245"/>
      <c r="I20645" s="1245"/>
    </row>
    <row r="20646" spans="8:9">
      <c r="H20646" s="1245"/>
      <c r="I20646" s="1245"/>
    </row>
    <row r="20647" spans="8:9">
      <c r="H20647" s="1245"/>
      <c r="I20647" s="1245"/>
    </row>
    <row r="20648" spans="8:9">
      <c r="H20648" s="1245"/>
      <c r="I20648" s="1245"/>
    </row>
    <row r="20649" spans="8:9">
      <c r="H20649" s="1245"/>
      <c r="I20649" s="1245"/>
    </row>
    <row r="20650" spans="8:9">
      <c r="H20650" s="1245"/>
      <c r="I20650" s="1245"/>
    </row>
    <row r="20651" spans="8:9">
      <c r="H20651" s="1245"/>
      <c r="I20651" s="1245"/>
    </row>
    <row r="20652" spans="8:9">
      <c r="H20652" s="1245"/>
      <c r="I20652" s="1245"/>
    </row>
    <row r="20653" spans="8:9">
      <c r="H20653" s="1245"/>
      <c r="I20653" s="1245"/>
    </row>
    <row r="20654" spans="8:9">
      <c r="H20654" s="1245"/>
      <c r="I20654" s="1245"/>
    </row>
    <row r="20655" spans="8:9">
      <c r="H20655" s="1245"/>
      <c r="I20655" s="1245"/>
    </row>
    <row r="20656" spans="8:9">
      <c r="H20656" s="1245"/>
      <c r="I20656" s="1245"/>
    </row>
    <row r="20657" spans="8:9">
      <c r="H20657" s="1245"/>
      <c r="I20657" s="1245"/>
    </row>
    <row r="20658" spans="8:9">
      <c r="H20658" s="1245"/>
      <c r="I20658" s="1245"/>
    </row>
    <row r="20659" spans="8:9">
      <c r="H20659" s="1245"/>
      <c r="I20659" s="1245"/>
    </row>
    <row r="20660" spans="8:9">
      <c r="H20660" s="1245"/>
      <c r="I20660" s="1245"/>
    </row>
    <row r="20661" spans="8:9">
      <c r="H20661" s="1245"/>
      <c r="I20661" s="1245"/>
    </row>
    <row r="20662" spans="8:9">
      <c r="H20662" s="1245"/>
      <c r="I20662" s="1245"/>
    </row>
    <row r="20663" spans="8:9">
      <c r="H20663" s="1245"/>
      <c r="I20663" s="1245"/>
    </row>
    <row r="20664" spans="8:9">
      <c r="H20664" s="1245"/>
      <c r="I20664" s="1245"/>
    </row>
    <row r="20665" spans="8:9">
      <c r="H20665" s="1245"/>
      <c r="I20665" s="1245"/>
    </row>
    <row r="20666" spans="8:9">
      <c r="H20666" s="1245"/>
      <c r="I20666" s="1245"/>
    </row>
    <row r="20667" spans="8:9">
      <c r="H20667" s="1245"/>
      <c r="I20667" s="1245"/>
    </row>
    <row r="20668" spans="8:9">
      <c r="H20668" s="1245"/>
      <c r="I20668" s="1245"/>
    </row>
    <row r="20669" spans="8:9">
      <c r="H20669" s="1245"/>
      <c r="I20669" s="1245"/>
    </row>
    <row r="20670" spans="8:9">
      <c r="H20670" s="1245"/>
      <c r="I20670" s="1245"/>
    </row>
    <row r="20671" spans="8:9">
      <c r="H20671" s="1245"/>
      <c r="I20671" s="1245"/>
    </row>
    <row r="20672" spans="8:9">
      <c r="H20672" s="1245"/>
      <c r="I20672" s="1245"/>
    </row>
    <row r="20673" spans="8:9">
      <c r="H20673" s="1245"/>
      <c r="I20673" s="1245"/>
    </row>
    <row r="20674" spans="8:9">
      <c r="H20674" s="1245"/>
      <c r="I20674" s="1245"/>
    </row>
    <row r="20675" spans="8:9">
      <c r="H20675" s="1245"/>
      <c r="I20675" s="1245"/>
    </row>
    <row r="20676" spans="8:9">
      <c r="H20676" s="1245"/>
      <c r="I20676" s="1245"/>
    </row>
    <row r="20677" spans="8:9">
      <c r="H20677" s="1245"/>
      <c r="I20677" s="1245"/>
    </row>
    <row r="20678" spans="8:9">
      <c r="H20678" s="1245"/>
      <c r="I20678" s="1245"/>
    </row>
    <row r="20679" spans="8:9">
      <c r="H20679" s="1245"/>
      <c r="I20679" s="1245"/>
    </row>
    <row r="20680" spans="8:9">
      <c r="H20680" s="1245"/>
      <c r="I20680" s="1245"/>
    </row>
    <row r="20681" spans="8:9">
      <c r="H20681" s="1245"/>
      <c r="I20681" s="1245"/>
    </row>
    <row r="20682" spans="8:9">
      <c r="H20682" s="1245"/>
      <c r="I20682" s="1245"/>
    </row>
    <row r="20683" spans="8:9">
      <c r="H20683" s="1245"/>
      <c r="I20683" s="1245"/>
    </row>
    <row r="20684" spans="8:9">
      <c r="H20684" s="1245"/>
      <c r="I20684" s="1245"/>
    </row>
    <row r="20685" spans="8:9">
      <c r="H20685" s="1245"/>
      <c r="I20685" s="1245"/>
    </row>
    <row r="20686" spans="8:9">
      <c r="H20686" s="1245"/>
      <c r="I20686" s="1245"/>
    </row>
    <row r="20687" spans="8:9">
      <c r="H20687" s="1245"/>
      <c r="I20687" s="1245"/>
    </row>
    <row r="20688" spans="8:9">
      <c r="H20688" s="1245"/>
      <c r="I20688" s="1245"/>
    </row>
    <row r="20689" spans="8:9">
      <c r="H20689" s="1245"/>
      <c r="I20689" s="1245"/>
    </row>
    <row r="20690" spans="8:9">
      <c r="H20690" s="1245"/>
      <c r="I20690" s="1245"/>
    </row>
    <row r="20691" spans="8:9">
      <c r="H20691" s="1245"/>
      <c r="I20691" s="1245"/>
    </row>
    <row r="20692" spans="8:9">
      <c r="H20692" s="1245"/>
      <c r="I20692" s="1245"/>
    </row>
    <row r="20693" spans="8:9">
      <c r="H20693" s="1245"/>
      <c r="I20693" s="1245"/>
    </row>
    <row r="20694" spans="8:9">
      <c r="H20694" s="1245"/>
      <c r="I20694" s="1245"/>
    </row>
    <row r="20695" spans="8:9">
      <c r="H20695" s="1245"/>
      <c r="I20695" s="1245"/>
    </row>
    <row r="20696" spans="8:9">
      <c r="H20696" s="1245"/>
      <c r="I20696" s="1245"/>
    </row>
    <row r="20697" spans="8:9">
      <c r="H20697" s="1245"/>
      <c r="I20697" s="1245"/>
    </row>
    <row r="20698" spans="8:9">
      <c r="H20698" s="1245"/>
      <c r="I20698" s="1245"/>
    </row>
    <row r="20699" spans="8:9">
      <c r="H20699" s="1245"/>
      <c r="I20699" s="1245"/>
    </row>
    <row r="20700" spans="8:9">
      <c r="H20700" s="1245"/>
      <c r="I20700" s="1245"/>
    </row>
    <row r="20701" spans="8:9">
      <c r="H20701" s="1245"/>
      <c r="I20701" s="1245"/>
    </row>
    <row r="20702" spans="8:9">
      <c r="H20702" s="1245"/>
      <c r="I20702" s="1245"/>
    </row>
    <row r="20703" spans="8:9">
      <c r="H20703" s="1245"/>
      <c r="I20703" s="1245"/>
    </row>
    <row r="20704" spans="8:9">
      <c r="H20704" s="1245"/>
      <c r="I20704" s="1245"/>
    </row>
    <row r="20705" spans="8:9">
      <c r="H20705" s="1245"/>
      <c r="I20705" s="1245"/>
    </row>
    <row r="20706" spans="8:9">
      <c r="H20706" s="1245"/>
      <c r="I20706" s="1245"/>
    </row>
    <row r="20707" spans="8:9">
      <c r="H20707" s="1245"/>
      <c r="I20707" s="1245"/>
    </row>
    <row r="20708" spans="8:9">
      <c r="H20708" s="1245"/>
      <c r="I20708" s="1245"/>
    </row>
    <row r="20709" spans="8:9">
      <c r="H20709" s="1245"/>
      <c r="I20709" s="1245"/>
    </row>
    <row r="20710" spans="8:9">
      <c r="H20710" s="1245"/>
      <c r="I20710" s="1245"/>
    </row>
    <row r="20711" spans="8:9">
      <c r="H20711" s="1245"/>
      <c r="I20711" s="1245"/>
    </row>
    <row r="20712" spans="8:9">
      <c r="H20712" s="1245"/>
      <c r="I20712" s="1245"/>
    </row>
    <row r="20713" spans="8:9">
      <c r="H20713" s="1245"/>
      <c r="I20713" s="1245"/>
    </row>
    <row r="20714" spans="8:9">
      <c r="H20714" s="1245"/>
      <c r="I20714" s="1245"/>
    </row>
    <row r="20715" spans="8:9">
      <c r="H20715" s="1245"/>
      <c r="I20715" s="1245"/>
    </row>
    <row r="20716" spans="8:9">
      <c r="H20716" s="1245"/>
      <c r="I20716" s="1245"/>
    </row>
    <row r="20717" spans="8:9">
      <c r="H20717" s="1245"/>
      <c r="I20717" s="1245"/>
    </row>
    <row r="20718" spans="8:9">
      <c r="H20718" s="1245"/>
      <c r="I20718" s="1245"/>
    </row>
    <row r="20719" spans="8:9">
      <c r="H20719" s="1245"/>
      <c r="I20719" s="1245"/>
    </row>
    <row r="20720" spans="8:9">
      <c r="H20720" s="1245"/>
      <c r="I20720" s="1245"/>
    </row>
    <row r="20721" spans="8:9">
      <c r="H20721" s="1245"/>
      <c r="I20721" s="1245"/>
    </row>
    <row r="20722" spans="8:9">
      <c r="H20722" s="1245"/>
      <c r="I20722" s="1245"/>
    </row>
    <row r="20723" spans="8:9">
      <c r="H20723" s="1245"/>
      <c r="I20723" s="1245"/>
    </row>
    <row r="20724" spans="8:9">
      <c r="H20724" s="1245"/>
      <c r="I20724" s="1245"/>
    </row>
    <row r="20725" spans="8:9">
      <c r="H20725" s="1245"/>
      <c r="I20725" s="1245"/>
    </row>
    <row r="20726" spans="8:9">
      <c r="H20726" s="1245"/>
      <c r="I20726" s="1245"/>
    </row>
    <row r="20727" spans="8:9">
      <c r="H20727" s="1245"/>
      <c r="I20727" s="1245"/>
    </row>
    <row r="20728" spans="8:9">
      <c r="H20728" s="1245"/>
      <c r="I20728" s="1245"/>
    </row>
    <row r="20729" spans="8:9">
      <c r="H20729" s="1245"/>
      <c r="I20729" s="1245"/>
    </row>
    <row r="20730" spans="8:9">
      <c r="H20730" s="1245"/>
      <c r="I20730" s="1245"/>
    </row>
    <row r="20731" spans="8:9">
      <c r="H20731" s="1245"/>
      <c r="I20731" s="1245"/>
    </row>
    <row r="20732" spans="8:9">
      <c r="H20732" s="1245"/>
      <c r="I20732" s="1245"/>
    </row>
    <row r="20733" spans="8:9">
      <c r="H20733" s="1245"/>
      <c r="I20733" s="1245"/>
    </row>
    <row r="20734" spans="8:9">
      <c r="H20734" s="1245"/>
      <c r="I20734" s="1245"/>
    </row>
    <row r="20735" spans="8:9">
      <c r="H20735" s="1245"/>
      <c r="I20735" s="1245"/>
    </row>
    <row r="20736" spans="8:9">
      <c r="H20736" s="1245"/>
      <c r="I20736" s="1245"/>
    </row>
    <row r="20737" spans="8:9">
      <c r="H20737" s="1245"/>
      <c r="I20737" s="1245"/>
    </row>
    <row r="20738" spans="8:9">
      <c r="H20738" s="1245"/>
      <c r="I20738" s="1245"/>
    </row>
    <row r="20739" spans="8:9">
      <c r="H20739" s="1245"/>
      <c r="I20739" s="1245"/>
    </row>
    <row r="20740" spans="8:9">
      <c r="H20740" s="1245"/>
      <c r="I20740" s="1245"/>
    </row>
    <row r="20741" spans="8:9">
      <c r="H20741" s="1245"/>
      <c r="I20741" s="1245"/>
    </row>
    <row r="20742" spans="8:9">
      <c r="H20742" s="1245"/>
      <c r="I20742" s="1245"/>
    </row>
    <row r="20743" spans="8:9">
      <c r="H20743" s="1245"/>
      <c r="I20743" s="1245"/>
    </row>
    <row r="20744" spans="8:9">
      <c r="H20744" s="1245"/>
      <c r="I20744" s="1245"/>
    </row>
    <row r="20745" spans="8:9">
      <c r="H20745" s="1245"/>
      <c r="I20745" s="1245"/>
    </row>
    <row r="20746" spans="8:9">
      <c r="H20746" s="1245"/>
      <c r="I20746" s="1245"/>
    </row>
    <row r="20747" spans="8:9">
      <c r="H20747" s="1245"/>
      <c r="I20747" s="1245"/>
    </row>
    <row r="20748" spans="8:9">
      <c r="H20748" s="1245"/>
      <c r="I20748" s="1245"/>
    </row>
    <row r="20749" spans="8:9">
      <c r="H20749" s="1245"/>
      <c r="I20749" s="1245"/>
    </row>
    <row r="20750" spans="8:9">
      <c r="H20750" s="1245"/>
      <c r="I20750" s="1245"/>
    </row>
    <row r="20751" spans="8:9">
      <c r="H20751" s="1245"/>
      <c r="I20751" s="1245"/>
    </row>
    <row r="20752" spans="8:9">
      <c r="H20752" s="1245"/>
      <c r="I20752" s="1245"/>
    </row>
    <row r="20753" spans="8:9">
      <c r="H20753" s="1245"/>
      <c r="I20753" s="1245"/>
    </row>
    <row r="20754" spans="8:9">
      <c r="H20754" s="1245"/>
      <c r="I20754" s="1245"/>
    </row>
    <row r="20755" spans="8:9">
      <c r="H20755" s="1245"/>
      <c r="I20755" s="1245"/>
    </row>
    <row r="20756" spans="8:9">
      <c r="H20756" s="1245"/>
      <c r="I20756" s="1245"/>
    </row>
    <row r="20757" spans="8:9">
      <c r="H20757" s="1245"/>
      <c r="I20757" s="1245"/>
    </row>
    <row r="20758" spans="8:9">
      <c r="H20758" s="1245"/>
      <c r="I20758" s="1245"/>
    </row>
    <row r="20759" spans="8:9">
      <c r="H20759" s="1245"/>
      <c r="I20759" s="1245"/>
    </row>
    <row r="20760" spans="8:9">
      <c r="H20760" s="1245"/>
      <c r="I20760" s="1245"/>
    </row>
    <row r="20761" spans="8:9">
      <c r="H20761" s="1245"/>
      <c r="I20761" s="1245"/>
    </row>
    <row r="20762" spans="8:9">
      <c r="H20762" s="1245"/>
      <c r="I20762" s="1245"/>
    </row>
    <row r="20763" spans="8:9">
      <c r="H20763" s="1245"/>
      <c r="I20763" s="1245"/>
    </row>
    <row r="20764" spans="8:9">
      <c r="H20764" s="1245"/>
      <c r="I20764" s="1245"/>
    </row>
    <row r="20765" spans="8:9">
      <c r="H20765" s="1245"/>
      <c r="I20765" s="1245"/>
    </row>
    <row r="20766" spans="8:9">
      <c r="H20766" s="1245"/>
      <c r="I20766" s="1245"/>
    </row>
    <row r="20767" spans="8:9">
      <c r="H20767" s="1245"/>
      <c r="I20767" s="1245"/>
    </row>
    <row r="20768" spans="8:9">
      <c r="H20768" s="1245"/>
      <c r="I20768" s="1245"/>
    </row>
    <row r="20769" spans="8:9">
      <c r="H20769" s="1245"/>
      <c r="I20769" s="1245"/>
    </row>
    <row r="20770" spans="8:9">
      <c r="H20770" s="1245"/>
      <c r="I20770" s="1245"/>
    </row>
    <row r="20771" spans="8:9">
      <c r="H20771" s="1245"/>
      <c r="I20771" s="1245"/>
    </row>
    <row r="20772" spans="8:9">
      <c r="H20772" s="1245"/>
      <c r="I20772" s="1245"/>
    </row>
    <row r="20773" spans="8:9">
      <c r="H20773" s="1245"/>
      <c r="I20773" s="1245"/>
    </row>
    <row r="20774" spans="8:9">
      <c r="H20774" s="1245"/>
      <c r="I20774" s="1245"/>
    </row>
    <row r="20775" spans="8:9">
      <c r="H20775" s="1245"/>
      <c r="I20775" s="1245"/>
    </row>
    <row r="20776" spans="8:9">
      <c r="H20776" s="1245"/>
      <c r="I20776" s="1245"/>
    </row>
    <row r="20777" spans="8:9">
      <c r="H20777" s="1245"/>
      <c r="I20777" s="1245"/>
    </row>
    <row r="20778" spans="8:9">
      <c r="H20778" s="1245"/>
      <c r="I20778" s="1245"/>
    </row>
    <row r="20779" spans="8:9">
      <c r="H20779" s="1245"/>
      <c r="I20779" s="1245"/>
    </row>
    <row r="20780" spans="8:9">
      <c r="H20780" s="1245"/>
      <c r="I20780" s="1245"/>
    </row>
    <row r="20781" spans="8:9">
      <c r="H20781" s="1245"/>
      <c r="I20781" s="1245"/>
    </row>
    <row r="20782" spans="8:9">
      <c r="H20782" s="1245"/>
      <c r="I20782" s="1245"/>
    </row>
    <row r="20783" spans="8:9">
      <c r="H20783" s="1245"/>
      <c r="I20783" s="1245"/>
    </row>
    <row r="20784" spans="8:9">
      <c r="H20784" s="1245"/>
      <c r="I20784" s="1245"/>
    </row>
    <row r="20785" spans="8:9">
      <c r="H20785" s="1245"/>
      <c r="I20785" s="1245"/>
    </row>
    <row r="20786" spans="8:9">
      <c r="H20786" s="1245"/>
      <c r="I20786" s="1245"/>
    </row>
    <row r="20787" spans="8:9">
      <c r="H20787" s="1245"/>
      <c r="I20787" s="1245"/>
    </row>
    <row r="20788" spans="8:9">
      <c r="H20788" s="1245"/>
      <c r="I20788" s="1245"/>
    </row>
    <row r="20789" spans="8:9">
      <c r="H20789" s="1245"/>
      <c r="I20789" s="1245"/>
    </row>
    <row r="20790" spans="8:9">
      <c r="H20790" s="1245"/>
      <c r="I20790" s="1245"/>
    </row>
    <row r="20791" spans="8:9">
      <c r="H20791" s="1245"/>
      <c r="I20791" s="1245"/>
    </row>
    <row r="20792" spans="8:9">
      <c r="H20792" s="1245"/>
      <c r="I20792" s="1245"/>
    </row>
    <row r="20793" spans="8:9">
      <c r="H20793" s="1245"/>
      <c r="I20793" s="1245"/>
    </row>
    <row r="20794" spans="8:9">
      <c r="H20794" s="1245"/>
      <c r="I20794" s="1245"/>
    </row>
    <row r="20795" spans="8:9">
      <c r="H20795" s="1245"/>
      <c r="I20795" s="1245"/>
    </row>
    <row r="20796" spans="8:9">
      <c r="H20796" s="1245"/>
      <c r="I20796" s="1245"/>
    </row>
    <row r="20797" spans="8:9">
      <c r="H20797" s="1245"/>
      <c r="I20797" s="1245"/>
    </row>
    <row r="20798" spans="8:9">
      <c r="H20798" s="1245"/>
      <c r="I20798" s="1245"/>
    </row>
    <row r="20799" spans="8:9">
      <c r="H20799" s="1245"/>
      <c r="I20799" s="1245"/>
    </row>
    <row r="20800" spans="8:9">
      <c r="H20800" s="1245"/>
      <c r="I20800" s="1245"/>
    </row>
    <row r="20801" spans="8:9">
      <c r="H20801" s="1245"/>
      <c r="I20801" s="1245"/>
    </row>
    <row r="20802" spans="8:9">
      <c r="H20802" s="1245"/>
      <c r="I20802" s="1245"/>
    </row>
    <row r="20803" spans="8:9">
      <c r="H20803" s="1245"/>
      <c r="I20803" s="1245"/>
    </row>
    <row r="20804" spans="8:9">
      <c r="H20804" s="1245"/>
      <c r="I20804" s="1245"/>
    </row>
    <row r="20805" spans="8:9">
      <c r="H20805" s="1245"/>
      <c r="I20805" s="1245"/>
    </row>
    <row r="20806" spans="8:9">
      <c r="H20806" s="1245"/>
      <c r="I20806" s="1245"/>
    </row>
    <row r="20807" spans="8:9">
      <c r="H20807" s="1245"/>
      <c r="I20807" s="1245"/>
    </row>
    <row r="20808" spans="8:9">
      <c r="H20808" s="1245"/>
      <c r="I20808" s="1245"/>
    </row>
    <row r="20809" spans="8:9">
      <c r="H20809" s="1245"/>
      <c r="I20809" s="1245"/>
    </row>
    <row r="20810" spans="8:9">
      <c r="H20810" s="1245"/>
      <c r="I20810" s="1245"/>
    </row>
    <row r="20811" spans="8:9">
      <c r="H20811" s="1245"/>
      <c r="I20811" s="1245"/>
    </row>
    <row r="20812" spans="8:9">
      <c r="H20812" s="1245"/>
      <c r="I20812" s="1245"/>
    </row>
    <row r="20813" spans="8:9">
      <c r="H20813" s="1245"/>
      <c r="I20813" s="1245"/>
    </row>
    <row r="20814" spans="8:9">
      <c r="H20814" s="1245"/>
      <c r="I20814" s="1245"/>
    </row>
    <row r="20815" spans="8:9">
      <c r="H20815" s="1245"/>
      <c r="I20815" s="1245"/>
    </row>
    <row r="20816" spans="8:9">
      <c r="H20816" s="1245"/>
      <c r="I20816" s="1245"/>
    </row>
    <row r="20817" spans="8:9">
      <c r="H20817" s="1245"/>
      <c r="I20817" s="1245"/>
    </row>
    <row r="20818" spans="8:9">
      <c r="H20818" s="1245"/>
      <c r="I20818" s="1245"/>
    </row>
    <row r="20819" spans="8:9">
      <c r="H20819" s="1245"/>
      <c r="I20819" s="1245"/>
    </row>
    <row r="20820" spans="8:9">
      <c r="H20820" s="1245"/>
      <c r="I20820" s="1245"/>
    </row>
    <row r="20821" spans="8:9">
      <c r="H20821" s="1245"/>
      <c r="I20821" s="1245"/>
    </row>
    <row r="20822" spans="8:9">
      <c r="H20822" s="1245"/>
      <c r="I20822" s="1245"/>
    </row>
    <row r="20823" spans="8:9">
      <c r="H20823" s="1245"/>
      <c r="I20823" s="1245"/>
    </row>
    <row r="20824" spans="8:9">
      <c r="H20824" s="1245"/>
      <c r="I20824" s="1245"/>
    </row>
    <row r="20825" spans="8:9">
      <c r="H20825" s="1245"/>
      <c r="I20825" s="1245"/>
    </row>
    <row r="20826" spans="8:9">
      <c r="H20826" s="1245"/>
      <c r="I20826" s="1245"/>
    </row>
    <row r="20827" spans="8:9">
      <c r="H20827" s="1245"/>
      <c r="I20827" s="1245"/>
    </row>
    <row r="20828" spans="8:9">
      <c r="H20828" s="1245"/>
      <c r="I20828" s="1245"/>
    </row>
    <row r="20829" spans="8:9">
      <c r="H20829" s="1245"/>
      <c r="I20829" s="1245"/>
    </row>
    <row r="20830" spans="8:9">
      <c r="H20830" s="1245"/>
      <c r="I20830" s="1245"/>
    </row>
    <row r="20831" spans="8:9">
      <c r="H20831" s="1245"/>
      <c r="I20831" s="1245"/>
    </row>
    <row r="20832" spans="8:9">
      <c r="H20832" s="1245"/>
      <c r="I20832" s="1245"/>
    </row>
    <row r="20833" spans="8:9">
      <c r="H20833" s="1245"/>
      <c r="I20833" s="1245"/>
    </row>
    <row r="20834" spans="8:9">
      <c r="H20834" s="1245"/>
      <c r="I20834" s="1245"/>
    </row>
    <row r="20835" spans="8:9">
      <c r="H20835" s="1245"/>
      <c r="I20835" s="1245"/>
    </row>
    <row r="20836" spans="8:9">
      <c r="H20836" s="1245"/>
      <c r="I20836" s="1245"/>
    </row>
    <row r="20837" spans="8:9">
      <c r="H20837" s="1245"/>
      <c r="I20837" s="1245"/>
    </row>
    <row r="20838" spans="8:9">
      <c r="H20838" s="1245"/>
      <c r="I20838" s="1245"/>
    </row>
    <row r="20839" spans="8:9">
      <c r="H20839" s="1245"/>
      <c r="I20839" s="1245"/>
    </row>
    <row r="20840" spans="8:9">
      <c r="H20840" s="1245"/>
      <c r="I20840" s="1245"/>
    </row>
    <row r="20841" spans="8:9">
      <c r="H20841" s="1245"/>
      <c r="I20841" s="1245"/>
    </row>
    <row r="20842" spans="8:9">
      <c r="H20842" s="1245"/>
      <c r="I20842" s="1245"/>
    </row>
    <row r="20843" spans="8:9">
      <c r="H20843" s="1245"/>
      <c r="I20843" s="1245"/>
    </row>
    <row r="20844" spans="8:9">
      <c r="H20844" s="1245"/>
      <c r="I20844" s="1245"/>
    </row>
    <row r="20845" spans="8:9">
      <c r="H20845" s="1245"/>
      <c r="I20845" s="1245"/>
    </row>
    <row r="20846" spans="8:9">
      <c r="H20846" s="1245"/>
      <c r="I20846" s="1245"/>
    </row>
    <row r="20847" spans="8:9">
      <c r="H20847" s="1245"/>
      <c r="I20847" s="1245"/>
    </row>
    <row r="20848" spans="8:9">
      <c r="H20848" s="1245"/>
      <c r="I20848" s="1245"/>
    </row>
    <row r="20849" spans="8:9">
      <c r="H20849" s="1245"/>
      <c r="I20849" s="1245"/>
    </row>
    <row r="20850" spans="8:9">
      <c r="H20850" s="1245"/>
      <c r="I20850" s="1245"/>
    </row>
    <row r="20851" spans="8:9">
      <c r="H20851" s="1245"/>
      <c r="I20851" s="1245"/>
    </row>
    <row r="20852" spans="8:9">
      <c r="H20852" s="1245"/>
      <c r="I20852" s="1245"/>
    </row>
    <row r="20853" spans="8:9">
      <c r="H20853" s="1245"/>
      <c r="I20853" s="1245"/>
    </row>
    <row r="20854" spans="8:9">
      <c r="H20854" s="1245"/>
      <c r="I20854" s="1245"/>
    </row>
    <row r="20855" spans="8:9">
      <c r="H20855" s="1245"/>
      <c r="I20855" s="1245"/>
    </row>
    <row r="20856" spans="8:9">
      <c r="H20856" s="1245"/>
      <c r="I20856" s="1245"/>
    </row>
    <row r="20857" spans="8:9">
      <c r="H20857" s="1245"/>
      <c r="I20857" s="1245"/>
    </row>
    <row r="20858" spans="8:9">
      <c r="H20858" s="1245"/>
      <c r="I20858" s="1245"/>
    </row>
    <row r="20859" spans="8:9">
      <c r="H20859" s="1245"/>
      <c r="I20859" s="1245"/>
    </row>
    <row r="20860" spans="8:9">
      <c r="H20860" s="1245"/>
      <c r="I20860" s="1245"/>
    </row>
    <row r="20861" spans="8:9">
      <c r="H20861" s="1245"/>
      <c r="I20861" s="1245"/>
    </row>
    <row r="20862" spans="8:9">
      <c r="H20862" s="1245"/>
      <c r="I20862" s="1245"/>
    </row>
    <row r="20863" spans="8:9">
      <c r="H20863" s="1245"/>
      <c r="I20863" s="1245"/>
    </row>
    <row r="20864" spans="8:9">
      <c r="H20864" s="1245"/>
      <c r="I20864" s="1245"/>
    </row>
    <row r="20865" spans="8:9">
      <c r="H20865" s="1245"/>
      <c r="I20865" s="1245"/>
    </row>
    <row r="20866" spans="8:9">
      <c r="H20866" s="1245"/>
      <c r="I20866" s="1245"/>
    </row>
    <row r="20867" spans="8:9">
      <c r="H20867" s="1245"/>
      <c r="I20867" s="1245"/>
    </row>
    <row r="20868" spans="8:9">
      <c r="H20868" s="1245"/>
      <c r="I20868" s="1245"/>
    </row>
    <row r="20869" spans="8:9">
      <c r="H20869" s="1245"/>
      <c r="I20869" s="1245"/>
    </row>
    <row r="20870" spans="8:9">
      <c r="H20870" s="1245"/>
      <c r="I20870" s="1245"/>
    </row>
    <row r="20871" spans="8:9">
      <c r="H20871" s="1245"/>
      <c r="I20871" s="1245"/>
    </row>
    <row r="20872" spans="8:9">
      <c r="H20872" s="1245"/>
      <c r="I20872" s="1245"/>
    </row>
    <row r="20873" spans="8:9">
      <c r="H20873" s="1245"/>
      <c r="I20873" s="1245"/>
    </row>
    <row r="20874" spans="8:9">
      <c r="H20874" s="1245"/>
      <c r="I20874" s="1245"/>
    </row>
    <row r="20875" spans="8:9">
      <c r="H20875" s="1245"/>
      <c r="I20875" s="1245"/>
    </row>
    <row r="20876" spans="8:9">
      <c r="H20876" s="1245"/>
      <c r="I20876" s="1245"/>
    </row>
    <row r="20877" spans="8:9">
      <c r="H20877" s="1245"/>
      <c r="I20877" s="1245"/>
    </row>
    <row r="20878" spans="8:9">
      <c r="H20878" s="1245"/>
      <c r="I20878" s="1245"/>
    </row>
    <row r="20879" spans="8:9">
      <c r="H20879" s="1245"/>
      <c r="I20879" s="1245"/>
    </row>
    <row r="20880" spans="8:9">
      <c r="H20880" s="1245"/>
      <c r="I20880" s="1245"/>
    </row>
    <row r="20881" spans="8:9">
      <c r="H20881" s="1245"/>
      <c r="I20881" s="1245"/>
    </row>
    <row r="20882" spans="8:9">
      <c r="H20882" s="1245"/>
      <c r="I20882" s="1245"/>
    </row>
    <row r="20883" spans="8:9">
      <c r="H20883" s="1245"/>
      <c r="I20883" s="1245"/>
    </row>
    <row r="20884" spans="8:9">
      <c r="H20884" s="1245"/>
      <c r="I20884" s="1245"/>
    </row>
    <row r="20885" spans="8:9">
      <c r="H20885" s="1245"/>
      <c r="I20885" s="1245"/>
    </row>
    <row r="20886" spans="8:9">
      <c r="H20886" s="1245"/>
      <c r="I20886" s="1245"/>
    </row>
    <row r="20887" spans="8:9">
      <c r="H20887" s="1245"/>
      <c r="I20887" s="1245"/>
    </row>
    <row r="20888" spans="8:9">
      <c r="H20888" s="1245"/>
      <c r="I20888" s="1245"/>
    </row>
    <row r="20889" spans="8:9">
      <c r="H20889" s="1245"/>
      <c r="I20889" s="1245"/>
    </row>
    <row r="20890" spans="8:9">
      <c r="H20890" s="1245"/>
      <c r="I20890" s="1245"/>
    </row>
    <row r="20891" spans="8:9">
      <c r="H20891" s="1245"/>
      <c r="I20891" s="1245"/>
    </row>
    <row r="20892" spans="8:9">
      <c r="H20892" s="1245"/>
      <c r="I20892" s="1245"/>
    </row>
    <row r="20893" spans="8:9">
      <c r="H20893" s="1245"/>
      <c r="I20893" s="1245"/>
    </row>
    <row r="20894" spans="8:9">
      <c r="H20894" s="1245"/>
      <c r="I20894" s="1245"/>
    </row>
    <row r="20895" spans="8:9">
      <c r="H20895" s="1245"/>
      <c r="I20895" s="1245"/>
    </row>
    <row r="20896" spans="8:9">
      <c r="H20896" s="1245"/>
      <c r="I20896" s="1245"/>
    </row>
    <row r="20897" spans="8:9">
      <c r="H20897" s="1245"/>
      <c r="I20897" s="1245"/>
    </row>
    <row r="20898" spans="8:9">
      <c r="H20898" s="1245"/>
      <c r="I20898" s="1245"/>
    </row>
    <row r="20899" spans="8:9">
      <c r="H20899" s="1245"/>
      <c r="I20899" s="1245"/>
    </row>
    <row r="20900" spans="8:9">
      <c r="H20900" s="1245"/>
      <c r="I20900" s="1245"/>
    </row>
    <row r="20901" spans="8:9">
      <c r="H20901" s="1245"/>
      <c r="I20901" s="1245"/>
    </row>
    <row r="20902" spans="8:9">
      <c r="H20902" s="1245"/>
      <c r="I20902" s="1245"/>
    </row>
    <row r="20903" spans="8:9">
      <c r="H20903" s="1245"/>
      <c r="I20903" s="1245"/>
    </row>
    <row r="20904" spans="8:9">
      <c r="H20904" s="1245"/>
      <c r="I20904" s="1245"/>
    </row>
    <row r="20905" spans="8:9">
      <c r="H20905" s="1245"/>
      <c r="I20905" s="1245"/>
    </row>
    <row r="20906" spans="8:9">
      <c r="H20906" s="1245"/>
      <c r="I20906" s="1245"/>
    </row>
    <row r="20907" spans="8:9">
      <c r="H20907" s="1245"/>
      <c r="I20907" s="1245"/>
    </row>
    <row r="20908" spans="8:9">
      <c r="H20908" s="1245"/>
      <c r="I20908" s="1245"/>
    </row>
    <row r="20909" spans="8:9">
      <c r="H20909" s="1245"/>
      <c r="I20909" s="1245"/>
    </row>
    <row r="20910" spans="8:9">
      <c r="H20910" s="1245"/>
      <c r="I20910" s="1245"/>
    </row>
    <row r="20911" spans="8:9">
      <c r="H20911" s="1245"/>
      <c r="I20911" s="1245"/>
    </row>
    <row r="20912" spans="8:9">
      <c r="H20912" s="1245"/>
      <c r="I20912" s="1245"/>
    </row>
    <row r="20913" spans="8:9">
      <c r="H20913" s="1245"/>
      <c r="I20913" s="1245"/>
    </row>
    <row r="20914" spans="8:9">
      <c r="H20914" s="1245"/>
      <c r="I20914" s="1245"/>
    </row>
    <row r="20915" spans="8:9">
      <c r="H20915" s="1245"/>
      <c r="I20915" s="1245"/>
    </row>
    <row r="20916" spans="8:9">
      <c r="H20916" s="1245"/>
      <c r="I20916" s="1245"/>
    </row>
    <row r="20917" spans="8:9">
      <c r="H20917" s="1245"/>
      <c r="I20917" s="1245"/>
    </row>
    <row r="20918" spans="8:9">
      <c r="H20918" s="1245"/>
      <c r="I20918" s="1245"/>
    </row>
    <row r="20919" spans="8:9">
      <c r="H20919" s="1245"/>
      <c r="I20919" s="1245"/>
    </row>
    <row r="20920" spans="8:9">
      <c r="H20920" s="1245"/>
      <c r="I20920" s="1245"/>
    </row>
    <row r="20921" spans="8:9">
      <c r="H20921" s="1245"/>
      <c r="I20921" s="1245"/>
    </row>
    <row r="20922" spans="8:9">
      <c r="H20922" s="1245"/>
      <c r="I20922" s="1245"/>
    </row>
    <row r="20923" spans="8:9">
      <c r="H20923" s="1245"/>
      <c r="I20923" s="1245"/>
    </row>
    <row r="20924" spans="8:9">
      <c r="H20924" s="1245"/>
      <c r="I20924" s="1245"/>
    </row>
    <row r="20925" spans="8:9">
      <c r="H20925" s="1245"/>
      <c r="I20925" s="1245"/>
    </row>
    <row r="20926" spans="8:9">
      <c r="H20926" s="1245"/>
      <c r="I20926" s="1245"/>
    </row>
    <row r="20927" spans="8:9">
      <c r="H20927" s="1245"/>
      <c r="I20927" s="1245"/>
    </row>
    <row r="20928" spans="8:9">
      <c r="H20928" s="1245"/>
      <c r="I20928" s="1245"/>
    </row>
    <row r="20929" spans="8:9">
      <c r="H20929" s="1245"/>
      <c r="I20929" s="1245"/>
    </row>
    <row r="20930" spans="8:9">
      <c r="H20930" s="1245"/>
      <c r="I20930" s="1245"/>
    </row>
    <row r="20931" spans="8:9">
      <c r="H20931" s="1245"/>
      <c r="I20931" s="1245"/>
    </row>
    <row r="20932" spans="8:9">
      <c r="H20932" s="1245"/>
      <c r="I20932" s="1245"/>
    </row>
    <row r="20933" spans="8:9">
      <c r="H20933" s="1245"/>
      <c r="I20933" s="1245"/>
    </row>
    <row r="20934" spans="8:9">
      <c r="H20934" s="1245"/>
      <c r="I20934" s="1245"/>
    </row>
    <row r="20935" spans="8:9">
      <c r="H20935" s="1245"/>
      <c r="I20935" s="1245"/>
    </row>
    <row r="20936" spans="8:9">
      <c r="H20936" s="1245"/>
      <c r="I20936" s="1245"/>
    </row>
    <row r="20937" spans="8:9">
      <c r="H20937" s="1245"/>
      <c r="I20937" s="1245"/>
    </row>
    <row r="20938" spans="8:9">
      <c r="H20938" s="1245"/>
      <c r="I20938" s="1245"/>
    </row>
    <row r="20939" spans="8:9">
      <c r="H20939" s="1245"/>
      <c r="I20939" s="1245"/>
    </row>
    <row r="20940" spans="8:9">
      <c r="H20940" s="1245"/>
      <c r="I20940" s="1245"/>
    </row>
    <row r="20941" spans="8:9">
      <c r="H20941" s="1245"/>
      <c r="I20941" s="1245"/>
    </row>
    <row r="20942" spans="8:9">
      <c r="H20942" s="1245"/>
      <c r="I20942" s="1245"/>
    </row>
    <row r="20943" spans="8:9">
      <c r="H20943" s="1245"/>
      <c r="I20943" s="1245"/>
    </row>
    <row r="20944" spans="8:9">
      <c r="H20944" s="1245"/>
      <c r="I20944" s="1245"/>
    </row>
    <row r="20945" spans="8:9">
      <c r="H20945" s="1245"/>
      <c r="I20945" s="1245"/>
    </row>
    <row r="20946" spans="8:9">
      <c r="H20946" s="1245"/>
      <c r="I20946" s="1245"/>
    </row>
    <row r="20947" spans="8:9">
      <c r="H20947" s="1245"/>
      <c r="I20947" s="1245"/>
    </row>
    <row r="20948" spans="8:9">
      <c r="H20948" s="1245"/>
      <c r="I20948" s="1245"/>
    </row>
    <row r="20949" spans="8:9">
      <c r="H20949" s="1245"/>
      <c r="I20949" s="1245"/>
    </row>
    <row r="20950" spans="8:9">
      <c r="H20950" s="1245"/>
      <c r="I20950" s="1245"/>
    </row>
    <row r="20951" spans="8:9">
      <c r="H20951" s="1245"/>
      <c r="I20951" s="1245"/>
    </row>
    <row r="20952" spans="8:9">
      <c r="H20952" s="1245"/>
      <c r="I20952" s="1245"/>
    </row>
    <row r="20953" spans="8:9">
      <c r="H20953" s="1245"/>
      <c r="I20953" s="1245"/>
    </row>
    <row r="20954" spans="8:9">
      <c r="H20954" s="1245"/>
      <c r="I20954" s="1245"/>
    </row>
    <row r="20955" spans="8:9">
      <c r="H20955" s="1245"/>
      <c r="I20955" s="1245"/>
    </row>
    <row r="20956" spans="8:9">
      <c r="H20956" s="1245"/>
      <c r="I20956" s="1245"/>
    </row>
    <row r="20957" spans="8:9">
      <c r="H20957" s="1245"/>
      <c r="I20957" s="1245"/>
    </row>
    <row r="20958" spans="8:9">
      <c r="H20958" s="1245"/>
      <c r="I20958" s="1245"/>
    </row>
    <row r="20959" spans="8:9">
      <c r="H20959" s="1245"/>
      <c r="I20959" s="1245"/>
    </row>
    <row r="20960" spans="8:9">
      <c r="H20960" s="1245"/>
      <c r="I20960" s="1245"/>
    </row>
    <row r="20961" spans="8:9">
      <c r="H20961" s="1245"/>
      <c r="I20961" s="1245"/>
    </row>
    <row r="20962" spans="8:9">
      <c r="H20962" s="1245"/>
      <c r="I20962" s="1245"/>
    </row>
    <row r="20963" spans="8:9">
      <c r="H20963" s="1245"/>
      <c r="I20963" s="1245"/>
    </row>
    <row r="20964" spans="8:9">
      <c r="H20964" s="1245"/>
      <c r="I20964" s="1245"/>
    </row>
    <row r="20965" spans="8:9">
      <c r="H20965" s="1245"/>
      <c r="I20965" s="1245"/>
    </row>
    <row r="20966" spans="8:9">
      <c r="H20966" s="1245"/>
      <c r="I20966" s="1245"/>
    </row>
    <row r="20967" spans="8:9">
      <c r="H20967" s="1245"/>
      <c r="I20967" s="1245"/>
    </row>
    <row r="20968" spans="8:9">
      <c r="H20968" s="1245"/>
      <c r="I20968" s="1245"/>
    </row>
    <row r="20969" spans="8:9">
      <c r="H20969" s="1245"/>
      <c r="I20969" s="1245"/>
    </row>
    <row r="20970" spans="8:9">
      <c r="H20970" s="1245"/>
      <c r="I20970" s="1245"/>
    </row>
    <row r="20971" spans="8:9">
      <c r="H20971" s="1245"/>
      <c r="I20971" s="1245"/>
    </row>
    <row r="20972" spans="8:9">
      <c r="H20972" s="1245"/>
      <c r="I20972" s="1245"/>
    </row>
    <row r="20973" spans="8:9">
      <c r="H20973" s="1245"/>
      <c r="I20973" s="1245"/>
    </row>
    <row r="20974" spans="8:9">
      <c r="H20974" s="1245"/>
      <c r="I20974" s="1245"/>
    </row>
    <row r="20975" spans="8:9">
      <c r="H20975" s="1245"/>
      <c r="I20975" s="1245"/>
    </row>
    <row r="20976" spans="8:9">
      <c r="H20976" s="1245"/>
      <c r="I20976" s="1245"/>
    </row>
    <row r="20977" spans="8:9">
      <c r="H20977" s="1245"/>
      <c r="I20977" s="1245"/>
    </row>
    <row r="20978" spans="8:9">
      <c r="H20978" s="1245"/>
      <c r="I20978" s="1245"/>
    </row>
    <row r="20979" spans="8:9">
      <c r="H20979" s="1245"/>
      <c r="I20979" s="1245"/>
    </row>
    <row r="20980" spans="8:9">
      <c r="H20980" s="1245"/>
      <c r="I20980" s="1245"/>
    </row>
    <row r="20981" spans="8:9">
      <c r="H20981" s="1245"/>
      <c r="I20981" s="1245"/>
    </row>
    <row r="20982" spans="8:9">
      <c r="H20982" s="1245"/>
      <c r="I20982" s="1245"/>
    </row>
    <row r="20983" spans="8:9">
      <c r="H20983" s="1245"/>
      <c r="I20983" s="1245"/>
    </row>
    <row r="20984" spans="8:9">
      <c r="H20984" s="1245"/>
      <c r="I20984" s="1245"/>
    </row>
    <row r="20985" spans="8:9">
      <c r="H20985" s="1245"/>
      <c r="I20985" s="1245"/>
    </row>
    <row r="20986" spans="8:9">
      <c r="H20986" s="1245"/>
      <c r="I20986" s="1245"/>
    </row>
    <row r="20987" spans="8:9">
      <c r="H20987" s="1245"/>
      <c r="I20987" s="1245"/>
    </row>
    <row r="20988" spans="8:9">
      <c r="H20988" s="1245"/>
      <c r="I20988" s="1245"/>
    </row>
    <row r="20989" spans="8:9">
      <c r="H20989" s="1245"/>
      <c r="I20989" s="1245"/>
    </row>
    <row r="20990" spans="8:9">
      <c r="H20990" s="1245"/>
      <c r="I20990" s="1245"/>
    </row>
    <row r="20991" spans="8:9">
      <c r="H20991" s="1245"/>
      <c r="I20991" s="1245"/>
    </row>
    <row r="20992" spans="8:9">
      <c r="H20992" s="1245"/>
      <c r="I20992" s="1245"/>
    </row>
    <row r="20993" spans="8:9">
      <c r="H20993" s="1245"/>
      <c r="I20993" s="1245"/>
    </row>
    <row r="20994" spans="8:9">
      <c r="H20994" s="1245"/>
      <c r="I20994" s="1245"/>
    </row>
    <row r="20995" spans="8:9">
      <c r="H20995" s="1245"/>
      <c r="I20995" s="1245"/>
    </row>
    <row r="20996" spans="8:9">
      <c r="H20996" s="1245"/>
      <c r="I20996" s="1245"/>
    </row>
    <row r="20997" spans="8:9">
      <c r="H20997" s="1245"/>
      <c r="I20997" s="1245"/>
    </row>
    <row r="20998" spans="8:9">
      <c r="H20998" s="1245"/>
      <c r="I20998" s="1245"/>
    </row>
    <row r="20999" spans="8:9">
      <c r="H20999" s="1245"/>
      <c r="I20999" s="1245"/>
    </row>
    <row r="21000" spans="8:9">
      <c r="H21000" s="1245"/>
      <c r="I21000" s="1245"/>
    </row>
    <row r="21001" spans="8:9">
      <c r="H21001" s="1245"/>
      <c r="I21001" s="1245"/>
    </row>
    <row r="21002" spans="8:9">
      <c r="H21002" s="1245"/>
      <c r="I21002" s="1245"/>
    </row>
    <row r="21003" spans="8:9">
      <c r="H21003" s="1245"/>
      <c r="I21003" s="1245"/>
    </row>
    <row r="21004" spans="8:9">
      <c r="H21004" s="1245"/>
      <c r="I21004" s="1245"/>
    </row>
    <row r="21005" spans="8:9">
      <c r="H21005" s="1245"/>
      <c r="I21005" s="1245"/>
    </row>
    <row r="21006" spans="8:9">
      <c r="H21006" s="1245"/>
      <c r="I21006" s="1245"/>
    </row>
    <row r="21007" spans="8:9">
      <c r="H21007" s="1245"/>
      <c r="I21007" s="1245"/>
    </row>
    <row r="21008" spans="8:9">
      <c r="H21008" s="1245"/>
      <c r="I21008" s="1245"/>
    </row>
    <row r="21009" spans="8:9">
      <c r="H21009" s="1245"/>
      <c r="I21009" s="1245"/>
    </row>
    <row r="21010" spans="8:9">
      <c r="H21010" s="1245"/>
      <c r="I21010" s="1245"/>
    </row>
    <row r="21011" spans="8:9">
      <c r="H21011" s="1245"/>
      <c r="I21011" s="1245"/>
    </row>
    <row r="21012" spans="8:9">
      <c r="H21012" s="1245"/>
      <c r="I21012" s="1245"/>
    </row>
    <row r="21013" spans="8:9">
      <c r="H21013" s="1245"/>
      <c r="I21013" s="1245"/>
    </row>
    <row r="21014" spans="8:9">
      <c r="H21014" s="1245"/>
      <c r="I21014" s="1245"/>
    </row>
    <row r="21015" spans="8:9">
      <c r="H21015" s="1245"/>
      <c r="I21015" s="1245"/>
    </row>
    <row r="21016" spans="8:9">
      <c r="H21016" s="1245"/>
      <c r="I21016" s="1245"/>
    </row>
    <row r="21017" spans="8:9">
      <c r="H21017" s="1245"/>
      <c r="I21017" s="1245"/>
    </row>
    <row r="21018" spans="8:9">
      <c r="H21018" s="1245"/>
      <c r="I21018" s="1245"/>
    </row>
    <row r="21019" spans="8:9">
      <c r="H21019" s="1245"/>
      <c r="I21019" s="1245"/>
    </row>
    <row r="21020" spans="8:9">
      <c r="H21020" s="1245"/>
      <c r="I21020" s="1245"/>
    </row>
    <row r="21021" spans="8:9">
      <c r="H21021" s="1245"/>
      <c r="I21021" s="1245"/>
    </row>
    <row r="21022" spans="8:9">
      <c r="H21022" s="1245"/>
      <c r="I21022" s="1245"/>
    </row>
    <row r="21023" spans="8:9">
      <c r="H21023" s="1245"/>
      <c r="I21023" s="1245"/>
    </row>
    <row r="21024" spans="8:9">
      <c r="H21024" s="1245"/>
      <c r="I21024" s="1245"/>
    </row>
    <row r="21025" spans="8:9">
      <c r="H21025" s="1245"/>
      <c r="I21025" s="1245"/>
    </row>
    <row r="21026" spans="8:9">
      <c r="H21026" s="1245"/>
      <c r="I21026" s="1245"/>
    </row>
    <row r="21027" spans="8:9">
      <c r="H21027" s="1245"/>
      <c r="I21027" s="1245"/>
    </row>
    <row r="21028" spans="8:9">
      <c r="H21028" s="1245"/>
      <c r="I21028" s="1245"/>
    </row>
    <row r="21029" spans="8:9">
      <c r="H21029" s="1245"/>
      <c r="I21029" s="1245"/>
    </row>
    <row r="21030" spans="8:9">
      <c r="H21030" s="1245"/>
      <c r="I21030" s="1245"/>
    </row>
    <row r="21031" spans="8:9">
      <c r="H21031" s="1245"/>
      <c r="I21031" s="1245"/>
    </row>
    <row r="21032" spans="8:9">
      <c r="H21032" s="1245"/>
      <c r="I21032" s="1245"/>
    </row>
    <row r="21033" spans="8:9">
      <c r="H21033" s="1245"/>
      <c r="I21033" s="1245"/>
    </row>
    <row r="21034" spans="8:9">
      <c r="H21034" s="1245"/>
      <c r="I21034" s="1245"/>
    </row>
    <row r="21035" spans="8:9">
      <c r="H21035" s="1245"/>
      <c r="I21035" s="1245"/>
    </row>
    <row r="21036" spans="8:9">
      <c r="H21036" s="1245"/>
      <c r="I21036" s="1245"/>
    </row>
    <row r="21037" spans="8:9">
      <c r="H21037" s="1245"/>
      <c r="I21037" s="1245"/>
    </row>
    <row r="21038" spans="8:9">
      <c r="H21038" s="1245"/>
      <c r="I21038" s="1245"/>
    </row>
    <row r="21039" spans="8:9">
      <c r="H21039" s="1245"/>
      <c r="I21039" s="1245"/>
    </row>
    <row r="21040" spans="8:9">
      <c r="H21040" s="1245"/>
      <c r="I21040" s="1245"/>
    </row>
    <row r="21041" spans="8:9">
      <c r="H21041" s="1245"/>
      <c r="I21041" s="1245"/>
    </row>
    <row r="21042" spans="8:9">
      <c r="H21042" s="1245"/>
      <c r="I21042" s="1245"/>
    </row>
    <row r="21043" spans="8:9">
      <c r="H21043" s="1245"/>
      <c r="I21043" s="1245"/>
    </row>
    <row r="21044" spans="8:9">
      <c r="H21044" s="1245"/>
      <c r="I21044" s="1245"/>
    </row>
    <row r="21045" spans="8:9">
      <c r="H21045" s="1245"/>
      <c r="I21045" s="1245"/>
    </row>
    <row r="21046" spans="8:9">
      <c r="H21046" s="1245"/>
      <c r="I21046" s="1245"/>
    </row>
    <row r="21047" spans="8:9">
      <c r="H21047" s="1245"/>
      <c r="I21047" s="1245"/>
    </row>
    <row r="21048" spans="8:9">
      <c r="H21048" s="1245"/>
      <c r="I21048" s="1245"/>
    </row>
    <row r="21049" spans="8:9">
      <c r="H21049" s="1245"/>
      <c r="I21049" s="1245"/>
    </row>
    <row r="21050" spans="8:9">
      <c r="H21050" s="1245"/>
      <c r="I21050" s="1245"/>
    </row>
    <row r="21051" spans="8:9">
      <c r="H21051" s="1245"/>
      <c r="I21051" s="1245"/>
    </row>
    <row r="21052" spans="8:9">
      <c r="H21052" s="1245"/>
      <c r="I21052" s="1245"/>
    </row>
    <row r="21053" spans="8:9">
      <c r="H21053" s="1245"/>
      <c r="I21053" s="1245"/>
    </row>
    <row r="21054" spans="8:9">
      <c r="H21054" s="1245"/>
      <c r="I21054" s="1245"/>
    </row>
    <row r="21055" spans="8:9">
      <c r="H21055" s="1245"/>
      <c r="I21055" s="1245"/>
    </row>
    <row r="21056" spans="8:9">
      <c r="H21056" s="1245"/>
      <c r="I21056" s="1245"/>
    </row>
    <row r="21057" spans="8:9">
      <c r="H21057" s="1245"/>
      <c r="I21057" s="1245"/>
    </row>
    <row r="21058" spans="8:9">
      <c r="H21058" s="1245"/>
      <c r="I21058" s="1245"/>
    </row>
    <row r="21059" spans="8:9">
      <c r="H21059" s="1245"/>
      <c r="I21059" s="1245"/>
    </row>
    <row r="21060" spans="8:9">
      <c r="H21060" s="1245"/>
      <c r="I21060" s="1245"/>
    </row>
    <row r="21061" spans="8:9">
      <c r="H21061" s="1245"/>
      <c r="I21061" s="1245"/>
    </row>
    <row r="21062" spans="8:9">
      <c r="H21062" s="1245"/>
      <c r="I21062" s="1245"/>
    </row>
    <row r="21063" spans="8:9">
      <c r="H21063" s="1245"/>
      <c r="I21063" s="1245"/>
    </row>
    <row r="21064" spans="8:9">
      <c r="H21064" s="1245"/>
      <c r="I21064" s="1245"/>
    </row>
    <row r="21065" spans="8:9">
      <c r="H21065" s="1245"/>
      <c r="I21065" s="1245"/>
    </row>
    <row r="21066" spans="8:9">
      <c r="H21066" s="1245"/>
      <c r="I21066" s="1245"/>
    </row>
    <row r="21067" spans="8:9">
      <c r="H21067" s="1245"/>
      <c r="I21067" s="1245"/>
    </row>
    <row r="21068" spans="8:9">
      <c r="H21068" s="1245"/>
      <c r="I21068" s="1245"/>
    </row>
    <row r="21069" spans="8:9">
      <c r="H21069" s="1245"/>
      <c r="I21069" s="1245"/>
    </row>
    <row r="21070" spans="8:9">
      <c r="H21070" s="1245"/>
      <c r="I21070" s="1245"/>
    </row>
    <row r="21071" spans="8:9">
      <c r="H21071" s="1245"/>
      <c r="I21071" s="1245"/>
    </row>
    <row r="21072" spans="8:9">
      <c r="H21072" s="1245"/>
      <c r="I21072" s="1245"/>
    </row>
    <row r="21073" spans="8:9">
      <c r="H21073" s="1245"/>
      <c r="I21073" s="1245"/>
    </row>
    <row r="21074" spans="8:9">
      <c r="H21074" s="1245"/>
      <c r="I21074" s="1245"/>
    </row>
    <row r="21075" spans="8:9">
      <c r="H21075" s="1245"/>
      <c r="I21075" s="1245"/>
    </row>
    <row r="21076" spans="8:9">
      <c r="H21076" s="1245"/>
      <c r="I21076" s="1245"/>
    </row>
    <row r="21077" spans="8:9">
      <c r="H21077" s="1245"/>
      <c r="I21077" s="1245"/>
    </row>
    <row r="21078" spans="8:9">
      <c r="H21078" s="1245"/>
      <c r="I21078" s="1245"/>
    </row>
    <row r="21079" spans="8:9">
      <c r="H21079" s="1245"/>
      <c r="I21079" s="1245"/>
    </row>
    <row r="21080" spans="8:9">
      <c r="H21080" s="1245"/>
      <c r="I21080" s="1245"/>
    </row>
    <row r="21081" spans="8:9">
      <c r="H21081" s="1245"/>
      <c r="I21081" s="1245"/>
    </row>
    <row r="21082" spans="8:9">
      <c r="H21082" s="1245"/>
      <c r="I21082" s="1245"/>
    </row>
    <row r="21083" spans="8:9">
      <c r="H21083" s="1245"/>
      <c r="I21083" s="1245"/>
    </row>
    <row r="21084" spans="8:9">
      <c r="H21084" s="1245"/>
      <c r="I21084" s="1245"/>
    </row>
    <row r="21085" spans="8:9">
      <c r="H21085" s="1245"/>
      <c r="I21085" s="1245"/>
    </row>
    <row r="21086" spans="8:9">
      <c r="H21086" s="1245"/>
      <c r="I21086" s="1245"/>
    </row>
    <row r="21087" spans="8:9">
      <c r="H21087" s="1245"/>
      <c r="I21087" s="1245"/>
    </row>
    <row r="21088" spans="8:9">
      <c r="H21088" s="1245"/>
      <c r="I21088" s="1245"/>
    </row>
    <row r="21089" spans="8:9">
      <c r="H21089" s="1245"/>
      <c r="I21089" s="1245"/>
    </row>
    <row r="21090" spans="8:9">
      <c r="H21090" s="1245"/>
      <c r="I21090" s="1245"/>
    </row>
    <row r="21091" spans="8:9">
      <c r="H21091" s="1245"/>
      <c r="I21091" s="1245"/>
    </row>
    <row r="21092" spans="8:9">
      <c r="H21092" s="1245"/>
      <c r="I21092" s="1245"/>
    </row>
    <row r="21093" spans="8:9">
      <c r="H21093" s="1245"/>
      <c r="I21093" s="1245"/>
    </row>
    <row r="21094" spans="8:9">
      <c r="H21094" s="1245"/>
      <c r="I21094" s="1245"/>
    </row>
    <row r="21095" spans="8:9">
      <c r="H21095" s="1245"/>
      <c r="I21095" s="1245"/>
    </row>
    <row r="21096" spans="8:9">
      <c r="H21096" s="1245"/>
      <c r="I21096" s="1245"/>
    </row>
    <row r="21097" spans="8:9">
      <c r="H21097" s="1245"/>
      <c r="I21097" s="1245"/>
    </row>
    <row r="21098" spans="8:9">
      <c r="H21098" s="1245"/>
      <c r="I21098" s="1245"/>
    </row>
    <row r="21099" spans="8:9">
      <c r="H21099" s="1245"/>
      <c r="I21099" s="1245"/>
    </row>
    <row r="21100" spans="8:9">
      <c r="H21100" s="1245"/>
      <c r="I21100" s="1245"/>
    </row>
    <row r="21101" spans="8:9">
      <c r="H21101" s="1245"/>
      <c r="I21101" s="1245"/>
    </row>
    <row r="21102" spans="8:9">
      <c r="H21102" s="1245"/>
      <c r="I21102" s="1245"/>
    </row>
    <row r="21103" spans="8:9">
      <c r="H21103" s="1245"/>
      <c r="I21103" s="1245"/>
    </row>
    <row r="21104" spans="8:9">
      <c r="H21104" s="1245"/>
      <c r="I21104" s="1245"/>
    </row>
    <row r="21105" spans="8:9">
      <c r="H21105" s="1245"/>
      <c r="I21105" s="1245"/>
    </row>
    <row r="21106" spans="8:9">
      <c r="H21106" s="1245"/>
      <c r="I21106" s="1245"/>
    </row>
    <row r="21107" spans="8:9">
      <c r="H21107" s="1245"/>
      <c r="I21107" s="1245"/>
    </row>
    <row r="21108" spans="8:9">
      <c r="H21108" s="1245"/>
      <c r="I21108" s="1245"/>
    </row>
    <row r="21109" spans="8:9">
      <c r="H21109" s="1245"/>
      <c r="I21109" s="1245"/>
    </row>
    <row r="21110" spans="8:9">
      <c r="H21110" s="1245"/>
      <c r="I21110" s="1245"/>
    </row>
    <row r="21111" spans="8:9">
      <c r="H21111" s="1245"/>
      <c r="I21111" s="1245"/>
    </row>
    <row r="21112" spans="8:9">
      <c r="H21112" s="1245"/>
      <c r="I21112" s="1245"/>
    </row>
    <row r="21113" spans="8:9">
      <c r="H21113" s="1245"/>
      <c r="I21113" s="1245"/>
    </row>
    <row r="21114" spans="8:9">
      <c r="H21114" s="1245"/>
      <c r="I21114" s="1245"/>
    </row>
    <row r="21115" spans="8:9">
      <c r="H21115" s="1245"/>
      <c r="I21115" s="1245"/>
    </row>
    <row r="21116" spans="8:9">
      <c r="H21116" s="1245"/>
      <c r="I21116" s="1245"/>
    </row>
    <row r="21117" spans="8:9">
      <c r="H21117" s="1245"/>
      <c r="I21117" s="1245"/>
    </row>
    <row r="21118" spans="8:9">
      <c r="H21118" s="1245"/>
      <c r="I21118" s="1245"/>
    </row>
    <row r="21119" spans="8:9">
      <c r="H21119" s="1245"/>
      <c r="I21119" s="1245"/>
    </row>
    <row r="21120" spans="8:9">
      <c r="H21120" s="1245"/>
      <c r="I21120" s="1245"/>
    </row>
    <row r="21121" spans="8:9">
      <c r="H21121" s="1245"/>
      <c r="I21121" s="1245"/>
    </row>
    <row r="21122" spans="8:9">
      <c r="H21122" s="1245"/>
      <c r="I21122" s="1245"/>
    </row>
    <row r="21123" spans="8:9">
      <c r="H21123" s="1245"/>
      <c r="I21123" s="1245"/>
    </row>
    <row r="21124" spans="8:9">
      <c r="H21124" s="1245"/>
      <c r="I21124" s="1245"/>
    </row>
    <row r="21125" spans="8:9">
      <c r="H21125" s="1245"/>
      <c r="I21125" s="1245"/>
    </row>
    <row r="21126" spans="8:9">
      <c r="H21126" s="1245"/>
      <c r="I21126" s="1245"/>
    </row>
    <row r="21127" spans="8:9">
      <c r="H21127" s="1245"/>
      <c r="I21127" s="1245"/>
    </row>
    <row r="21128" spans="8:9">
      <c r="H21128" s="1245"/>
      <c r="I21128" s="1245"/>
    </row>
    <row r="21129" spans="8:9">
      <c r="H21129" s="1245"/>
      <c r="I21129" s="1245"/>
    </row>
    <row r="21130" spans="8:9">
      <c r="H21130" s="1245"/>
      <c r="I21130" s="1245"/>
    </row>
    <row r="21131" spans="8:9">
      <c r="H21131" s="1245"/>
      <c r="I21131" s="1245"/>
    </row>
    <row r="21132" spans="8:9">
      <c r="H21132" s="1245"/>
      <c r="I21132" s="1245"/>
    </row>
    <row r="21133" spans="8:9">
      <c r="H21133" s="1245"/>
      <c r="I21133" s="1245"/>
    </row>
    <row r="21134" spans="8:9">
      <c r="H21134" s="1245"/>
      <c r="I21134" s="1245"/>
    </row>
    <row r="21135" spans="8:9">
      <c r="H21135" s="1245"/>
      <c r="I21135" s="1245"/>
    </row>
    <row r="21136" spans="8:9">
      <c r="H21136" s="1245"/>
      <c r="I21136" s="1245"/>
    </row>
    <row r="21137" spans="8:9">
      <c r="H21137" s="1245"/>
      <c r="I21137" s="1245"/>
    </row>
    <row r="21138" spans="8:9">
      <c r="H21138" s="1245"/>
      <c r="I21138" s="1245"/>
    </row>
    <row r="21139" spans="8:9">
      <c r="H21139" s="1245"/>
      <c r="I21139" s="1245"/>
    </row>
    <row r="21140" spans="8:9">
      <c r="H21140" s="1245"/>
      <c r="I21140" s="1245"/>
    </row>
    <row r="21141" spans="8:9">
      <c r="H21141" s="1245"/>
      <c r="I21141" s="1245"/>
    </row>
    <row r="21142" spans="8:9">
      <c r="H21142" s="1245"/>
      <c r="I21142" s="1245"/>
    </row>
    <row r="21143" spans="8:9">
      <c r="H21143" s="1245"/>
      <c r="I21143" s="1245"/>
    </row>
    <row r="21144" spans="8:9">
      <c r="H21144" s="1245"/>
      <c r="I21144" s="1245"/>
    </row>
    <row r="21145" spans="8:9">
      <c r="H21145" s="1245"/>
      <c r="I21145" s="1245"/>
    </row>
    <row r="21146" spans="8:9">
      <c r="H21146" s="1245"/>
      <c r="I21146" s="1245"/>
    </row>
    <row r="21147" spans="8:9">
      <c r="H21147" s="1245"/>
      <c r="I21147" s="1245"/>
    </row>
    <row r="21148" spans="8:9">
      <c r="H21148" s="1245"/>
      <c r="I21148" s="1245"/>
    </row>
    <row r="21149" spans="8:9">
      <c r="H21149" s="1245"/>
      <c r="I21149" s="1245"/>
    </row>
    <row r="21150" spans="8:9">
      <c r="H21150" s="1245"/>
      <c r="I21150" s="1245"/>
    </row>
    <row r="21151" spans="8:9">
      <c r="H21151" s="1245"/>
      <c r="I21151" s="1245"/>
    </row>
    <row r="21152" spans="8:9">
      <c r="H21152" s="1245"/>
      <c r="I21152" s="1245"/>
    </row>
    <row r="21153" spans="8:9">
      <c r="H21153" s="1245"/>
      <c r="I21153" s="1245"/>
    </row>
    <row r="21154" spans="8:9">
      <c r="H21154" s="1245"/>
      <c r="I21154" s="1245"/>
    </row>
    <row r="21155" spans="8:9">
      <c r="H21155" s="1245"/>
      <c r="I21155" s="1245"/>
    </row>
    <row r="21156" spans="8:9">
      <c r="H21156" s="1245"/>
      <c r="I21156" s="1245"/>
    </row>
    <row r="21157" spans="8:9">
      <c r="H21157" s="1245"/>
      <c r="I21157" s="1245"/>
    </row>
    <row r="21158" spans="8:9">
      <c r="H21158" s="1245"/>
      <c r="I21158" s="1245"/>
    </row>
    <row r="21159" spans="8:9">
      <c r="H21159" s="1245"/>
      <c r="I21159" s="1245"/>
    </row>
    <row r="21160" spans="8:9">
      <c r="H21160" s="1245"/>
      <c r="I21160" s="1245"/>
    </row>
    <row r="21161" spans="8:9">
      <c r="H21161" s="1245"/>
      <c r="I21161" s="1245"/>
    </row>
    <row r="21162" spans="8:9">
      <c r="H21162" s="1245"/>
      <c r="I21162" s="1245"/>
    </row>
    <row r="21163" spans="8:9">
      <c r="H21163" s="1245"/>
      <c r="I21163" s="1245"/>
    </row>
    <row r="21164" spans="8:9">
      <c r="H21164" s="1245"/>
      <c r="I21164" s="1245"/>
    </row>
    <row r="21165" spans="8:9">
      <c r="H21165" s="1245"/>
      <c r="I21165" s="1245"/>
    </row>
    <row r="21166" spans="8:9">
      <c r="H21166" s="1245"/>
      <c r="I21166" s="1245"/>
    </row>
    <row r="21167" spans="8:9">
      <c r="H21167" s="1245"/>
      <c r="I21167" s="1245"/>
    </row>
    <row r="21168" spans="8:9">
      <c r="H21168" s="1245"/>
      <c r="I21168" s="1245"/>
    </row>
    <row r="21169" spans="8:9">
      <c r="H21169" s="1245"/>
      <c r="I21169" s="1245"/>
    </row>
    <row r="21170" spans="8:9">
      <c r="H21170" s="1245"/>
      <c r="I21170" s="1245"/>
    </row>
    <row r="21171" spans="8:9">
      <c r="H21171" s="1245"/>
      <c r="I21171" s="1245"/>
    </row>
    <row r="21172" spans="8:9">
      <c r="H21172" s="1245"/>
      <c r="I21172" s="1245"/>
    </row>
    <row r="21173" spans="8:9">
      <c r="H21173" s="1245"/>
      <c r="I21173" s="1245"/>
    </row>
    <row r="21174" spans="8:9">
      <c r="H21174" s="1245"/>
      <c r="I21174" s="1245"/>
    </row>
    <row r="21175" spans="8:9">
      <c r="H21175" s="1245"/>
      <c r="I21175" s="1245"/>
    </row>
    <row r="21176" spans="8:9">
      <c r="H21176" s="1245"/>
      <c r="I21176" s="1245"/>
    </row>
    <row r="21177" spans="8:9">
      <c r="H21177" s="1245"/>
      <c r="I21177" s="1245"/>
    </row>
    <row r="21178" spans="8:9">
      <c r="H21178" s="1245"/>
      <c r="I21178" s="1245"/>
    </row>
    <row r="21179" spans="8:9">
      <c r="H21179" s="1245"/>
      <c r="I21179" s="1245"/>
    </row>
    <row r="21180" spans="8:9">
      <c r="H21180" s="1245"/>
      <c r="I21180" s="1245"/>
    </row>
    <row r="21181" spans="8:9">
      <c r="H21181" s="1245"/>
      <c r="I21181" s="1245"/>
    </row>
    <row r="21182" spans="8:9">
      <c r="H21182" s="1245"/>
      <c r="I21182" s="1245"/>
    </row>
    <row r="21183" spans="8:9">
      <c r="H21183" s="1245"/>
      <c r="I21183" s="1245"/>
    </row>
    <row r="21184" spans="8:9">
      <c r="H21184" s="1245"/>
      <c r="I21184" s="1245"/>
    </row>
    <row r="21185" spans="8:9">
      <c r="H21185" s="1245"/>
      <c r="I21185" s="1245"/>
    </row>
    <row r="21186" spans="8:9">
      <c r="H21186" s="1245"/>
      <c r="I21186" s="1245"/>
    </row>
    <row r="21187" spans="8:9">
      <c r="H21187" s="1245"/>
      <c r="I21187" s="1245"/>
    </row>
    <row r="21188" spans="8:9">
      <c r="H21188" s="1245"/>
      <c r="I21188" s="1245"/>
    </row>
    <row r="21189" spans="8:9">
      <c r="H21189" s="1245"/>
      <c r="I21189" s="1245"/>
    </row>
    <row r="21190" spans="8:9">
      <c r="H21190" s="1245"/>
      <c r="I21190" s="1245"/>
    </row>
    <row r="21191" spans="8:9">
      <c r="H21191" s="1245"/>
      <c r="I21191" s="1245"/>
    </row>
    <row r="21192" spans="8:9">
      <c r="H21192" s="1245"/>
      <c r="I21192" s="1245"/>
    </row>
    <row r="21193" spans="8:9">
      <c r="H21193" s="1245"/>
      <c r="I21193" s="1245"/>
    </row>
    <row r="21194" spans="8:9">
      <c r="H21194" s="1245"/>
      <c r="I21194" s="1245"/>
    </row>
    <row r="21195" spans="8:9">
      <c r="H21195" s="1245"/>
      <c r="I21195" s="1245"/>
    </row>
    <row r="21196" spans="8:9">
      <c r="H21196" s="1245"/>
      <c r="I21196" s="1245"/>
    </row>
    <row r="21197" spans="8:9">
      <c r="H21197" s="1245"/>
      <c r="I21197" s="1245"/>
    </row>
    <row r="21198" spans="8:9">
      <c r="H21198" s="1245"/>
      <c r="I21198" s="1245"/>
    </row>
    <row r="21199" spans="8:9">
      <c r="H21199" s="1245"/>
      <c r="I21199" s="1245"/>
    </row>
    <row r="21200" spans="8:9">
      <c r="H21200" s="1245"/>
      <c r="I21200" s="1245"/>
    </row>
    <row r="21201" spans="8:9">
      <c r="H21201" s="1245"/>
      <c r="I21201" s="1245"/>
    </row>
    <row r="21202" spans="8:9">
      <c r="H21202" s="1245"/>
      <c r="I21202" s="1245"/>
    </row>
    <row r="21203" spans="8:9">
      <c r="H21203" s="1245"/>
      <c r="I21203" s="1245"/>
    </row>
    <row r="21204" spans="8:9">
      <c r="H21204" s="1245"/>
      <c r="I21204" s="1245"/>
    </row>
    <row r="21205" spans="8:9">
      <c r="H21205" s="1245"/>
      <c r="I21205" s="1245"/>
    </row>
    <row r="21206" spans="8:9">
      <c r="H21206" s="1245"/>
      <c r="I21206" s="1245"/>
    </row>
    <row r="21207" spans="8:9">
      <c r="H21207" s="1245"/>
      <c r="I21207" s="1245"/>
    </row>
    <row r="21208" spans="8:9">
      <c r="H21208" s="1245"/>
      <c r="I21208" s="1245"/>
    </row>
    <row r="21209" spans="8:9">
      <c r="H21209" s="1245"/>
      <c r="I21209" s="1245"/>
    </row>
    <row r="21210" spans="8:9">
      <c r="H21210" s="1245"/>
      <c r="I21210" s="1245"/>
    </row>
    <row r="21211" spans="8:9">
      <c r="H21211" s="1245"/>
      <c r="I21211" s="1245"/>
    </row>
    <row r="21212" spans="8:9">
      <c r="H21212" s="1245"/>
      <c r="I21212" s="1245"/>
    </row>
    <row r="21213" spans="8:9">
      <c r="H21213" s="1245"/>
      <c r="I21213" s="1245"/>
    </row>
    <row r="21214" spans="8:9">
      <c r="H21214" s="1245"/>
      <c r="I21214" s="1245"/>
    </row>
    <row r="21215" spans="8:9">
      <c r="H21215" s="1245"/>
      <c r="I21215" s="1245"/>
    </row>
    <row r="21216" spans="8:9">
      <c r="H21216" s="1245"/>
      <c r="I21216" s="1245"/>
    </row>
    <row r="21217" spans="8:9">
      <c r="H21217" s="1245"/>
      <c r="I21217" s="1245"/>
    </row>
    <row r="21218" spans="8:9">
      <c r="H21218" s="1245"/>
      <c r="I21218" s="1245"/>
    </row>
    <row r="21219" spans="8:9">
      <c r="H21219" s="1245"/>
      <c r="I21219" s="1245"/>
    </row>
    <row r="21220" spans="8:9">
      <c r="H21220" s="1245"/>
      <c r="I21220" s="1245"/>
    </row>
    <row r="21221" spans="8:9">
      <c r="H21221" s="1245"/>
      <c r="I21221" s="1245"/>
    </row>
    <row r="21222" spans="8:9">
      <c r="H21222" s="1245"/>
      <c r="I21222" s="1245"/>
    </row>
    <row r="21223" spans="8:9">
      <c r="H21223" s="1245"/>
      <c r="I21223" s="1245"/>
    </row>
    <row r="21224" spans="8:9">
      <c r="H21224" s="1245"/>
      <c r="I21224" s="1245"/>
    </row>
    <row r="21225" spans="8:9">
      <c r="H21225" s="1245"/>
      <c r="I21225" s="1245"/>
    </row>
    <row r="21226" spans="8:9">
      <c r="H21226" s="1245"/>
      <c r="I21226" s="1245"/>
    </row>
    <row r="21227" spans="8:9">
      <c r="H21227" s="1245"/>
      <c r="I21227" s="1245"/>
    </row>
    <row r="21228" spans="8:9">
      <c r="H21228" s="1245"/>
      <c r="I21228" s="1245"/>
    </row>
    <row r="21229" spans="8:9">
      <c r="H21229" s="1245"/>
      <c r="I21229" s="1245"/>
    </row>
    <row r="21230" spans="8:9">
      <c r="H21230" s="1245"/>
      <c r="I21230" s="1245"/>
    </row>
    <row r="21231" spans="8:9">
      <c r="H21231" s="1245"/>
      <c r="I21231" s="1245"/>
    </row>
    <row r="21232" spans="8:9">
      <c r="H21232" s="1245"/>
      <c r="I21232" s="1245"/>
    </row>
    <row r="21233" spans="8:9">
      <c r="H21233" s="1245"/>
      <c r="I21233" s="1245"/>
    </row>
    <row r="21234" spans="8:9">
      <c r="H21234" s="1245"/>
      <c r="I21234" s="1245"/>
    </row>
    <row r="21235" spans="8:9">
      <c r="H21235" s="1245"/>
      <c r="I21235" s="1245"/>
    </row>
    <row r="21236" spans="8:9">
      <c r="H21236" s="1245"/>
      <c r="I21236" s="1245"/>
    </row>
    <row r="21237" spans="8:9">
      <c r="H21237" s="1245"/>
      <c r="I21237" s="1245"/>
    </row>
    <row r="21238" spans="8:9">
      <c r="H21238" s="1245"/>
      <c r="I21238" s="1245"/>
    </row>
    <row r="21239" spans="8:9">
      <c r="H21239" s="1245"/>
      <c r="I21239" s="1245"/>
    </row>
    <row r="21240" spans="8:9">
      <c r="H21240" s="1245"/>
      <c r="I21240" s="1245"/>
    </row>
    <row r="21241" spans="8:9">
      <c r="H21241" s="1245"/>
      <c r="I21241" s="1245"/>
    </row>
    <row r="21242" spans="8:9">
      <c r="H21242" s="1245"/>
      <c r="I21242" s="1245"/>
    </row>
    <row r="21243" spans="8:9">
      <c r="H21243" s="1245"/>
      <c r="I21243" s="1245"/>
    </row>
    <row r="21244" spans="8:9">
      <c r="H21244" s="1245"/>
      <c r="I21244" s="1245"/>
    </row>
    <row r="21245" spans="8:9">
      <c r="H21245" s="1245"/>
      <c r="I21245" s="1245"/>
    </row>
    <row r="21246" spans="8:9">
      <c r="H21246" s="1245"/>
      <c r="I21246" s="1245"/>
    </row>
    <row r="21247" spans="8:9">
      <c r="H21247" s="1245"/>
      <c r="I21247" s="1245"/>
    </row>
    <row r="21248" spans="8:9">
      <c r="H21248" s="1245"/>
      <c r="I21248" s="1245"/>
    </row>
    <row r="21249" spans="8:9">
      <c r="H21249" s="1245"/>
      <c r="I21249" s="1245"/>
    </row>
    <row r="21250" spans="8:9">
      <c r="H21250" s="1245"/>
      <c r="I21250" s="1245"/>
    </row>
    <row r="21251" spans="8:9">
      <c r="H21251" s="1245"/>
      <c r="I21251" s="1245"/>
    </row>
    <row r="21252" spans="8:9">
      <c r="H21252" s="1245"/>
      <c r="I21252" s="1245"/>
    </row>
    <row r="21253" spans="8:9">
      <c r="H21253" s="1245"/>
      <c r="I21253" s="1245"/>
    </row>
    <row r="21254" spans="8:9">
      <c r="H21254" s="1245"/>
      <c r="I21254" s="1245"/>
    </row>
    <row r="21255" spans="8:9">
      <c r="H21255" s="1245"/>
      <c r="I21255" s="1245"/>
    </row>
    <row r="21256" spans="8:9">
      <c r="H21256" s="1245"/>
      <c r="I21256" s="1245"/>
    </row>
    <row r="21257" spans="8:9">
      <c r="H21257" s="1245"/>
      <c r="I21257" s="1245"/>
    </row>
    <row r="21258" spans="8:9">
      <c r="H21258" s="1245"/>
      <c r="I21258" s="1245"/>
    </row>
    <row r="21259" spans="8:9">
      <c r="H21259" s="1245"/>
      <c r="I21259" s="1245"/>
    </row>
    <row r="21260" spans="8:9">
      <c r="H21260" s="1245"/>
      <c r="I21260" s="1245"/>
    </row>
    <row r="21261" spans="8:9">
      <c r="H21261" s="1245"/>
      <c r="I21261" s="1245"/>
    </row>
    <row r="21262" spans="8:9">
      <c r="H21262" s="1245"/>
      <c r="I21262" s="1245"/>
    </row>
    <row r="21263" spans="8:9">
      <c r="H21263" s="1245"/>
      <c r="I21263" s="1245"/>
    </row>
    <row r="21264" spans="8:9">
      <c r="H21264" s="1245"/>
      <c r="I21264" s="1245"/>
    </row>
    <row r="21265" spans="8:9">
      <c r="H21265" s="1245"/>
      <c r="I21265" s="1245"/>
    </row>
    <row r="21266" spans="8:9">
      <c r="H21266" s="1245"/>
      <c r="I21266" s="1245"/>
    </row>
    <row r="21267" spans="8:9">
      <c r="H21267" s="1245"/>
      <c r="I21267" s="1245"/>
    </row>
    <row r="21268" spans="8:9">
      <c r="H21268" s="1245"/>
      <c r="I21268" s="1245"/>
    </row>
    <row r="21269" spans="8:9">
      <c r="H21269" s="1245"/>
      <c r="I21269" s="1245"/>
    </row>
    <row r="21270" spans="8:9">
      <c r="H21270" s="1245"/>
      <c r="I21270" s="1245"/>
    </row>
    <row r="21271" spans="8:9">
      <c r="H21271" s="1245"/>
      <c r="I21271" s="1245"/>
    </row>
    <row r="21272" spans="8:9">
      <c r="H21272" s="1245"/>
      <c r="I21272" s="1245"/>
    </row>
    <row r="21273" spans="8:9">
      <c r="H21273" s="1245"/>
      <c r="I21273" s="1245"/>
    </row>
    <row r="21274" spans="8:9">
      <c r="H21274" s="1245"/>
      <c r="I21274" s="1245"/>
    </row>
    <row r="21275" spans="8:9">
      <c r="H21275" s="1245"/>
      <c r="I21275" s="1245"/>
    </row>
    <row r="21276" spans="8:9">
      <c r="H21276" s="1245"/>
      <c r="I21276" s="1245"/>
    </row>
    <row r="21277" spans="8:9">
      <c r="H21277" s="1245"/>
      <c r="I21277" s="1245"/>
    </row>
    <row r="21278" spans="8:9">
      <c r="H21278" s="1245"/>
      <c r="I21278" s="1245"/>
    </row>
    <row r="21279" spans="8:9">
      <c r="H21279" s="1245"/>
      <c r="I21279" s="1245"/>
    </row>
    <row r="21280" spans="8:9">
      <c r="H21280" s="1245"/>
      <c r="I21280" s="1245"/>
    </row>
    <row r="21281" spans="8:9">
      <c r="H21281" s="1245"/>
      <c r="I21281" s="1245"/>
    </row>
    <row r="21282" spans="8:9">
      <c r="H21282" s="1245"/>
      <c r="I21282" s="1245"/>
    </row>
    <row r="21283" spans="8:9">
      <c r="H21283" s="1245"/>
      <c r="I21283" s="1245"/>
    </row>
    <row r="21284" spans="8:9">
      <c r="H21284" s="1245"/>
      <c r="I21284" s="1245"/>
    </row>
    <row r="21285" spans="8:9">
      <c r="H21285" s="1245"/>
      <c r="I21285" s="1245"/>
    </row>
    <row r="21286" spans="8:9">
      <c r="H21286" s="1245"/>
      <c r="I21286" s="1245"/>
    </row>
    <row r="21287" spans="8:9">
      <c r="H21287" s="1245"/>
      <c r="I21287" s="1245"/>
    </row>
    <row r="21288" spans="8:9">
      <c r="H21288" s="1245"/>
      <c r="I21288" s="1245"/>
    </row>
    <row r="21289" spans="8:9">
      <c r="H21289" s="1245"/>
      <c r="I21289" s="1245"/>
    </row>
    <row r="21290" spans="8:9">
      <c r="H21290" s="1245"/>
      <c r="I21290" s="1245"/>
    </row>
    <row r="21291" spans="8:9">
      <c r="H21291" s="1245"/>
      <c r="I21291" s="1245"/>
    </row>
    <row r="21292" spans="8:9">
      <c r="H21292" s="1245"/>
      <c r="I21292" s="1245"/>
    </row>
    <row r="21293" spans="8:9">
      <c r="H21293" s="1245"/>
      <c r="I21293" s="1245"/>
    </row>
    <row r="21294" spans="8:9">
      <c r="H21294" s="1245"/>
      <c r="I21294" s="1245"/>
    </row>
    <row r="21295" spans="8:9">
      <c r="H21295" s="1245"/>
      <c r="I21295" s="1245"/>
    </row>
    <row r="21296" spans="8:9">
      <c r="H21296" s="1245"/>
      <c r="I21296" s="1245"/>
    </row>
    <row r="21297" spans="8:9">
      <c r="H21297" s="1245"/>
      <c r="I21297" s="1245"/>
    </row>
    <row r="21298" spans="8:9">
      <c r="H21298" s="1245"/>
      <c r="I21298" s="1245"/>
    </row>
    <row r="21299" spans="8:9">
      <c r="H21299" s="1245"/>
      <c r="I21299" s="1245"/>
    </row>
    <row r="21300" spans="8:9">
      <c r="H21300" s="1245"/>
      <c r="I21300" s="1245"/>
    </row>
    <row r="21301" spans="8:9">
      <c r="H21301" s="1245"/>
      <c r="I21301" s="1245"/>
    </row>
    <row r="21302" spans="8:9">
      <c r="H21302" s="1245"/>
      <c r="I21302" s="1245"/>
    </row>
    <row r="21303" spans="8:9">
      <c r="H21303" s="1245"/>
      <c r="I21303" s="1245"/>
    </row>
    <row r="21304" spans="8:9">
      <c r="H21304" s="1245"/>
      <c r="I21304" s="1245"/>
    </row>
    <row r="21305" spans="8:9">
      <c r="H21305" s="1245"/>
      <c r="I21305" s="1245"/>
    </row>
    <row r="21306" spans="8:9">
      <c r="H21306" s="1245"/>
      <c r="I21306" s="1245"/>
    </row>
    <row r="21307" spans="8:9">
      <c r="H21307" s="1245"/>
      <c r="I21307" s="1245"/>
    </row>
    <row r="21308" spans="8:9">
      <c r="H21308" s="1245"/>
      <c r="I21308" s="1245"/>
    </row>
    <row r="21309" spans="8:9">
      <c r="H21309" s="1245"/>
      <c r="I21309" s="1245"/>
    </row>
    <row r="21310" spans="8:9">
      <c r="H21310" s="1245"/>
      <c r="I21310" s="1245"/>
    </row>
    <row r="21311" spans="8:9">
      <c r="H21311" s="1245"/>
      <c r="I21311" s="1245"/>
    </row>
    <row r="21312" spans="8:9">
      <c r="H21312" s="1245"/>
      <c r="I21312" s="1245"/>
    </row>
    <row r="21313" spans="8:9">
      <c r="H21313" s="1245"/>
      <c r="I21313" s="1245"/>
    </row>
    <row r="21314" spans="8:9">
      <c r="H21314" s="1245"/>
      <c r="I21314" s="1245"/>
    </row>
    <row r="21315" spans="8:9">
      <c r="H21315" s="1245"/>
      <c r="I21315" s="1245"/>
    </row>
    <row r="21316" spans="8:9">
      <c r="H21316" s="1245"/>
      <c r="I21316" s="1245"/>
    </row>
    <row r="21317" spans="8:9">
      <c r="H21317" s="1245"/>
      <c r="I21317" s="1245"/>
    </row>
    <row r="21318" spans="8:9">
      <c r="H21318" s="1245"/>
      <c r="I21318" s="1245"/>
    </row>
    <row r="21319" spans="8:9">
      <c r="H21319" s="1245"/>
      <c r="I21319" s="1245"/>
    </row>
    <row r="21320" spans="8:9">
      <c r="H21320" s="1245"/>
      <c r="I21320" s="1245"/>
    </row>
    <row r="21321" spans="8:9">
      <c r="H21321" s="1245"/>
      <c r="I21321" s="1245"/>
    </row>
    <row r="21322" spans="8:9">
      <c r="H21322" s="1245"/>
      <c r="I21322" s="1245"/>
    </row>
    <row r="21323" spans="8:9">
      <c r="H21323" s="1245"/>
      <c r="I21323" s="1245"/>
    </row>
    <row r="21324" spans="8:9">
      <c r="H21324" s="1245"/>
      <c r="I21324" s="1245"/>
    </row>
    <row r="21325" spans="8:9">
      <c r="H21325" s="1245"/>
      <c r="I21325" s="1245"/>
    </row>
    <row r="21326" spans="8:9">
      <c r="H21326" s="1245"/>
      <c r="I21326" s="1245"/>
    </row>
    <row r="21327" spans="8:9">
      <c r="H21327" s="1245"/>
      <c r="I21327" s="1245"/>
    </row>
    <row r="21328" spans="8:9">
      <c r="H21328" s="1245"/>
      <c r="I21328" s="1245"/>
    </row>
    <row r="21329" spans="8:9">
      <c r="H21329" s="1245"/>
      <c r="I21329" s="1245"/>
    </row>
    <row r="21330" spans="8:9">
      <c r="H21330" s="1245"/>
      <c r="I21330" s="1245"/>
    </row>
    <row r="21331" spans="8:9">
      <c r="H21331" s="1245"/>
      <c r="I21331" s="1245"/>
    </row>
    <row r="21332" spans="8:9">
      <c r="H21332" s="1245"/>
      <c r="I21332" s="1245"/>
    </row>
    <row r="21333" spans="8:9">
      <c r="H21333" s="1245"/>
      <c r="I21333" s="1245"/>
    </row>
    <row r="21334" spans="8:9">
      <c r="H21334" s="1245"/>
      <c r="I21334" s="1245"/>
    </row>
    <row r="21335" spans="8:9">
      <c r="H21335" s="1245"/>
      <c r="I21335" s="1245"/>
    </row>
    <row r="21336" spans="8:9">
      <c r="H21336" s="1245"/>
      <c r="I21336" s="1245"/>
    </row>
    <row r="21337" spans="8:9">
      <c r="H21337" s="1245"/>
      <c r="I21337" s="1245"/>
    </row>
    <row r="21338" spans="8:9">
      <c r="H21338" s="1245"/>
      <c r="I21338" s="1245"/>
    </row>
    <row r="21339" spans="8:9">
      <c r="H21339" s="1245"/>
      <c r="I21339" s="1245"/>
    </row>
    <row r="21340" spans="8:9">
      <c r="H21340" s="1245"/>
      <c r="I21340" s="1245"/>
    </row>
    <row r="21341" spans="8:9">
      <c r="H21341" s="1245"/>
      <c r="I21341" s="1245"/>
    </row>
    <row r="21342" spans="8:9">
      <c r="H21342" s="1245"/>
      <c r="I21342" s="1245"/>
    </row>
    <row r="21343" spans="8:9">
      <c r="H21343" s="1245"/>
      <c r="I21343" s="1245"/>
    </row>
    <row r="21344" spans="8:9">
      <c r="H21344" s="1245"/>
      <c r="I21344" s="1245"/>
    </row>
    <row r="21345" spans="8:9">
      <c r="H21345" s="1245"/>
      <c r="I21345" s="1245"/>
    </row>
    <row r="21346" spans="8:9">
      <c r="H21346" s="1245"/>
      <c r="I21346" s="1245"/>
    </row>
    <row r="21347" spans="8:9">
      <c r="H21347" s="1245"/>
      <c r="I21347" s="1245"/>
    </row>
    <row r="21348" spans="8:9">
      <c r="H21348" s="1245"/>
      <c r="I21348" s="1245"/>
    </row>
    <row r="21349" spans="8:9">
      <c r="H21349" s="1245"/>
      <c r="I21349" s="1245"/>
    </row>
    <row r="21350" spans="8:9">
      <c r="H21350" s="1245"/>
      <c r="I21350" s="1245"/>
    </row>
    <row r="21351" spans="8:9">
      <c r="H21351" s="1245"/>
      <c r="I21351" s="1245"/>
    </row>
    <row r="21352" spans="8:9">
      <c r="H21352" s="1245"/>
      <c r="I21352" s="1245"/>
    </row>
    <row r="21353" spans="8:9">
      <c r="H21353" s="1245"/>
      <c r="I21353" s="1245"/>
    </row>
    <row r="21354" spans="8:9">
      <c r="H21354" s="1245"/>
      <c r="I21354" s="1245"/>
    </row>
    <row r="21355" spans="8:9">
      <c r="H21355" s="1245"/>
      <c r="I21355" s="1245"/>
    </row>
    <row r="21356" spans="8:9">
      <c r="H21356" s="1245"/>
      <c r="I21356" s="1245"/>
    </row>
    <row r="21357" spans="8:9">
      <c r="H21357" s="1245"/>
      <c r="I21357" s="1245"/>
    </row>
    <row r="21358" spans="8:9">
      <c r="H21358" s="1245"/>
      <c r="I21358" s="1245"/>
    </row>
    <row r="21359" spans="8:9">
      <c r="H21359" s="1245"/>
      <c r="I21359" s="1245"/>
    </row>
    <row r="21360" spans="8:9">
      <c r="H21360" s="1245"/>
      <c r="I21360" s="1245"/>
    </row>
    <row r="21361" spans="8:9">
      <c r="H21361" s="1245"/>
      <c r="I21361" s="1245"/>
    </row>
    <row r="21362" spans="8:9">
      <c r="H21362" s="1245"/>
      <c r="I21362" s="1245"/>
    </row>
    <row r="21363" spans="8:9">
      <c r="H21363" s="1245"/>
      <c r="I21363" s="1245"/>
    </row>
    <row r="21364" spans="8:9">
      <c r="H21364" s="1245"/>
      <c r="I21364" s="1245"/>
    </row>
    <row r="21365" spans="8:9">
      <c r="H21365" s="1245"/>
      <c r="I21365" s="1245"/>
    </row>
    <row r="21366" spans="8:9">
      <c r="H21366" s="1245"/>
      <c r="I21366" s="1245"/>
    </row>
    <row r="21367" spans="8:9">
      <c r="H21367" s="1245"/>
      <c r="I21367" s="1245"/>
    </row>
    <row r="21368" spans="8:9">
      <c r="H21368" s="1245"/>
      <c r="I21368" s="1245"/>
    </row>
    <row r="21369" spans="8:9">
      <c r="H21369" s="1245"/>
      <c r="I21369" s="1245"/>
    </row>
    <row r="21370" spans="8:9">
      <c r="H21370" s="1245"/>
      <c r="I21370" s="1245"/>
    </row>
    <row r="21371" spans="8:9">
      <c r="H21371" s="1245"/>
      <c r="I21371" s="1245"/>
    </row>
    <row r="21372" spans="8:9">
      <c r="H21372" s="1245"/>
      <c r="I21372" s="1245"/>
    </row>
    <row r="21373" spans="8:9">
      <c r="H21373" s="1245"/>
      <c r="I21373" s="1245"/>
    </row>
    <row r="21374" spans="8:9">
      <c r="H21374" s="1245"/>
      <c r="I21374" s="1245"/>
    </row>
    <row r="21375" spans="8:9">
      <c r="H21375" s="1245"/>
      <c r="I21375" s="1245"/>
    </row>
    <row r="21376" spans="8:9">
      <c r="H21376" s="1245"/>
      <c r="I21376" s="1245"/>
    </row>
    <row r="21377" spans="8:9">
      <c r="H21377" s="1245"/>
      <c r="I21377" s="1245"/>
    </row>
    <row r="21378" spans="8:9">
      <c r="H21378" s="1245"/>
      <c r="I21378" s="1245"/>
    </row>
    <row r="21379" spans="8:9">
      <c r="H21379" s="1245"/>
      <c r="I21379" s="1245"/>
    </row>
    <row r="21380" spans="8:9">
      <c r="H21380" s="1245"/>
      <c r="I21380" s="1245"/>
    </row>
    <row r="21381" spans="8:9">
      <c r="H21381" s="1245"/>
      <c r="I21381" s="1245"/>
    </row>
    <row r="21382" spans="8:9">
      <c r="H21382" s="1245"/>
      <c r="I21382" s="1245"/>
    </row>
    <row r="21383" spans="8:9">
      <c r="H21383" s="1245"/>
      <c r="I21383" s="1245"/>
    </row>
    <row r="21384" spans="8:9">
      <c r="H21384" s="1245"/>
      <c r="I21384" s="1245"/>
    </row>
    <row r="21385" spans="8:9">
      <c r="H21385" s="1245"/>
      <c r="I21385" s="1245"/>
    </row>
    <row r="21386" spans="8:9">
      <c r="H21386" s="1245"/>
      <c r="I21386" s="1245"/>
    </row>
    <row r="21387" spans="8:9">
      <c r="H21387" s="1245"/>
      <c r="I21387" s="1245"/>
    </row>
    <row r="21388" spans="8:9">
      <c r="H21388" s="1245"/>
      <c r="I21388" s="1245"/>
    </row>
    <row r="21389" spans="8:9">
      <c r="H21389" s="1245"/>
      <c r="I21389" s="1245"/>
    </row>
    <row r="21390" spans="8:9">
      <c r="H21390" s="1245"/>
      <c r="I21390" s="1245"/>
    </row>
    <row r="21391" spans="8:9">
      <c r="H21391" s="1245"/>
      <c r="I21391" s="1245"/>
    </row>
    <row r="21392" spans="8:9">
      <c r="H21392" s="1245"/>
      <c r="I21392" s="1245"/>
    </row>
    <row r="21393" spans="8:9">
      <c r="H21393" s="1245"/>
      <c r="I21393" s="1245"/>
    </row>
    <row r="21394" spans="8:9">
      <c r="H21394" s="1245"/>
      <c r="I21394" s="1245"/>
    </row>
    <row r="21395" spans="8:9">
      <c r="H21395" s="1245"/>
      <c r="I21395" s="1245"/>
    </row>
    <row r="21396" spans="8:9">
      <c r="H21396" s="1245"/>
      <c r="I21396" s="1245"/>
    </row>
    <row r="21397" spans="8:9">
      <c r="H21397" s="1245"/>
      <c r="I21397" s="1245"/>
    </row>
    <row r="21398" spans="8:9">
      <c r="H21398" s="1245"/>
      <c r="I21398" s="1245"/>
    </row>
    <row r="21399" spans="8:9">
      <c r="H21399" s="1245"/>
      <c r="I21399" s="1245"/>
    </row>
    <row r="21400" spans="8:9">
      <c r="H21400" s="1245"/>
      <c r="I21400" s="1245"/>
    </row>
    <row r="21401" spans="8:9">
      <c r="H21401" s="1245"/>
      <c r="I21401" s="1245"/>
    </row>
    <row r="21402" spans="8:9">
      <c r="H21402" s="1245"/>
      <c r="I21402" s="1245"/>
    </row>
    <row r="21403" spans="8:9">
      <c r="H21403" s="1245"/>
      <c r="I21403" s="1245"/>
    </row>
    <row r="21404" spans="8:9">
      <c r="H21404" s="1245"/>
      <c r="I21404" s="1245"/>
    </row>
    <row r="21405" spans="8:9">
      <c r="H21405" s="1245"/>
      <c r="I21405" s="1245"/>
    </row>
    <row r="21406" spans="8:9">
      <c r="H21406" s="1245"/>
      <c r="I21406" s="1245"/>
    </row>
    <row r="21407" spans="8:9">
      <c r="H21407" s="1245"/>
      <c r="I21407" s="1245"/>
    </row>
    <row r="21408" spans="8:9">
      <c r="H21408" s="1245"/>
      <c r="I21408" s="1245"/>
    </row>
    <row r="21409" spans="8:9">
      <c r="H21409" s="1245"/>
      <c r="I21409" s="1245"/>
    </row>
    <row r="21410" spans="8:9">
      <c r="H21410" s="1245"/>
      <c r="I21410" s="1245"/>
    </row>
    <row r="21411" spans="8:9">
      <c r="H21411" s="1245"/>
      <c r="I21411" s="1245"/>
    </row>
    <row r="21412" spans="8:9">
      <c r="H21412" s="1245"/>
      <c r="I21412" s="1245"/>
    </row>
    <row r="21413" spans="8:9">
      <c r="H21413" s="1245"/>
      <c r="I21413" s="1245"/>
    </row>
    <row r="21414" spans="8:9">
      <c r="H21414" s="1245"/>
      <c r="I21414" s="1245"/>
    </row>
    <row r="21415" spans="8:9">
      <c r="H21415" s="1245"/>
      <c r="I21415" s="1245"/>
    </row>
    <row r="21416" spans="8:9">
      <c r="H21416" s="1245"/>
      <c r="I21416" s="1245"/>
    </row>
    <row r="21417" spans="8:9">
      <c r="H21417" s="1245"/>
      <c r="I21417" s="1245"/>
    </row>
    <row r="21418" spans="8:9">
      <c r="H21418" s="1245"/>
      <c r="I21418" s="1245"/>
    </row>
    <row r="21419" spans="8:9">
      <c r="H21419" s="1245"/>
      <c r="I21419" s="1245"/>
    </row>
    <row r="21420" spans="8:9">
      <c r="H21420" s="1245"/>
      <c r="I21420" s="1245"/>
    </row>
    <row r="21421" spans="8:9">
      <c r="H21421" s="1245"/>
      <c r="I21421" s="1245"/>
    </row>
    <row r="21422" spans="8:9">
      <c r="H21422" s="1245"/>
      <c r="I21422" s="1245"/>
    </row>
    <row r="21423" spans="8:9">
      <c r="H21423" s="1245"/>
      <c r="I21423" s="1245"/>
    </row>
    <row r="21424" spans="8:9">
      <c r="H21424" s="1245"/>
      <c r="I21424" s="1245"/>
    </row>
    <row r="21425" spans="8:9">
      <c r="H21425" s="1245"/>
      <c r="I21425" s="1245"/>
    </row>
    <row r="21426" spans="8:9">
      <c r="H21426" s="1245"/>
      <c r="I21426" s="1245"/>
    </row>
    <row r="21427" spans="8:9">
      <c r="H21427" s="1245"/>
      <c r="I21427" s="1245"/>
    </row>
    <row r="21428" spans="8:9">
      <c r="H21428" s="1245"/>
      <c r="I21428" s="1245"/>
    </row>
    <row r="21429" spans="8:9">
      <c r="H21429" s="1245"/>
      <c r="I21429" s="1245"/>
    </row>
    <row r="21430" spans="8:9">
      <c r="H21430" s="1245"/>
      <c r="I21430" s="1245"/>
    </row>
    <row r="21431" spans="8:9">
      <c r="H21431" s="1245"/>
      <c r="I21431" s="1245"/>
    </row>
    <row r="21432" spans="8:9">
      <c r="H21432" s="1245"/>
      <c r="I21432" s="1245"/>
    </row>
    <row r="21433" spans="8:9">
      <c r="H21433" s="1245"/>
      <c r="I21433" s="1245"/>
    </row>
    <row r="21434" spans="8:9">
      <c r="H21434" s="1245"/>
      <c r="I21434" s="1245"/>
    </row>
    <row r="21435" spans="8:9">
      <c r="H21435" s="1245"/>
      <c r="I21435" s="1245"/>
    </row>
    <row r="21436" spans="8:9">
      <c r="H21436" s="1245"/>
      <c r="I21436" s="1245"/>
    </row>
    <row r="21437" spans="8:9">
      <c r="H21437" s="1245"/>
      <c r="I21437" s="1245"/>
    </row>
    <row r="21438" spans="8:9">
      <c r="H21438" s="1245"/>
      <c r="I21438" s="1245"/>
    </row>
    <row r="21439" spans="8:9">
      <c r="H21439" s="1245"/>
      <c r="I21439" s="1245"/>
    </row>
    <row r="21440" spans="8:9">
      <c r="H21440" s="1245"/>
      <c r="I21440" s="1245"/>
    </row>
    <row r="21441" spans="8:9">
      <c r="H21441" s="1245"/>
      <c r="I21441" s="1245"/>
    </row>
    <row r="21442" spans="8:9">
      <c r="H21442" s="1245"/>
      <c r="I21442" s="1245"/>
    </row>
    <row r="21443" spans="8:9">
      <c r="H21443" s="1245"/>
      <c r="I21443" s="1245"/>
    </row>
    <row r="21444" spans="8:9">
      <c r="H21444" s="1245"/>
      <c r="I21444" s="1245"/>
    </row>
    <row r="21445" spans="8:9">
      <c r="H21445" s="1245"/>
      <c r="I21445" s="1245"/>
    </row>
    <row r="21446" spans="8:9">
      <c r="H21446" s="1245"/>
      <c r="I21446" s="1245"/>
    </row>
    <row r="21447" spans="8:9">
      <c r="H21447" s="1245"/>
      <c r="I21447" s="1245"/>
    </row>
    <row r="21448" spans="8:9">
      <c r="H21448" s="1245"/>
      <c r="I21448" s="1245"/>
    </row>
    <row r="21449" spans="8:9">
      <c r="H21449" s="1245"/>
      <c r="I21449" s="1245"/>
    </row>
    <row r="21450" spans="8:9">
      <c r="H21450" s="1245"/>
      <c r="I21450" s="1245"/>
    </row>
    <row r="21451" spans="8:9">
      <c r="H21451" s="1245"/>
      <c r="I21451" s="1245"/>
    </row>
    <row r="21452" spans="8:9">
      <c r="H21452" s="1245"/>
      <c r="I21452" s="1245"/>
    </row>
    <row r="21453" spans="8:9">
      <c r="H21453" s="1245"/>
      <c r="I21453" s="1245"/>
    </row>
    <row r="21454" spans="8:9">
      <c r="H21454" s="1245"/>
      <c r="I21454" s="1245"/>
    </row>
    <row r="21455" spans="8:9">
      <c r="H21455" s="1245"/>
      <c r="I21455" s="1245"/>
    </row>
    <row r="21456" spans="8:9">
      <c r="H21456" s="1245"/>
      <c r="I21456" s="1245"/>
    </row>
    <row r="21457" spans="8:9">
      <c r="H21457" s="1245"/>
      <c r="I21457" s="1245"/>
    </row>
    <row r="21458" spans="8:9">
      <c r="H21458" s="1245"/>
      <c r="I21458" s="1245"/>
    </row>
    <row r="21459" spans="8:9">
      <c r="H21459" s="1245"/>
      <c r="I21459" s="1245"/>
    </row>
    <row r="21460" spans="8:9">
      <c r="H21460" s="1245"/>
      <c r="I21460" s="1245"/>
    </row>
    <row r="21461" spans="8:9">
      <c r="H21461" s="1245"/>
      <c r="I21461" s="1245"/>
    </row>
    <row r="21462" spans="8:9">
      <c r="H21462" s="1245"/>
      <c r="I21462" s="1245"/>
    </row>
    <row r="21463" spans="8:9">
      <c r="H21463" s="1245"/>
      <c r="I21463" s="1245"/>
    </row>
    <row r="21464" spans="8:9">
      <c r="H21464" s="1245"/>
      <c r="I21464" s="1245"/>
    </row>
    <row r="21465" spans="8:9">
      <c r="H21465" s="1245"/>
      <c r="I21465" s="1245"/>
    </row>
    <row r="21466" spans="8:9">
      <c r="H21466" s="1245"/>
      <c r="I21466" s="1245"/>
    </row>
    <row r="21467" spans="8:9">
      <c r="H21467" s="1245"/>
      <c r="I21467" s="1245"/>
    </row>
    <row r="21468" spans="8:9">
      <c r="H21468" s="1245"/>
      <c r="I21468" s="1245"/>
    </row>
    <row r="21469" spans="8:9">
      <c r="H21469" s="1245"/>
      <c r="I21469" s="1245"/>
    </row>
    <row r="21470" spans="8:9">
      <c r="H21470" s="1245"/>
      <c r="I21470" s="1245"/>
    </row>
    <row r="21471" spans="8:9">
      <c r="H21471" s="1245"/>
      <c r="I21471" s="1245"/>
    </row>
    <row r="21472" spans="8:9">
      <c r="H21472" s="1245"/>
      <c r="I21472" s="1245"/>
    </row>
    <row r="21473" spans="8:9">
      <c r="H21473" s="1245"/>
      <c r="I21473" s="1245"/>
    </row>
    <row r="21474" spans="8:9">
      <c r="H21474" s="1245"/>
      <c r="I21474" s="1245"/>
    </row>
    <row r="21475" spans="8:9">
      <c r="H21475" s="1245"/>
      <c r="I21475" s="1245"/>
    </row>
    <row r="21476" spans="8:9">
      <c r="H21476" s="1245"/>
      <c r="I21476" s="1245"/>
    </row>
    <row r="21477" spans="8:9">
      <c r="H21477" s="1245"/>
      <c r="I21477" s="1245"/>
    </row>
    <row r="21478" spans="8:9">
      <c r="H21478" s="1245"/>
      <c r="I21478" s="1245"/>
    </row>
    <row r="21479" spans="8:9">
      <c r="H21479" s="1245"/>
      <c r="I21479" s="1245"/>
    </row>
    <row r="21480" spans="8:9">
      <c r="H21480" s="1245"/>
      <c r="I21480" s="1245"/>
    </row>
    <row r="21481" spans="8:9">
      <c r="H21481" s="1245"/>
      <c r="I21481" s="1245"/>
    </row>
    <row r="21482" spans="8:9">
      <c r="H21482" s="1245"/>
      <c r="I21482" s="1245"/>
    </row>
    <row r="21483" spans="8:9">
      <c r="H21483" s="1245"/>
      <c r="I21483" s="1245"/>
    </row>
    <row r="21484" spans="8:9">
      <c r="H21484" s="1245"/>
      <c r="I21484" s="1245"/>
    </row>
    <row r="21485" spans="8:9">
      <c r="H21485" s="1245"/>
      <c r="I21485" s="1245"/>
    </row>
    <row r="21486" spans="8:9">
      <c r="H21486" s="1245"/>
      <c r="I21486" s="1245"/>
    </row>
    <row r="21487" spans="8:9">
      <c r="H21487" s="1245"/>
      <c r="I21487" s="1245"/>
    </row>
    <row r="21488" spans="8:9">
      <c r="H21488" s="1245"/>
      <c r="I21488" s="1245"/>
    </row>
    <row r="21489" spans="8:9">
      <c r="H21489" s="1245"/>
      <c r="I21489" s="1245"/>
    </row>
    <row r="21490" spans="8:9">
      <c r="H21490" s="1245"/>
      <c r="I21490" s="1245"/>
    </row>
    <row r="21491" spans="8:9">
      <c r="H21491" s="1245"/>
      <c r="I21491" s="1245"/>
    </row>
    <row r="21492" spans="8:9">
      <c r="H21492" s="1245"/>
      <c r="I21492" s="1245"/>
    </row>
    <row r="21493" spans="8:9">
      <c r="H21493" s="1245"/>
      <c r="I21493" s="1245"/>
    </row>
    <row r="21494" spans="8:9">
      <c r="H21494" s="1245"/>
      <c r="I21494" s="1245"/>
    </row>
    <row r="21495" spans="8:9">
      <c r="H21495" s="1245"/>
      <c r="I21495" s="1245"/>
    </row>
    <row r="21496" spans="8:9">
      <c r="H21496" s="1245"/>
      <c r="I21496" s="1245"/>
    </row>
    <row r="21497" spans="8:9">
      <c r="H21497" s="1245"/>
      <c r="I21497" s="1245"/>
    </row>
    <row r="21498" spans="8:9">
      <c r="H21498" s="1245"/>
      <c r="I21498" s="1245"/>
    </row>
    <row r="21499" spans="8:9">
      <c r="H21499" s="1245"/>
      <c r="I21499" s="1245"/>
    </row>
    <row r="21500" spans="8:9">
      <c r="H21500" s="1245"/>
      <c r="I21500" s="1245"/>
    </row>
    <row r="21501" spans="8:9">
      <c r="H21501" s="1245"/>
      <c r="I21501" s="1245"/>
    </row>
    <row r="21502" spans="8:9">
      <c r="H21502" s="1245"/>
      <c r="I21502" s="1245"/>
    </row>
    <row r="21503" spans="8:9">
      <c r="H21503" s="1245"/>
      <c r="I21503" s="1245"/>
    </row>
    <row r="21504" spans="8:9">
      <c r="H21504" s="1245"/>
      <c r="I21504" s="1245"/>
    </row>
    <row r="21505" spans="8:9">
      <c r="H21505" s="1245"/>
      <c r="I21505" s="1245"/>
    </row>
    <row r="21506" spans="8:9">
      <c r="H21506" s="1245"/>
      <c r="I21506" s="1245"/>
    </row>
    <row r="21507" spans="8:9">
      <c r="H21507" s="1245"/>
      <c r="I21507" s="1245"/>
    </row>
    <row r="21508" spans="8:9">
      <c r="H21508" s="1245"/>
      <c r="I21508" s="1245"/>
    </row>
    <row r="21509" spans="8:9">
      <c r="H21509" s="1245"/>
      <c r="I21509" s="1245"/>
    </row>
    <row r="21510" spans="8:9">
      <c r="H21510" s="1245"/>
      <c r="I21510" s="1245"/>
    </row>
    <row r="21511" spans="8:9">
      <c r="H21511" s="1245"/>
      <c r="I21511" s="1245"/>
    </row>
    <row r="21512" spans="8:9">
      <c r="H21512" s="1245"/>
      <c r="I21512" s="1245"/>
    </row>
    <row r="21513" spans="8:9">
      <c r="H21513" s="1245"/>
      <c r="I21513" s="1245"/>
    </row>
    <row r="21514" spans="8:9">
      <c r="H21514" s="1245"/>
      <c r="I21514" s="1245"/>
    </row>
    <row r="21515" spans="8:9">
      <c r="H21515" s="1245"/>
      <c r="I21515" s="1245"/>
    </row>
    <row r="21516" spans="8:9">
      <c r="H21516" s="1245"/>
      <c r="I21516" s="1245"/>
    </row>
    <row r="21517" spans="8:9">
      <c r="H21517" s="1245"/>
      <c r="I21517" s="1245"/>
    </row>
    <row r="21518" spans="8:9">
      <c r="H21518" s="1245"/>
      <c r="I21518" s="1245"/>
    </row>
    <row r="21519" spans="8:9">
      <c r="H21519" s="1245"/>
      <c r="I21519" s="1245"/>
    </row>
    <row r="21520" spans="8:9">
      <c r="H21520" s="1245"/>
      <c r="I21520" s="1245"/>
    </row>
    <row r="21521" spans="8:9">
      <c r="H21521" s="1245"/>
      <c r="I21521" s="1245"/>
    </row>
    <row r="21522" spans="8:9">
      <c r="H21522" s="1245"/>
      <c r="I21522" s="1245"/>
    </row>
    <row r="21523" spans="8:9">
      <c r="H21523" s="1245"/>
      <c r="I21523" s="1245"/>
    </row>
    <row r="21524" spans="8:9">
      <c r="H21524" s="1245"/>
      <c r="I21524" s="1245"/>
    </row>
    <row r="21525" spans="8:9">
      <c r="H21525" s="1245"/>
      <c r="I21525" s="1245"/>
    </row>
    <row r="21526" spans="8:9">
      <c r="H21526" s="1245"/>
      <c r="I21526" s="1245"/>
    </row>
    <row r="21527" spans="8:9">
      <c r="H21527" s="1245"/>
      <c r="I21527" s="1245"/>
    </row>
    <row r="21528" spans="8:9">
      <c r="H21528" s="1245"/>
      <c r="I21528" s="1245"/>
    </row>
    <row r="21529" spans="8:9">
      <c r="H21529" s="1245"/>
      <c r="I21529" s="1245"/>
    </row>
    <row r="21530" spans="8:9">
      <c r="H21530" s="1245"/>
      <c r="I21530" s="1245"/>
    </row>
    <row r="21531" spans="8:9">
      <c r="H21531" s="1245"/>
      <c r="I21531" s="1245"/>
    </row>
    <row r="21532" spans="8:9">
      <c r="H21532" s="1245"/>
      <c r="I21532" s="1245"/>
    </row>
    <row r="21533" spans="8:9">
      <c r="H21533" s="1245"/>
      <c r="I21533" s="1245"/>
    </row>
    <row r="21534" spans="8:9">
      <c r="H21534" s="1245"/>
      <c r="I21534" s="1245"/>
    </row>
    <row r="21535" spans="8:9">
      <c r="H21535" s="1245"/>
      <c r="I21535" s="1245"/>
    </row>
    <row r="21536" spans="8:9">
      <c r="H21536" s="1245"/>
      <c r="I21536" s="1245"/>
    </row>
    <row r="21537" spans="8:9">
      <c r="H21537" s="1245"/>
      <c r="I21537" s="1245"/>
    </row>
    <row r="21538" spans="8:9">
      <c r="H21538" s="1245"/>
      <c r="I21538" s="1245"/>
    </row>
    <row r="21539" spans="8:9">
      <c r="H21539" s="1245"/>
      <c r="I21539" s="1245"/>
    </row>
    <row r="21540" spans="8:9">
      <c r="H21540" s="1245"/>
      <c r="I21540" s="1245"/>
    </row>
    <row r="21541" spans="8:9">
      <c r="H21541" s="1245"/>
      <c r="I21541" s="1245"/>
    </row>
    <row r="21542" spans="8:9">
      <c r="H21542" s="1245"/>
      <c r="I21542" s="1245"/>
    </row>
    <row r="21543" spans="8:9">
      <c r="H21543" s="1245"/>
      <c r="I21543" s="1245"/>
    </row>
    <row r="21544" spans="8:9">
      <c r="H21544" s="1245"/>
      <c r="I21544" s="1245"/>
    </row>
    <row r="21545" spans="8:9">
      <c r="H21545" s="1245"/>
      <c r="I21545" s="1245"/>
    </row>
    <row r="21546" spans="8:9">
      <c r="H21546" s="1245"/>
      <c r="I21546" s="1245"/>
    </row>
    <row r="21547" spans="8:9">
      <c r="H21547" s="1245"/>
      <c r="I21547" s="1245"/>
    </row>
    <row r="21548" spans="8:9">
      <c r="H21548" s="1245"/>
      <c r="I21548" s="1245"/>
    </row>
    <row r="21549" spans="8:9">
      <c r="H21549" s="1245"/>
      <c r="I21549" s="1245"/>
    </row>
    <row r="21550" spans="8:9">
      <c r="H21550" s="1245"/>
      <c r="I21550" s="1245"/>
    </row>
    <row r="21551" spans="8:9">
      <c r="H21551" s="1245"/>
      <c r="I21551" s="1245"/>
    </row>
    <row r="21552" spans="8:9">
      <c r="H21552" s="1245"/>
      <c r="I21552" s="1245"/>
    </row>
    <row r="21553" spans="8:9">
      <c r="H21553" s="1245"/>
      <c r="I21553" s="1245"/>
    </row>
    <row r="21554" spans="8:9">
      <c r="H21554" s="1245"/>
      <c r="I21554" s="1245"/>
    </row>
    <row r="21555" spans="8:9">
      <c r="H21555" s="1245"/>
      <c r="I21555" s="1245"/>
    </row>
    <row r="21556" spans="8:9">
      <c r="H21556" s="1245"/>
      <c r="I21556" s="1245"/>
    </row>
    <row r="21557" spans="8:9">
      <c r="H21557" s="1245"/>
      <c r="I21557" s="1245"/>
    </row>
    <row r="21558" spans="8:9">
      <c r="H21558" s="1245"/>
      <c r="I21558" s="1245"/>
    </row>
    <row r="21559" spans="8:9">
      <c r="H21559" s="1245"/>
      <c r="I21559" s="1245"/>
    </row>
    <row r="21560" spans="8:9">
      <c r="H21560" s="1245"/>
      <c r="I21560" s="1245"/>
    </row>
    <row r="21561" spans="8:9">
      <c r="H21561" s="1245"/>
      <c r="I21561" s="1245"/>
    </row>
    <row r="21562" spans="8:9">
      <c r="H21562" s="1245"/>
      <c r="I21562" s="1245"/>
    </row>
    <row r="21563" spans="8:9">
      <c r="H21563" s="1245"/>
      <c r="I21563" s="1245"/>
    </row>
    <row r="21564" spans="8:9">
      <c r="H21564" s="1245"/>
      <c r="I21564" s="1245"/>
    </row>
    <row r="21565" spans="8:9">
      <c r="H21565" s="1245"/>
      <c r="I21565" s="1245"/>
    </row>
    <row r="21566" spans="8:9">
      <c r="H21566" s="1245"/>
      <c r="I21566" s="1245"/>
    </row>
    <row r="21567" spans="8:9">
      <c r="H21567" s="1245"/>
      <c r="I21567" s="1245"/>
    </row>
    <row r="21568" spans="8:9">
      <c r="H21568" s="1245"/>
      <c r="I21568" s="1245"/>
    </row>
    <row r="21569" spans="8:9">
      <c r="H21569" s="1245"/>
      <c r="I21569" s="1245"/>
    </row>
    <row r="21570" spans="8:9">
      <c r="H21570" s="1245"/>
      <c r="I21570" s="1245"/>
    </row>
    <row r="21571" spans="8:9">
      <c r="H21571" s="1245"/>
      <c r="I21571" s="1245"/>
    </row>
    <row r="21572" spans="8:9">
      <c r="H21572" s="1245"/>
      <c r="I21572" s="1245"/>
    </row>
    <row r="21573" spans="8:9">
      <c r="H21573" s="1245"/>
      <c r="I21573" s="1245"/>
    </row>
    <row r="21574" spans="8:9">
      <c r="H21574" s="1245"/>
      <c r="I21574" s="1245"/>
    </row>
    <row r="21575" spans="8:9">
      <c r="H21575" s="1245"/>
      <c r="I21575" s="1245"/>
    </row>
    <row r="21576" spans="8:9">
      <c r="H21576" s="1245"/>
      <c r="I21576" s="1245"/>
    </row>
    <row r="21577" spans="8:9">
      <c r="H21577" s="1245"/>
      <c r="I21577" s="1245"/>
    </row>
    <row r="21578" spans="8:9">
      <c r="H21578" s="1245"/>
      <c r="I21578" s="1245"/>
    </row>
    <row r="21579" spans="8:9">
      <c r="H21579" s="1245"/>
      <c r="I21579" s="1245"/>
    </row>
    <row r="21580" spans="8:9">
      <c r="H21580" s="1245"/>
      <c r="I21580" s="1245"/>
    </row>
    <row r="21581" spans="8:9">
      <c r="H21581" s="1245"/>
      <c r="I21581" s="1245"/>
    </row>
    <row r="21582" spans="8:9">
      <c r="H21582" s="1245"/>
      <c r="I21582" s="1245"/>
    </row>
    <row r="21583" spans="8:9">
      <c r="H21583" s="1245"/>
      <c r="I21583" s="1245"/>
    </row>
    <row r="21584" spans="8:9">
      <c r="H21584" s="1245"/>
      <c r="I21584" s="1245"/>
    </row>
    <row r="21585" spans="8:9">
      <c r="H21585" s="1245"/>
      <c r="I21585" s="1245"/>
    </row>
    <row r="21586" spans="8:9">
      <c r="H21586" s="1245"/>
      <c r="I21586" s="1245"/>
    </row>
    <row r="21587" spans="8:9">
      <c r="H21587" s="1245"/>
      <c r="I21587" s="1245"/>
    </row>
    <row r="21588" spans="8:9">
      <c r="H21588" s="1245"/>
      <c r="I21588" s="1245"/>
    </row>
    <row r="21589" spans="8:9">
      <c r="H21589" s="1245"/>
      <c r="I21589" s="1245"/>
    </row>
    <row r="21590" spans="8:9">
      <c r="H21590" s="1245"/>
      <c r="I21590" s="1245"/>
    </row>
    <row r="21591" spans="8:9">
      <c r="H21591" s="1245"/>
      <c r="I21591" s="1245"/>
    </row>
    <row r="21592" spans="8:9">
      <c r="H21592" s="1245"/>
      <c r="I21592" s="1245"/>
    </row>
    <row r="21593" spans="8:9">
      <c r="H21593" s="1245"/>
      <c r="I21593" s="1245"/>
    </row>
    <row r="21594" spans="8:9">
      <c r="H21594" s="1245"/>
      <c r="I21594" s="1245"/>
    </row>
    <row r="21595" spans="8:9">
      <c r="H21595" s="1245"/>
      <c r="I21595" s="1245"/>
    </row>
    <row r="21596" spans="8:9">
      <c r="H21596" s="1245"/>
      <c r="I21596" s="1245"/>
    </row>
    <row r="21597" spans="8:9">
      <c r="H21597" s="1245"/>
      <c r="I21597" s="1245"/>
    </row>
    <row r="21598" spans="8:9">
      <c r="H21598" s="1245"/>
      <c r="I21598" s="1245"/>
    </row>
    <row r="21599" spans="8:9">
      <c r="H21599" s="1245"/>
      <c r="I21599" s="1245"/>
    </row>
    <row r="21600" spans="8:9">
      <c r="H21600" s="1245"/>
      <c r="I21600" s="1245"/>
    </row>
    <row r="21601" spans="8:9">
      <c r="H21601" s="1245"/>
      <c r="I21601" s="1245"/>
    </row>
    <row r="21602" spans="8:9">
      <c r="H21602" s="1245"/>
      <c r="I21602" s="1245"/>
    </row>
    <row r="21603" spans="8:9">
      <c r="H21603" s="1245"/>
      <c r="I21603" s="1245"/>
    </row>
    <row r="21604" spans="8:9">
      <c r="H21604" s="1245"/>
      <c r="I21604" s="1245"/>
    </row>
    <row r="21605" spans="8:9">
      <c r="H21605" s="1245"/>
      <c r="I21605" s="1245"/>
    </row>
    <row r="21606" spans="8:9">
      <c r="H21606" s="1245"/>
      <c r="I21606" s="1245"/>
    </row>
    <row r="21607" spans="8:9">
      <c r="H21607" s="1245"/>
      <c r="I21607" s="1245"/>
    </row>
    <row r="21608" spans="8:9">
      <c r="H21608" s="1245"/>
      <c r="I21608" s="1245"/>
    </row>
    <row r="21609" spans="8:9">
      <c r="H21609" s="1245"/>
      <c r="I21609" s="1245"/>
    </row>
    <row r="21610" spans="8:9">
      <c r="H21610" s="1245"/>
      <c r="I21610" s="1245"/>
    </row>
    <row r="21611" spans="8:9">
      <c r="H21611" s="1245"/>
      <c r="I21611" s="1245"/>
    </row>
    <row r="21612" spans="8:9">
      <c r="H21612" s="1245"/>
      <c r="I21612" s="1245"/>
    </row>
    <row r="21613" spans="8:9">
      <c r="H21613" s="1245"/>
      <c r="I21613" s="1245"/>
    </row>
    <row r="21614" spans="8:9">
      <c r="H21614" s="1245"/>
      <c r="I21614" s="1245"/>
    </row>
    <row r="21615" spans="8:9">
      <c r="H21615" s="1245"/>
      <c r="I21615" s="1245"/>
    </row>
    <row r="21616" spans="8:9">
      <c r="H21616" s="1245"/>
      <c r="I21616" s="1245"/>
    </row>
    <row r="21617" spans="8:9">
      <c r="H21617" s="1245"/>
      <c r="I21617" s="1245"/>
    </row>
    <row r="21618" spans="8:9">
      <c r="H21618" s="1245"/>
      <c r="I21618" s="1245"/>
    </row>
    <row r="21619" spans="8:9">
      <c r="H21619" s="1245"/>
      <c r="I21619" s="1245"/>
    </row>
    <row r="21620" spans="8:9">
      <c r="H21620" s="1245"/>
      <c r="I21620" s="1245"/>
    </row>
    <row r="21621" spans="8:9">
      <c r="H21621" s="1245"/>
      <c r="I21621" s="1245"/>
    </row>
    <row r="21622" spans="8:9">
      <c r="H21622" s="1245"/>
      <c r="I21622" s="1245"/>
    </row>
    <row r="21623" spans="8:9">
      <c r="H21623" s="1245"/>
      <c r="I21623" s="1245"/>
    </row>
    <row r="21624" spans="8:9">
      <c r="H21624" s="1245"/>
      <c r="I21624" s="1245"/>
    </row>
    <row r="21625" spans="8:9">
      <c r="H21625" s="1245"/>
      <c r="I21625" s="1245"/>
    </row>
    <row r="21626" spans="8:9">
      <c r="H21626" s="1245"/>
      <c r="I21626" s="1245"/>
    </row>
    <row r="21627" spans="8:9">
      <c r="H21627" s="1245"/>
      <c r="I21627" s="1245"/>
    </row>
    <row r="21628" spans="8:9">
      <c r="H21628" s="1245"/>
      <c r="I21628" s="1245"/>
    </row>
    <row r="21629" spans="8:9">
      <c r="H21629" s="1245"/>
      <c r="I21629" s="1245"/>
    </row>
    <row r="21630" spans="8:9">
      <c r="H21630" s="1245"/>
      <c r="I21630" s="1245"/>
    </row>
    <row r="21631" spans="8:9">
      <c r="H21631" s="1245"/>
      <c r="I21631" s="1245"/>
    </row>
    <row r="21632" spans="8:9">
      <c r="H21632" s="1245"/>
      <c r="I21632" s="1245"/>
    </row>
    <row r="21633" spans="8:9">
      <c r="H21633" s="1245"/>
      <c r="I21633" s="1245"/>
    </row>
    <row r="21634" spans="8:9">
      <c r="H21634" s="1245"/>
      <c r="I21634" s="1245"/>
    </row>
    <row r="21635" spans="8:9">
      <c r="H21635" s="1245"/>
      <c r="I21635" s="1245"/>
    </row>
    <row r="21636" spans="8:9">
      <c r="H21636" s="1245"/>
      <c r="I21636" s="1245"/>
    </row>
    <row r="21637" spans="8:9">
      <c r="H21637" s="1245"/>
      <c r="I21637" s="1245"/>
    </row>
    <row r="21638" spans="8:9">
      <c r="H21638" s="1245"/>
      <c r="I21638" s="1245"/>
    </row>
    <row r="21639" spans="8:9">
      <c r="H21639" s="1245"/>
      <c r="I21639" s="1245"/>
    </row>
    <row r="21640" spans="8:9">
      <c r="H21640" s="1245"/>
      <c r="I21640" s="1245"/>
    </row>
    <row r="21641" spans="8:9">
      <c r="H21641" s="1245"/>
      <c r="I21641" s="1245"/>
    </row>
    <row r="21642" spans="8:9">
      <c r="H21642" s="1245"/>
      <c r="I21642" s="1245"/>
    </row>
    <row r="21643" spans="8:9">
      <c r="H21643" s="1245"/>
      <c r="I21643" s="1245"/>
    </row>
    <row r="21644" spans="8:9">
      <c r="H21644" s="1245"/>
      <c r="I21644" s="1245"/>
    </row>
    <row r="21645" spans="8:9">
      <c r="H21645" s="1245"/>
      <c r="I21645" s="1245"/>
    </row>
    <row r="21646" spans="8:9">
      <c r="H21646" s="1245"/>
      <c r="I21646" s="1245"/>
    </row>
    <row r="21647" spans="8:9">
      <c r="H21647" s="1245"/>
      <c r="I21647" s="1245"/>
    </row>
    <row r="21648" spans="8:9">
      <c r="H21648" s="1245"/>
      <c r="I21648" s="1245"/>
    </row>
    <row r="21649" spans="8:9">
      <c r="H21649" s="1245"/>
      <c r="I21649" s="1245"/>
    </row>
    <row r="21650" spans="8:9">
      <c r="H21650" s="1245"/>
      <c r="I21650" s="1245"/>
    </row>
    <row r="21651" spans="8:9">
      <c r="H21651" s="1245"/>
      <c r="I21651" s="1245"/>
    </row>
    <row r="21652" spans="8:9">
      <c r="H21652" s="1245"/>
      <c r="I21652" s="1245"/>
    </row>
    <row r="21653" spans="8:9">
      <c r="H21653" s="1245"/>
      <c r="I21653" s="1245"/>
    </row>
    <row r="21654" spans="8:9">
      <c r="H21654" s="1245"/>
      <c r="I21654" s="1245"/>
    </row>
    <row r="21655" spans="8:9">
      <c r="H21655" s="1245"/>
      <c r="I21655" s="1245"/>
    </row>
    <row r="21656" spans="8:9">
      <c r="H21656" s="1245"/>
      <c r="I21656" s="1245"/>
    </row>
    <row r="21657" spans="8:9">
      <c r="H21657" s="1245"/>
      <c r="I21657" s="1245"/>
    </row>
    <row r="21658" spans="8:9">
      <c r="H21658" s="1245"/>
      <c r="I21658" s="1245"/>
    </row>
    <row r="21659" spans="8:9">
      <c r="H21659" s="1245"/>
      <c r="I21659" s="1245"/>
    </row>
    <row r="21660" spans="8:9">
      <c r="H21660" s="1245"/>
      <c r="I21660" s="1245"/>
    </row>
    <row r="21661" spans="8:9">
      <c r="H21661" s="1245"/>
      <c r="I21661" s="1245"/>
    </row>
    <row r="21662" spans="8:9">
      <c r="H21662" s="1245"/>
      <c r="I21662" s="1245"/>
    </row>
    <row r="21663" spans="8:9">
      <c r="H21663" s="1245"/>
      <c r="I21663" s="1245"/>
    </row>
    <row r="21664" spans="8:9">
      <c r="H21664" s="1245"/>
      <c r="I21664" s="1245"/>
    </row>
    <row r="21665" spans="8:9">
      <c r="H21665" s="1245"/>
      <c r="I21665" s="1245"/>
    </row>
    <row r="21666" spans="8:9">
      <c r="H21666" s="1245"/>
      <c r="I21666" s="1245"/>
    </row>
    <row r="21667" spans="8:9">
      <c r="H21667" s="1245"/>
      <c r="I21667" s="1245"/>
    </row>
    <row r="21668" spans="8:9">
      <c r="H21668" s="1245"/>
      <c r="I21668" s="1245"/>
    </row>
    <row r="21669" spans="8:9">
      <c r="H21669" s="1245"/>
      <c r="I21669" s="1245"/>
    </row>
    <row r="21670" spans="8:9">
      <c r="H21670" s="1245"/>
      <c r="I21670" s="1245"/>
    </row>
    <row r="21671" spans="8:9">
      <c r="H21671" s="1245"/>
      <c r="I21671" s="1245"/>
    </row>
    <row r="21672" spans="8:9">
      <c r="H21672" s="1245"/>
      <c r="I21672" s="1245"/>
    </row>
    <row r="21673" spans="8:9">
      <c r="H21673" s="1245"/>
      <c r="I21673" s="1245"/>
    </row>
    <row r="21674" spans="8:9">
      <c r="H21674" s="1245"/>
      <c r="I21674" s="1245"/>
    </row>
    <row r="21675" spans="8:9">
      <c r="H21675" s="1245"/>
      <c r="I21675" s="1245"/>
    </row>
    <row r="21676" spans="8:9">
      <c r="H21676" s="1245"/>
      <c r="I21676" s="1245"/>
    </row>
    <row r="21677" spans="8:9">
      <c r="H21677" s="1245"/>
      <c r="I21677" s="1245"/>
    </row>
    <row r="21678" spans="8:9">
      <c r="H21678" s="1245"/>
      <c r="I21678" s="1245"/>
    </row>
    <row r="21679" spans="8:9">
      <c r="H21679" s="1245"/>
      <c r="I21679" s="1245"/>
    </row>
    <row r="21680" spans="8:9">
      <c r="H21680" s="1245"/>
      <c r="I21680" s="1245"/>
    </row>
    <row r="21681" spans="8:9">
      <c r="H21681" s="1245"/>
      <c r="I21681" s="1245"/>
    </row>
    <row r="21682" spans="8:9">
      <c r="H21682" s="1245"/>
      <c r="I21682" s="1245"/>
    </row>
    <row r="21683" spans="8:9">
      <c r="H21683" s="1245"/>
      <c r="I21683" s="1245"/>
    </row>
    <row r="21684" spans="8:9">
      <c r="H21684" s="1245"/>
      <c r="I21684" s="1245"/>
    </row>
    <row r="21685" spans="8:9">
      <c r="H21685" s="1245"/>
      <c r="I21685" s="1245"/>
    </row>
    <row r="21686" spans="8:9">
      <c r="H21686" s="1245"/>
      <c r="I21686" s="1245"/>
    </row>
    <row r="21687" spans="8:9">
      <c r="H21687" s="1245"/>
      <c r="I21687" s="1245"/>
    </row>
    <row r="21688" spans="8:9">
      <c r="H21688" s="1245"/>
      <c r="I21688" s="1245"/>
    </row>
    <row r="21689" spans="8:9">
      <c r="H21689" s="1245"/>
      <c r="I21689" s="1245"/>
    </row>
    <row r="21690" spans="8:9">
      <c r="H21690" s="1245"/>
      <c r="I21690" s="1245"/>
    </row>
    <row r="21691" spans="8:9">
      <c r="H21691" s="1245"/>
      <c r="I21691" s="1245"/>
    </row>
    <row r="21692" spans="8:9">
      <c r="H21692" s="1245"/>
      <c r="I21692" s="1245"/>
    </row>
    <row r="21693" spans="8:9">
      <c r="H21693" s="1245"/>
      <c r="I21693" s="1245"/>
    </row>
    <row r="21694" spans="8:9">
      <c r="H21694" s="1245"/>
      <c r="I21694" s="1245"/>
    </row>
    <row r="21695" spans="8:9">
      <c r="H21695" s="1245"/>
      <c r="I21695" s="1245"/>
    </row>
    <row r="21696" spans="8:9">
      <c r="H21696" s="1245"/>
      <c r="I21696" s="1245"/>
    </row>
    <row r="21697" spans="8:9">
      <c r="H21697" s="1245"/>
      <c r="I21697" s="1245"/>
    </row>
    <row r="21698" spans="8:9">
      <c r="H21698" s="1245"/>
      <c r="I21698" s="1245"/>
    </row>
    <row r="21699" spans="8:9">
      <c r="H21699" s="1245"/>
      <c r="I21699" s="1245"/>
    </row>
    <row r="21700" spans="8:9">
      <c r="H21700" s="1245"/>
      <c r="I21700" s="1245"/>
    </row>
    <row r="21701" spans="8:9">
      <c r="H21701" s="1245"/>
      <c r="I21701" s="1245"/>
    </row>
    <row r="21702" spans="8:9">
      <c r="H21702" s="1245"/>
      <c r="I21702" s="1245"/>
    </row>
    <row r="21703" spans="8:9">
      <c r="H21703" s="1245"/>
      <c r="I21703" s="1245"/>
    </row>
    <row r="21704" spans="8:9">
      <c r="H21704" s="1245"/>
      <c r="I21704" s="1245"/>
    </row>
    <row r="21705" spans="8:9">
      <c r="H21705" s="1245"/>
      <c r="I21705" s="1245"/>
    </row>
    <row r="21706" spans="8:9">
      <c r="H21706" s="1245"/>
      <c r="I21706" s="1245"/>
    </row>
    <row r="21707" spans="8:9">
      <c r="H21707" s="1245"/>
      <c r="I21707" s="1245"/>
    </row>
    <row r="21708" spans="8:9">
      <c r="H21708" s="1245"/>
      <c r="I21708" s="1245"/>
    </row>
    <row r="21709" spans="8:9">
      <c r="H21709" s="1245"/>
      <c r="I21709" s="1245"/>
    </row>
    <row r="21710" spans="8:9">
      <c r="H21710" s="1245"/>
      <c r="I21710" s="1245"/>
    </row>
    <row r="21711" spans="8:9">
      <c r="H21711" s="1245"/>
      <c r="I21711" s="1245"/>
    </row>
    <row r="21712" spans="8:9">
      <c r="H21712" s="1245"/>
      <c r="I21712" s="1245"/>
    </row>
    <row r="21713" spans="8:9">
      <c r="H21713" s="1245"/>
      <c r="I21713" s="1245"/>
    </row>
    <row r="21714" spans="8:9">
      <c r="H21714" s="1245"/>
      <c r="I21714" s="1245"/>
    </row>
    <row r="21715" spans="8:9">
      <c r="H21715" s="1245"/>
      <c r="I21715" s="1245"/>
    </row>
    <row r="21716" spans="8:9">
      <c r="H21716" s="1245"/>
      <c r="I21716" s="1245"/>
    </row>
    <row r="21717" spans="8:9">
      <c r="H21717" s="1245"/>
      <c r="I21717" s="1245"/>
    </row>
    <row r="21718" spans="8:9">
      <c r="H21718" s="1245"/>
      <c r="I21718" s="1245"/>
    </row>
    <row r="21719" spans="8:9">
      <c r="H21719" s="1245"/>
      <c r="I21719" s="1245"/>
    </row>
    <row r="21720" spans="8:9">
      <c r="H21720" s="1245"/>
      <c r="I21720" s="1245"/>
    </row>
    <row r="21721" spans="8:9">
      <c r="H21721" s="1245"/>
      <c r="I21721" s="1245"/>
    </row>
    <row r="21722" spans="8:9">
      <c r="H21722" s="1245"/>
      <c r="I21722" s="1245"/>
    </row>
    <row r="21723" spans="8:9">
      <c r="H21723" s="1245"/>
      <c r="I21723" s="1245"/>
    </row>
    <row r="21724" spans="8:9">
      <c r="H21724" s="1245"/>
      <c r="I21724" s="1245"/>
    </row>
    <row r="21725" spans="8:9">
      <c r="H21725" s="1245"/>
      <c r="I21725" s="1245"/>
    </row>
    <row r="21726" spans="8:9">
      <c r="H21726" s="1245"/>
      <c r="I21726" s="1245"/>
    </row>
    <row r="21727" spans="8:9">
      <c r="H21727" s="1245"/>
      <c r="I21727" s="1245"/>
    </row>
    <row r="21728" spans="8:9">
      <c r="H21728" s="1245"/>
      <c r="I21728" s="1245"/>
    </row>
    <row r="21729" spans="8:9">
      <c r="H21729" s="1245"/>
      <c r="I21729" s="1245"/>
    </row>
    <row r="21730" spans="8:9">
      <c r="H21730" s="1245"/>
      <c r="I21730" s="1245"/>
    </row>
    <row r="21731" spans="8:9">
      <c r="H21731" s="1245"/>
      <c r="I21731" s="1245"/>
    </row>
    <row r="21732" spans="8:9">
      <c r="H21732" s="1245"/>
      <c r="I21732" s="1245"/>
    </row>
    <row r="21733" spans="8:9">
      <c r="H21733" s="1245"/>
      <c r="I21733" s="1245"/>
    </row>
    <row r="21734" spans="8:9">
      <c r="H21734" s="1245"/>
      <c r="I21734" s="1245"/>
    </row>
    <row r="21735" spans="8:9">
      <c r="H21735" s="1245"/>
      <c r="I21735" s="1245"/>
    </row>
    <row r="21736" spans="8:9">
      <c r="H21736" s="1245"/>
      <c r="I21736" s="1245"/>
    </row>
    <row r="21737" spans="8:9">
      <c r="H21737" s="1245"/>
      <c r="I21737" s="1245"/>
    </row>
    <row r="21738" spans="8:9">
      <c r="H21738" s="1245"/>
      <c r="I21738" s="1245"/>
    </row>
    <row r="21739" spans="8:9">
      <c r="H21739" s="1245"/>
      <c r="I21739" s="1245"/>
    </row>
    <row r="21740" spans="8:9">
      <c r="H21740" s="1245"/>
      <c r="I21740" s="1245"/>
    </row>
    <row r="21741" spans="8:9">
      <c r="H21741" s="1245"/>
      <c r="I21741" s="1245"/>
    </row>
    <row r="21742" spans="8:9">
      <c r="H21742" s="1245"/>
      <c r="I21742" s="1245"/>
    </row>
    <row r="21743" spans="8:9">
      <c r="H21743" s="1245"/>
      <c r="I21743" s="1245"/>
    </row>
    <row r="21744" spans="8:9">
      <c r="H21744" s="1245"/>
      <c r="I21744" s="1245"/>
    </row>
    <row r="21745" spans="8:9">
      <c r="H21745" s="1245"/>
      <c r="I21745" s="1245"/>
    </row>
    <row r="21746" spans="8:9">
      <c r="H21746" s="1245"/>
      <c r="I21746" s="1245"/>
    </row>
    <row r="21747" spans="8:9">
      <c r="H21747" s="1245"/>
      <c r="I21747" s="1245"/>
    </row>
    <row r="21748" spans="8:9">
      <c r="H21748" s="1245"/>
      <c r="I21748" s="1245"/>
    </row>
    <row r="21749" spans="8:9">
      <c r="H21749" s="1245"/>
      <c r="I21749" s="1245"/>
    </row>
    <row r="21750" spans="8:9">
      <c r="H21750" s="1245"/>
      <c r="I21750" s="1245"/>
    </row>
    <row r="21751" spans="8:9">
      <c r="H21751" s="1245"/>
      <c r="I21751" s="1245"/>
    </row>
    <row r="21752" spans="8:9">
      <c r="H21752" s="1245"/>
      <c r="I21752" s="1245"/>
    </row>
    <row r="21753" spans="8:9">
      <c r="H21753" s="1245"/>
      <c r="I21753" s="1245"/>
    </row>
    <row r="21754" spans="8:9">
      <c r="H21754" s="1245"/>
      <c r="I21754" s="1245"/>
    </row>
    <row r="21755" spans="8:9">
      <c r="H21755" s="1245"/>
      <c r="I21755" s="1245"/>
    </row>
    <row r="21756" spans="8:9">
      <c r="H21756" s="1245"/>
      <c r="I21756" s="1245"/>
    </row>
    <row r="21757" spans="8:9">
      <c r="H21757" s="1245"/>
      <c r="I21757" s="1245"/>
    </row>
    <row r="21758" spans="8:9">
      <c r="H21758" s="1245"/>
      <c r="I21758" s="1245"/>
    </row>
    <row r="21759" spans="8:9">
      <c r="H21759" s="1245"/>
      <c r="I21759" s="1245"/>
    </row>
    <row r="21760" spans="8:9">
      <c r="H21760" s="1245"/>
      <c r="I21760" s="1245"/>
    </row>
    <row r="21761" spans="8:9">
      <c r="H21761" s="1245"/>
      <c r="I21761" s="1245"/>
    </row>
    <row r="21762" spans="8:9">
      <c r="H21762" s="1245"/>
      <c r="I21762" s="1245"/>
    </row>
    <row r="21763" spans="8:9">
      <c r="H21763" s="1245"/>
      <c r="I21763" s="1245"/>
    </row>
    <row r="21764" spans="8:9">
      <c r="H21764" s="1245"/>
      <c r="I21764" s="1245"/>
    </row>
    <row r="21765" spans="8:9">
      <c r="H21765" s="1245"/>
      <c r="I21765" s="1245"/>
    </row>
    <row r="21766" spans="8:9">
      <c r="H21766" s="1245"/>
      <c r="I21766" s="1245"/>
    </row>
    <row r="21767" spans="8:9">
      <c r="H21767" s="1245"/>
      <c r="I21767" s="1245"/>
    </row>
    <row r="21768" spans="8:9">
      <c r="H21768" s="1245"/>
      <c r="I21768" s="1245"/>
    </row>
    <row r="21769" spans="8:9">
      <c r="H21769" s="1245"/>
      <c r="I21769" s="1245"/>
    </row>
    <row r="21770" spans="8:9">
      <c r="H21770" s="1245"/>
      <c r="I21770" s="1245"/>
    </row>
    <row r="21771" spans="8:9">
      <c r="H21771" s="1245"/>
      <c r="I21771" s="1245"/>
    </row>
    <row r="21772" spans="8:9">
      <c r="H21772" s="1245"/>
      <c r="I21772" s="1245"/>
    </row>
    <row r="21773" spans="8:9">
      <c r="H21773" s="1245"/>
      <c r="I21773" s="1245"/>
    </row>
    <row r="21774" spans="8:9">
      <c r="H21774" s="1245"/>
      <c r="I21774" s="1245"/>
    </row>
    <row r="21775" spans="8:9">
      <c r="H21775" s="1245"/>
      <c r="I21775" s="1245"/>
    </row>
    <row r="21776" spans="8:9">
      <c r="H21776" s="1245"/>
      <c r="I21776" s="1245"/>
    </row>
    <row r="21777" spans="8:9">
      <c r="H21777" s="1245"/>
      <c r="I21777" s="1245"/>
    </row>
    <row r="21778" spans="8:9">
      <c r="H21778" s="1245"/>
      <c r="I21778" s="1245"/>
    </row>
    <row r="21779" spans="8:9">
      <c r="H21779" s="1245"/>
      <c r="I21779" s="1245"/>
    </row>
    <row r="21780" spans="8:9">
      <c r="H21780" s="1245"/>
      <c r="I21780" s="1245"/>
    </row>
    <row r="21781" spans="8:9">
      <c r="H21781" s="1245"/>
      <c r="I21781" s="1245"/>
    </row>
    <row r="21782" spans="8:9">
      <c r="H21782" s="1245"/>
      <c r="I21782" s="1245"/>
    </row>
    <row r="21783" spans="8:9">
      <c r="H21783" s="1245"/>
      <c r="I21783" s="1245"/>
    </row>
    <row r="21784" spans="8:9">
      <c r="H21784" s="1245"/>
      <c r="I21784" s="1245"/>
    </row>
    <row r="21785" spans="8:9">
      <c r="H21785" s="1245"/>
      <c r="I21785" s="1245"/>
    </row>
    <row r="21786" spans="8:9">
      <c r="H21786" s="1245"/>
      <c r="I21786" s="1245"/>
    </row>
    <row r="21787" spans="8:9">
      <c r="H21787" s="1245"/>
      <c r="I21787" s="1245"/>
    </row>
    <row r="21788" spans="8:9">
      <c r="H21788" s="1245"/>
      <c r="I21788" s="1245"/>
    </row>
    <row r="21789" spans="8:9">
      <c r="H21789" s="1245"/>
      <c r="I21789" s="1245"/>
    </row>
    <row r="21790" spans="8:9">
      <c r="H21790" s="1245"/>
      <c r="I21790" s="1245"/>
    </row>
    <row r="21791" spans="8:9">
      <c r="H21791" s="1245"/>
      <c r="I21791" s="1245"/>
    </row>
    <row r="21792" spans="8:9">
      <c r="H21792" s="1245"/>
      <c r="I21792" s="1245"/>
    </row>
    <row r="21793" spans="8:9">
      <c r="H21793" s="1245"/>
      <c r="I21793" s="1245"/>
    </row>
    <row r="21794" spans="8:9">
      <c r="H21794" s="1245"/>
      <c r="I21794" s="1245"/>
    </row>
    <row r="21795" spans="8:9">
      <c r="H21795" s="1245"/>
      <c r="I21795" s="1245"/>
    </row>
    <row r="21796" spans="8:9">
      <c r="H21796" s="1245"/>
      <c r="I21796" s="1245"/>
    </row>
    <row r="21797" spans="8:9">
      <c r="H21797" s="1245"/>
      <c r="I21797" s="1245"/>
    </row>
    <row r="21798" spans="8:9">
      <c r="H21798" s="1245"/>
      <c r="I21798" s="1245"/>
    </row>
    <row r="21799" spans="8:9">
      <c r="H21799" s="1245"/>
      <c r="I21799" s="1245"/>
    </row>
    <row r="21800" spans="8:9">
      <c r="H21800" s="1245"/>
      <c r="I21800" s="1245"/>
    </row>
    <row r="21801" spans="8:9">
      <c r="H21801" s="1245"/>
      <c r="I21801" s="1245"/>
    </row>
    <row r="21802" spans="8:9">
      <c r="H21802" s="1245"/>
      <c r="I21802" s="1245"/>
    </row>
    <row r="21803" spans="8:9">
      <c r="H21803" s="1245"/>
      <c r="I21803" s="1245"/>
    </row>
    <row r="21804" spans="8:9">
      <c r="H21804" s="1245"/>
      <c r="I21804" s="1245"/>
    </row>
    <row r="21805" spans="8:9">
      <c r="H21805" s="1245"/>
      <c r="I21805" s="1245"/>
    </row>
    <row r="21806" spans="8:9">
      <c r="H21806" s="1245"/>
      <c r="I21806" s="1245"/>
    </row>
    <row r="21807" spans="8:9">
      <c r="H21807" s="1245"/>
      <c r="I21807" s="1245"/>
    </row>
    <row r="21808" spans="8:9">
      <c r="H21808" s="1245"/>
      <c r="I21808" s="1245"/>
    </row>
    <row r="21809" spans="8:9">
      <c r="H21809" s="1245"/>
      <c r="I21809" s="1245"/>
    </row>
    <row r="21810" spans="8:9">
      <c r="H21810" s="1245"/>
      <c r="I21810" s="1245"/>
    </row>
    <row r="21811" spans="8:9">
      <c r="H21811" s="1245"/>
      <c r="I21811" s="1245"/>
    </row>
    <row r="21812" spans="8:9">
      <c r="H21812" s="1245"/>
      <c r="I21812" s="1245"/>
    </row>
    <row r="21813" spans="8:9">
      <c r="H21813" s="1245"/>
      <c r="I21813" s="1245"/>
    </row>
    <row r="21814" spans="8:9">
      <c r="H21814" s="1245"/>
      <c r="I21814" s="1245"/>
    </row>
    <row r="21815" spans="8:9">
      <c r="H21815" s="1245"/>
      <c r="I21815" s="1245"/>
    </row>
    <row r="21816" spans="8:9">
      <c r="H21816" s="1245"/>
      <c r="I21816" s="1245"/>
    </row>
    <row r="21817" spans="8:9">
      <c r="H21817" s="1245"/>
      <c r="I21817" s="1245"/>
    </row>
    <row r="21818" spans="8:9">
      <c r="H21818" s="1245"/>
      <c r="I21818" s="1245"/>
    </row>
    <row r="21819" spans="8:9">
      <c r="H21819" s="1245"/>
      <c r="I21819" s="1245"/>
    </row>
    <row r="21820" spans="8:9">
      <c r="H21820" s="1245"/>
      <c r="I21820" s="1245"/>
    </row>
    <row r="21821" spans="8:9">
      <c r="H21821" s="1245"/>
      <c r="I21821" s="1245"/>
    </row>
    <row r="21822" spans="8:9">
      <c r="H21822" s="1245"/>
      <c r="I21822" s="1245"/>
    </row>
    <row r="21823" spans="8:9">
      <c r="H21823" s="1245"/>
      <c r="I21823" s="1245"/>
    </row>
    <row r="21824" spans="8:9">
      <c r="H21824" s="1245"/>
      <c r="I21824" s="1245"/>
    </row>
    <row r="21825" spans="8:9">
      <c r="H21825" s="1245"/>
      <c r="I21825" s="1245"/>
    </row>
    <row r="21826" spans="8:9">
      <c r="H21826" s="1245"/>
      <c r="I21826" s="1245"/>
    </row>
    <row r="21827" spans="8:9">
      <c r="H21827" s="1245"/>
      <c r="I21827" s="1245"/>
    </row>
    <row r="21828" spans="8:9">
      <c r="H21828" s="1245"/>
      <c r="I21828" s="1245"/>
    </row>
    <row r="21829" spans="8:9">
      <c r="H21829" s="1245"/>
      <c r="I21829" s="1245"/>
    </row>
    <row r="21830" spans="8:9">
      <c r="H21830" s="1245"/>
      <c r="I21830" s="1245"/>
    </row>
    <row r="21831" spans="8:9">
      <c r="H21831" s="1245"/>
      <c r="I21831" s="1245"/>
    </row>
    <row r="21832" spans="8:9">
      <c r="H21832" s="1245"/>
      <c r="I21832" s="1245"/>
    </row>
    <row r="21833" spans="8:9">
      <c r="H21833" s="1245"/>
      <c r="I21833" s="1245"/>
    </row>
    <row r="21834" spans="8:9">
      <c r="H21834" s="1245"/>
      <c r="I21834" s="1245"/>
    </row>
    <row r="21835" spans="8:9">
      <c r="H21835" s="1245"/>
      <c r="I21835" s="1245"/>
    </row>
    <row r="21836" spans="8:9">
      <c r="H21836" s="1245"/>
      <c r="I21836" s="1245"/>
    </row>
    <row r="21837" spans="8:9">
      <c r="H21837" s="1245"/>
      <c r="I21837" s="1245"/>
    </row>
    <row r="21838" spans="8:9">
      <c r="H21838" s="1245"/>
      <c r="I21838" s="1245"/>
    </row>
    <row r="21839" spans="8:9">
      <c r="H21839" s="1245"/>
      <c r="I21839" s="1245"/>
    </row>
    <row r="21840" spans="8:9">
      <c r="H21840" s="1245"/>
      <c r="I21840" s="1245"/>
    </row>
    <row r="21841" spans="8:9">
      <c r="H21841" s="1245"/>
      <c r="I21841" s="1245"/>
    </row>
    <row r="21842" spans="8:9">
      <c r="H21842" s="1245"/>
      <c r="I21842" s="1245"/>
    </row>
    <row r="21843" spans="8:9">
      <c r="H21843" s="1245"/>
      <c r="I21843" s="1245"/>
    </row>
    <row r="21844" spans="8:9">
      <c r="H21844" s="1245"/>
      <c r="I21844" s="1245"/>
    </row>
    <row r="21845" spans="8:9">
      <c r="H21845" s="1245"/>
      <c r="I21845" s="1245"/>
    </row>
    <row r="21846" spans="8:9">
      <c r="H21846" s="1245"/>
      <c r="I21846" s="1245"/>
    </row>
    <row r="21847" spans="8:9">
      <c r="H21847" s="1245"/>
      <c r="I21847" s="1245"/>
    </row>
    <row r="21848" spans="8:9">
      <c r="H21848" s="1245"/>
      <c r="I21848" s="1245"/>
    </row>
    <row r="21849" spans="8:9">
      <c r="H21849" s="1245"/>
      <c r="I21849" s="1245"/>
    </row>
    <row r="21850" spans="8:9">
      <c r="H21850" s="1245"/>
      <c r="I21850" s="1245"/>
    </row>
    <row r="21851" spans="8:9">
      <c r="H21851" s="1245"/>
      <c r="I21851" s="1245"/>
    </row>
    <row r="21852" spans="8:9">
      <c r="H21852" s="1245"/>
      <c r="I21852" s="1245"/>
    </row>
    <row r="21853" spans="8:9">
      <c r="H21853" s="1245"/>
      <c r="I21853" s="1245"/>
    </row>
    <row r="21854" spans="8:9">
      <c r="H21854" s="1245"/>
      <c r="I21854" s="1245"/>
    </row>
    <row r="21855" spans="8:9">
      <c r="H21855" s="1245"/>
      <c r="I21855" s="1245"/>
    </row>
    <row r="21856" spans="8:9">
      <c r="H21856" s="1245"/>
      <c r="I21856" s="1245"/>
    </row>
    <row r="21857" spans="8:9">
      <c r="H21857" s="1245"/>
      <c r="I21857" s="1245"/>
    </row>
    <row r="21858" spans="8:9">
      <c r="H21858" s="1245"/>
      <c r="I21858" s="1245"/>
    </row>
    <row r="21859" spans="8:9">
      <c r="H21859" s="1245"/>
      <c r="I21859" s="1245"/>
    </row>
    <row r="21860" spans="8:9">
      <c r="H21860" s="1245"/>
      <c r="I21860" s="1245"/>
    </row>
    <row r="21861" spans="8:9">
      <c r="H21861" s="1245"/>
      <c r="I21861" s="1245"/>
    </row>
    <row r="21862" spans="8:9">
      <c r="H21862" s="1245"/>
      <c r="I21862" s="1245"/>
    </row>
    <row r="21863" spans="8:9">
      <c r="H21863" s="1245"/>
      <c r="I21863" s="1245"/>
    </row>
    <row r="21864" spans="8:9">
      <c r="H21864" s="1245"/>
      <c r="I21864" s="1245"/>
    </row>
    <row r="21865" spans="8:9">
      <c r="H21865" s="1245"/>
      <c r="I21865" s="1245"/>
    </row>
    <row r="21866" spans="8:9">
      <c r="H21866" s="1245"/>
      <c r="I21866" s="1245"/>
    </row>
    <row r="21867" spans="8:9">
      <c r="H21867" s="1245"/>
      <c r="I21867" s="1245"/>
    </row>
    <row r="21868" spans="8:9">
      <c r="H21868" s="1245"/>
      <c r="I21868" s="1245"/>
    </row>
    <row r="21869" spans="8:9">
      <c r="H21869" s="1245"/>
      <c r="I21869" s="1245"/>
    </row>
    <row r="21870" spans="8:9">
      <c r="H21870" s="1245"/>
      <c r="I21870" s="1245"/>
    </row>
    <row r="21871" spans="8:9">
      <c r="H21871" s="1245"/>
      <c r="I21871" s="1245"/>
    </row>
    <row r="21872" spans="8:9">
      <c r="H21872" s="1245"/>
      <c r="I21872" s="1245"/>
    </row>
    <row r="21873" spans="8:9">
      <c r="H21873" s="1245"/>
      <c r="I21873" s="1245"/>
    </row>
    <row r="21874" spans="8:9">
      <c r="H21874" s="1245"/>
      <c r="I21874" s="1245"/>
    </row>
    <row r="21875" spans="8:9">
      <c r="H21875" s="1245"/>
      <c r="I21875" s="1245"/>
    </row>
    <row r="21876" spans="8:9">
      <c r="H21876" s="1245"/>
      <c r="I21876" s="1245"/>
    </row>
    <row r="21877" spans="8:9">
      <c r="H21877" s="1245"/>
      <c r="I21877" s="1245"/>
    </row>
    <row r="21878" spans="8:9">
      <c r="H21878" s="1245"/>
      <c r="I21878" s="1245"/>
    </row>
    <row r="21879" spans="8:9">
      <c r="H21879" s="1245"/>
      <c r="I21879" s="1245"/>
    </row>
    <row r="21880" spans="8:9">
      <c r="H21880" s="1245"/>
      <c r="I21880" s="1245"/>
    </row>
    <row r="21881" spans="8:9">
      <c r="H21881" s="1245"/>
      <c r="I21881" s="1245"/>
    </row>
    <row r="21882" spans="8:9">
      <c r="H21882" s="1245"/>
      <c r="I21882" s="1245"/>
    </row>
    <row r="21883" spans="8:9">
      <c r="H21883" s="1245"/>
      <c r="I21883" s="1245"/>
    </row>
    <row r="21884" spans="8:9">
      <c r="H21884" s="1245"/>
      <c r="I21884" s="1245"/>
    </row>
    <row r="21885" spans="8:9">
      <c r="H21885" s="1245"/>
      <c r="I21885" s="1245"/>
    </row>
    <row r="21886" spans="8:9">
      <c r="H21886" s="1245"/>
      <c r="I21886" s="1245"/>
    </row>
    <row r="21887" spans="8:9">
      <c r="H21887" s="1245"/>
      <c r="I21887" s="1245"/>
    </row>
    <row r="21888" spans="8:9">
      <c r="H21888" s="1245"/>
      <c r="I21888" s="1245"/>
    </row>
    <row r="21889" spans="8:9">
      <c r="H21889" s="1245"/>
      <c r="I21889" s="1245"/>
    </row>
    <row r="21890" spans="8:9">
      <c r="H21890" s="1245"/>
      <c r="I21890" s="1245"/>
    </row>
    <row r="21891" spans="8:9">
      <c r="H21891" s="1245"/>
      <c r="I21891" s="1245"/>
    </row>
    <row r="21892" spans="8:9">
      <c r="H21892" s="1245"/>
      <c r="I21892" s="1245"/>
    </row>
    <row r="21893" spans="8:9">
      <c r="H21893" s="1245"/>
      <c r="I21893" s="1245"/>
    </row>
    <row r="21894" spans="8:9">
      <c r="H21894" s="1245"/>
      <c r="I21894" s="1245"/>
    </row>
    <row r="21895" spans="8:9">
      <c r="H21895" s="1245"/>
      <c r="I21895" s="1245"/>
    </row>
    <row r="21896" spans="8:9">
      <c r="H21896" s="1245"/>
      <c r="I21896" s="1245"/>
    </row>
    <row r="21897" spans="8:9">
      <c r="H21897" s="1245"/>
      <c r="I21897" s="1245"/>
    </row>
    <row r="21898" spans="8:9">
      <c r="H21898" s="1245"/>
      <c r="I21898" s="1245"/>
    </row>
    <row r="21899" spans="8:9">
      <c r="H21899" s="1245"/>
      <c r="I21899" s="1245"/>
    </row>
    <row r="21900" spans="8:9">
      <c r="H21900" s="1245"/>
      <c r="I21900" s="1245"/>
    </row>
    <row r="21901" spans="8:9">
      <c r="H21901" s="1245"/>
      <c r="I21901" s="1245"/>
    </row>
    <row r="21902" spans="8:9">
      <c r="H21902" s="1245"/>
      <c r="I21902" s="1245"/>
    </row>
    <row r="21903" spans="8:9">
      <c r="H21903" s="1245"/>
      <c r="I21903" s="1245"/>
    </row>
    <row r="21904" spans="8:9">
      <c r="H21904" s="1245"/>
      <c r="I21904" s="1245"/>
    </row>
    <row r="21905" spans="8:9">
      <c r="H21905" s="1245"/>
      <c r="I21905" s="1245"/>
    </row>
    <row r="21906" spans="8:9">
      <c r="H21906" s="1245"/>
      <c r="I21906" s="1245"/>
    </row>
    <row r="21907" spans="8:9">
      <c r="H21907" s="1245"/>
      <c r="I21907" s="1245"/>
    </row>
    <row r="21908" spans="8:9">
      <c r="H21908" s="1245"/>
      <c r="I21908" s="1245"/>
    </row>
    <row r="21909" spans="8:9">
      <c r="H21909" s="1245"/>
      <c r="I21909" s="1245"/>
    </row>
    <row r="21910" spans="8:9">
      <c r="H21910" s="1245"/>
      <c r="I21910" s="1245"/>
    </row>
    <row r="21911" spans="8:9">
      <c r="H21911" s="1245"/>
      <c r="I21911" s="1245"/>
    </row>
    <row r="21912" spans="8:9">
      <c r="H21912" s="1245"/>
      <c r="I21912" s="1245"/>
    </row>
    <row r="21913" spans="8:9">
      <c r="H21913" s="1245"/>
      <c r="I21913" s="1245"/>
    </row>
    <row r="21914" spans="8:9">
      <c r="H21914" s="1245"/>
      <c r="I21914" s="1245"/>
    </row>
    <row r="21915" spans="8:9">
      <c r="H21915" s="1245"/>
      <c r="I21915" s="1245"/>
    </row>
    <row r="21916" spans="8:9">
      <c r="H21916" s="1245"/>
      <c r="I21916" s="1245"/>
    </row>
    <row r="21917" spans="8:9">
      <c r="H21917" s="1245"/>
      <c r="I21917" s="1245"/>
    </row>
    <row r="21918" spans="8:9">
      <c r="H21918" s="1245"/>
      <c r="I21918" s="1245"/>
    </row>
    <row r="21919" spans="8:9">
      <c r="H21919" s="1245"/>
      <c r="I21919" s="1245"/>
    </row>
    <row r="21920" spans="8:9">
      <c r="H21920" s="1245"/>
      <c r="I21920" s="1245"/>
    </row>
    <row r="21921" spans="8:9">
      <c r="H21921" s="1245"/>
      <c r="I21921" s="1245"/>
    </row>
    <row r="21922" spans="8:9">
      <c r="H21922" s="1245"/>
      <c r="I21922" s="1245"/>
    </row>
    <row r="21923" spans="8:9">
      <c r="H21923" s="1245"/>
      <c r="I21923" s="1245"/>
    </row>
    <row r="21924" spans="8:9">
      <c r="H21924" s="1245"/>
      <c r="I21924" s="1245"/>
    </row>
    <row r="21925" spans="8:9">
      <c r="H21925" s="1245"/>
      <c r="I21925" s="1245"/>
    </row>
    <row r="21926" spans="8:9">
      <c r="H21926" s="1245"/>
      <c r="I21926" s="1245"/>
    </row>
    <row r="21927" spans="8:9">
      <c r="H21927" s="1245"/>
      <c r="I21927" s="1245"/>
    </row>
    <row r="21928" spans="8:9">
      <c r="H21928" s="1245"/>
      <c r="I21928" s="1245"/>
    </row>
    <row r="21929" spans="8:9">
      <c r="H21929" s="1245"/>
      <c r="I21929" s="1245"/>
    </row>
    <row r="21930" spans="8:9">
      <c r="H21930" s="1245"/>
      <c r="I21930" s="1245"/>
    </row>
    <row r="21931" spans="8:9">
      <c r="H21931" s="1245"/>
      <c r="I21931" s="1245"/>
    </row>
    <row r="21932" spans="8:9">
      <c r="H21932" s="1245"/>
      <c r="I21932" s="1245"/>
    </row>
    <row r="21933" spans="8:9">
      <c r="H21933" s="1245"/>
      <c r="I21933" s="1245"/>
    </row>
    <row r="21934" spans="8:9">
      <c r="H21934" s="1245"/>
      <c r="I21934" s="1245"/>
    </row>
    <row r="21935" spans="8:9">
      <c r="H21935" s="1245"/>
      <c r="I21935" s="1245"/>
    </row>
    <row r="21936" spans="8:9">
      <c r="H21936" s="1245"/>
      <c r="I21936" s="1245"/>
    </row>
    <row r="21937" spans="8:9">
      <c r="H21937" s="1245"/>
      <c r="I21937" s="1245"/>
    </row>
    <row r="21938" spans="8:9">
      <c r="H21938" s="1245"/>
      <c r="I21938" s="1245"/>
    </row>
    <row r="21939" spans="8:9">
      <c r="H21939" s="1245"/>
      <c r="I21939" s="1245"/>
    </row>
    <row r="21940" spans="8:9">
      <c r="H21940" s="1245"/>
      <c r="I21940" s="1245"/>
    </row>
    <row r="21941" spans="8:9">
      <c r="H21941" s="1245"/>
      <c r="I21941" s="1245"/>
    </row>
    <row r="21942" spans="8:9">
      <c r="H21942" s="1245"/>
      <c r="I21942" s="1245"/>
    </row>
    <row r="21943" spans="8:9">
      <c r="H21943" s="1245"/>
      <c r="I21943" s="1245"/>
    </row>
    <row r="21944" spans="8:9">
      <c r="H21944" s="1245"/>
      <c r="I21944" s="1245"/>
    </row>
    <row r="21945" spans="8:9">
      <c r="H21945" s="1245"/>
      <c r="I21945" s="1245"/>
    </row>
    <row r="21946" spans="8:9">
      <c r="H21946" s="1245"/>
      <c r="I21946" s="1245"/>
    </row>
    <row r="21947" spans="8:9">
      <c r="H21947" s="1245"/>
      <c r="I21947" s="1245"/>
    </row>
    <row r="21948" spans="8:9">
      <c r="H21948" s="1245"/>
      <c r="I21948" s="1245"/>
    </row>
    <row r="21949" spans="8:9">
      <c r="H21949" s="1245"/>
      <c r="I21949" s="1245"/>
    </row>
    <row r="21950" spans="8:9">
      <c r="H21950" s="1245"/>
      <c r="I21950" s="1245"/>
    </row>
    <row r="21951" spans="8:9">
      <c r="H21951" s="1245"/>
      <c r="I21951" s="1245"/>
    </row>
    <row r="21952" spans="8:9">
      <c r="H21952" s="1245"/>
      <c r="I21952" s="1245"/>
    </row>
    <row r="21953" spans="8:9">
      <c r="H21953" s="1245"/>
      <c r="I21953" s="1245"/>
    </row>
    <row r="21954" spans="8:9">
      <c r="H21954" s="1245"/>
      <c r="I21954" s="1245"/>
    </row>
    <row r="21955" spans="8:9">
      <c r="H21955" s="1245"/>
      <c r="I21955" s="1245"/>
    </row>
    <row r="21956" spans="8:9">
      <c r="H21956" s="1245"/>
      <c r="I21956" s="1245"/>
    </row>
    <row r="21957" spans="8:9">
      <c r="H21957" s="1245"/>
      <c r="I21957" s="1245"/>
    </row>
    <row r="21958" spans="8:9">
      <c r="H21958" s="1245"/>
      <c r="I21958" s="1245"/>
    </row>
    <row r="21959" spans="8:9">
      <c r="H21959" s="1245"/>
      <c r="I21959" s="1245"/>
    </row>
    <row r="21960" spans="8:9">
      <c r="H21960" s="1245"/>
      <c r="I21960" s="1245"/>
    </row>
    <row r="21961" spans="8:9">
      <c r="H21961" s="1245"/>
      <c r="I21961" s="1245"/>
    </row>
    <row r="21962" spans="8:9">
      <c r="H21962" s="1245"/>
      <c r="I21962" s="1245"/>
    </row>
    <row r="21963" spans="8:9">
      <c r="H21963" s="1245"/>
      <c r="I21963" s="1245"/>
    </row>
    <row r="21964" spans="8:9">
      <c r="H21964" s="1245"/>
      <c r="I21964" s="1245"/>
    </row>
    <row r="21965" spans="8:9">
      <c r="H21965" s="1245"/>
      <c r="I21965" s="1245"/>
    </row>
    <row r="21966" spans="8:9">
      <c r="H21966" s="1245"/>
      <c r="I21966" s="1245"/>
    </row>
    <row r="21967" spans="8:9">
      <c r="H21967" s="1245"/>
      <c r="I21967" s="1245"/>
    </row>
    <row r="21968" spans="8:9">
      <c r="H21968" s="1245"/>
      <c r="I21968" s="1245"/>
    </row>
    <row r="21969" spans="8:9">
      <c r="H21969" s="1245"/>
      <c r="I21969" s="1245"/>
    </row>
    <row r="21970" spans="8:9">
      <c r="H21970" s="1245"/>
      <c r="I21970" s="1245"/>
    </row>
    <row r="21971" spans="8:9">
      <c r="H21971" s="1245"/>
      <c r="I21971" s="1245"/>
    </row>
    <row r="21972" spans="8:9">
      <c r="H21972" s="1245"/>
      <c r="I21972" s="1245"/>
    </row>
    <row r="21973" spans="8:9">
      <c r="H21973" s="1245"/>
      <c r="I21973" s="1245"/>
    </row>
    <row r="21974" spans="8:9">
      <c r="H21974" s="1245"/>
      <c r="I21974" s="1245"/>
    </row>
    <row r="21975" spans="8:9">
      <c r="H21975" s="1245"/>
      <c r="I21975" s="1245"/>
    </row>
    <row r="21976" spans="8:9">
      <c r="H21976" s="1245"/>
      <c r="I21976" s="1245"/>
    </row>
    <row r="21977" spans="8:9">
      <c r="H21977" s="1245"/>
      <c r="I21977" s="1245"/>
    </row>
    <row r="21978" spans="8:9">
      <c r="H21978" s="1245"/>
      <c r="I21978" s="1245"/>
    </row>
    <row r="21979" spans="8:9">
      <c r="H21979" s="1245"/>
      <c r="I21979" s="1245"/>
    </row>
    <row r="21980" spans="8:9">
      <c r="H21980" s="1245"/>
      <c r="I21980" s="1245"/>
    </row>
    <row r="21981" spans="8:9">
      <c r="H21981" s="1245"/>
      <c r="I21981" s="1245"/>
    </row>
    <row r="21982" spans="8:9">
      <c r="H21982" s="1245"/>
      <c r="I21982" s="1245"/>
    </row>
    <row r="21983" spans="8:9">
      <c r="H21983" s="1245"/>
      <c r="I21983" s="1245"/>
    </row>
    <row r="21984" spans="8:9">
      <c r="H21984" s="1245"/>
      <c r="I21984" s="1245"/>
    </row>
    <row r="21985" spans="8:9">
      <c r="H21985" s="1245"/>
      <c r="I21985" s="1245"/>
    </row>
    <row r="21986" spans="8:9">
      <c r="H21986" s="1245"/>
      <c r="I21986" s="1245"/>
    </row>
    <row r="21987" spans="8:9">
      <c r="H21987" s="1245"/>
      <c r="I21987" s="1245"/>
    </row>
    <row r="21988" spans="8:9">
      <c r="H21988" s="1245"/>
      <c r="I21988" s="1245"/>
    </row>
    <row r="21989" spans="8:9">
      <c r="H21989" s="1245"/>
      <c r="I21989" s="1245"/>
    </row>
    <row r="21990" spans="8:9">
      <c r="H21990" s="1245"/>
      <c r="I21990" s="1245"/>
    </row>
    <row r="21991" spans="8:9">
      <c r="H21991" s="1245"/>
      <c r="I21991" s="1245"/>
    </row>
    <row r="21992" spans="8:9">
      <c r="H21992" s="1245"/>
      <c r="I21992" s="1245"/>
    </row>
    <row r="21993" spans="8:9">
      <c r="H21993" s="1245"/>
      <c r="I21993" s="1245"/>
    </row>
    <row r="21994" spans="8:9">
      <c r="H21994" s="1245"/>
      <c r="I21994" s="1245"/>
    </row>
    <row r="21995" spans="8:9">
      <c r="H21995" s="1245"/>
      <c r="I21995" s="1245"/>
    </row>
    <row r="21996" spans="8:9">
      <c r="H21996" s="1245"/>
      <c r="I21996" s="1245"/>
    </row>
    <row r="21997" spans="8:9">
      <c r="H21997" s="1245"/>
      <c r="I21997" s="1245"/>
    </row>
    <row r="21998" spans="8:9">
      <c r="H21998" s="1245"/>
      <c r="I21998" s="1245"/>
    </row>
    <row r="21999" spans="8:9">
      <c r="H21999" s="1245"/>
      <c r="I21999" s="1245"/>
    </row>
    <row r="22000" spans="8:9">
      <c r="H22000" s="1245"/>
      <c r="I22000" s="1245"/>
    </row>
    <row r="22001" spans="8:9">
      <c r="H22001" s="1245"/>
      <c r="I22001" s="1245"/>
    </row>
    <row r="22002" spans="8:9">
      <c r="H22002" s="1245"/>
      <c r="I22002" s="1245"/>
    </row>
    <row r="22003" spans="8:9">
      <c r="H22003" s="1245"/>
      <c r="I22003" s="1245"/>
    </row>
    <row r="22004" spans="8:9">
      <c r="H22004" s="1245"/>
      <c r="I22004" s="1245"/>
    </row>
    <row r="22005" spans="8:9">
      <c r="H22005" s="1245"/>
      <c r="I22005" s="1245"/>
    </row>
    <row r="22006" spans="8:9">
      <c r="H22006" s="1245"/>
      <c r="I22006" s="1245"/>
    </row>
    <row r="22007" spans="8:9">
      <c r="H22007" s="1245"/>
      <c r="I22007" s="1245"/>
    </row>
    <row r="22008" spans="8:9">
      <c r="H22008" s="1245"/>
      <c r="I22008" s="1245"/>
    </row>
    <row r="22009" spans="8:9">
      <c r="H22009" s="1245"/>
      <c r="I22009" s="1245"/>
    </row>
    <row r="22010" spans="8:9">
      <c r="H22010" s="1245"/>
      <c r="I22010" s="1245"/>
    </row>
    <row r="22011" spans="8:9">
      <c r="H22011" s="1245"/>
      <c r="I22011" s="1245"/>
    </row>
    <row r="22012" spans="8:9">
      <c r="H22012" s="1245"/>
      <c r="I22012" s="1245"/>
    </row>
    <row r="22013" spans="8:9">
      <c r="H22013" s="1245"/>
      <c r="I22013" s="1245"/>
    </row>
    <row r="22014" spans="8:9">
      <c r="H22014" s="1245"/>
      <c r="I22014" s="1245"/>
    </row>
    <row r="22015" spans="8:9">
      <c r="H22015" s="1245"/>
      <c r="I22015" s="1245"/>
    </row>
    <row r="22016" spans="8:9">
      <c r="H22016" s="1245"/>
      <c r="I22016" s="1245"/>
    </row>
    <row r="22017" spans="8:9">
      <c r="H22017" s="1245"/>
      <c r="I22017" s="1245"/>
    </row>
    <row r="22018" spans="8:9">
      <c r="H22018" s="1245"/>
      <c r="I22018" s="1245"/>
    </row>
    <row r="22019" spans="8:9">
      <c r="H22019" s="1245"/>
      <c r="I22019" s="1245"/>
    </row>
    <row r="22020" spans="8:9">
      <c r="H22020" s="1245"/>
      <c r="I22020" s="1245"/>
    </row>
    <row r="22021" spans="8:9">
      <c r="H22021" s="1245"/>
      <c r="I22021" s="1245"/>
    </row>
    <row r="22022" spans="8:9">
      <c r="H22022" s="1245"/>
      <c r="I22022" s="1245"/>
    </row>
    <row r="22023" spans="8:9">
      <c r="H22023" s="1245"/>
      <c r="I22023" s="1245"/>
    </row>
    <row r="22024" spans="8:9">
      <c r="H22024" s="1245"/>
      <c r="I22024" s="1245"/>
    </row>
    <row r="22025" spans="8:9">
      <c r="H22025" s="1245"/>
      <c r="I22025" s="1245"/>
    </row>
    <row r="22026" spans="8:9">
      <c r="H22026" s="1245"/>
      <c r="I22026" s="1245"/>
    </row>
    <row r="22027" spans="8:9">
      <c r="H22027" s="1245"/>
      <c r="I22027" s="1245"/>
    </row>
    <row r="22028" spans="8:9">
      <c r="H22028" s="1245"/>
      <c r="I22028" s="1245"/>
    </row>
    <row r="22029" spans="8:9">
      <c r="H22029" s="1245"/>
      <c r="I22029" s="1245"/>
    </row>
    <row r="22030" spans="8:9">
      <c r="H22030" s="1245"/>
      <c r="I22030" s="1245"/>
    </row>
    <row r="22031" spans="8:9">
      <c r="H22031" s="1245"/>
      <c r="I22031" s="1245"/>
    </row>
    <row r="22032" spans="8:9">
      <c r="H22032" s="1245"/>
      <c r="I22032" s="1245"/>
    </row>
    <row r="22033" spans="8:9">
      <c r="H22033" s="1245"/>
      <c r="I22033" s="1245"/>
    </row>
    <row r="22034" spans="8:9">
      <c r="H22034" s="1245"/>
      <c r="I22034" s="1245"/>
    </row>
    <row r="22035" spans="8:9">
      <c r="H22035" s="1245"/>
      <c r="I22035" s="1245"/>
    </row>
    <row r="22036" spans="8:9">
      <c r="H22036" s="1245"/>
      <c r="I22036" s="1245"/>
    </row>
    <row r="22037" spans="8:9">
      <c r="H22037" s="1245"/>
      <c r="I22037" s="1245"/>
    </row>
    <row r="22038" spans="8:9">
      <c r="H22038" s="1245"/>
      <c r="I22038" s="1245"/>
    </row>
    <row r="22039" spans="8:9">
      <c r="H22039" s="1245"/>
      <c r="I22039" s="1245"/>
    </row>
    <row r="22040" spans="8:9">
      <c r="H22040" s="1245"/>
      <c r="I22040" s="1245"/>
    </row>
    <row r="22041" spans="8:9">
      <c r="H22041" s="1245"/>
      <c r="I22041" s="1245"/>
    </row>
    <row r="22042" spans="8:9">
      <c r="H22042" s="1245"/>
      <c r="I22042" s="1245"/>
    </row>
    <row r="22043" spans="8:9">
      <c r="H22043" s="1245"/>
      <c r="I22043" s="1245"/>
    </row>
    <row r="22044" spans="8:9">
      <c r="H22044" s="1245"/>
      <c r="I22044" s="1245"/>
    </row>
    <row r="22045" spans="8:9">
      <c r="H22045" s="1245"/>
      <c r="I22045" s="1245"/>
    </row>
    <row r="22046" spans="8:9">
      <c r="H22046" s="1245"/>
      <c r="I22046" s="1245"/>
    </row>
    <row r="22047" spans="8:9">
      <c r="H22047" s="1245"/>
      <c r="I22047" s="1245"/>
    </row>
    <row r="22048" spans="8:9">
      <c r="H22048" s="1245"/>
      <c r="I22048" s="1245"/>
    </row>
    <row r="22049" spans="8:9">
      <c r="H22049" s="1245"/>
      <c r="I22049" s="1245"/>
    </row>
    <row r="22050" spans="8:9">
      <c r="H22050" s="1245"/>
      <c r="I22050" s="1245"/>
    </row>
    <row r="22051" spans="8:9">
      <c r="H22051" s="1245"/>
      <c r="I22051" s="1245"/>
    </row>
    <row r="22052" spans="8:9">
      <c r="H22052" s="1245"/>
      <c r="I22052" s="1245"/>
    </row>
    <row r="22053" spans="8:9">
      <c r="H22053" s="1245"/>
      <c r="I22053" s="1245"/>
    </row>
    <row r="22054" spans="8:9">
      <c r="H22054" s="1245"/>
      <c r="I22054" s="1245"/>
    </row>
    <row r="22055" spans="8:9">
      <c r="H22055" s="1245"/>
      <c r="I22055" s="1245"/>
    </row>
    <row r="22056" spans="8:9">
      <c r="H22056" s="1245"/>
      <c r="I22056" s="1245"/>
    </row>
    <row r="22057" spans="8:9">
      <c r="H22057" s="1245"/>
      <c r="I22057" s="1245"/>
    </row>
    <row r="22058" spans="8:9">
      <c r="H22058" s="1245"/>
      <c r="I22058" s="1245"/>
    </row>
    <row r="22059" spans="8:9">
      <c r="H22059" s="1245"/>
      <c r="I22059" s="1245"/>
    </row>
    <row r="22060" spans="8:9">
      <c r="H22060" s="1245"/>
      <c r="I22060" s="1245"/>
    </row>
    <row r="22061" spans="8:9">
      <c r="H22061" s="1245"/>
      <c r="I22061" s="1245"/>
    </row>
    <row r="22062" spans="8:9">
      <c r="H22062" s="1245"/>
      <c r="I22062" s="1245"/>
    </row>
    <row r="22063" spans="8:9">
      <c r="H22063" s="1245"/>
      <c r="I22063" s="1245"/>
    </row>
    <row r="22064" spans="8:9">
      <c r="H22064" s="1245"/>
      <c r="I22064" s="1245"/>
    </row>
    <row r="22065" spans="8:9">
      <c r="H22065" s="1245"/>
      <c r="I22065" s="1245"/>
    </row>
    <row r="22066" spans="8:9">
      <c r="H22066" s="1245"/>
      <c r="I22066" s="1245"/>
    </row>
    <row r="22067" spans="8:9">
      <c r="H22067" s="1245"/>
      <c r="I22067" s="1245"/>
    </row>
    <row r="22068" spans="8:9">
      <c r="H22068" s="1245"/>
      <c r="I22068" s="1245"/>
    </row>
    <row r="22069" spans="8:9">
      <c r="H22069" s="1245"/>
      <c r="I22069" s="1245"/>
    </row>
    <row r="22070" spans="8:9">
      <c r="H22070" s="1245"/>
      <c r="I22070" s="1245"/>
    </row>
    <row r="22071" spans="8:9">
      <c r="H22071" s="1245"/>
      <c r="I22071" s="1245"/>
    </row>
    <row r="22072" spans="8:9">
      <c r="H22072" s="1245"/>
      <c r="I22072" s="1245"/>
    </row>
    <row r="22073" spans="8:9">
      <c r="H22073" s="1245"/>
      <c r="I22073" s="1245"/>
    </row>
    <row r="22074" spans="8:9">
      <c r="H22074" s="1245"/>
      <c r="I22074" s="1245"/>
    </row>
    <row r="22075" spans="8:9">
      <c r="H22075" s="1245"/>
      <c r="I22075" s="1245"/>
    </row>
    <row r="22076" spans="8:9">
      <c r="H22076" s="1245"/>
      <c r="I22076" s="1245"/>
    </row>
    <row r="22077" spans="8:9">
      <c r="H22077" s="1245"/>
      <c r="I22077" s="1245"/>
    </row>
    <row r="22078" spans="8:9">
      <c r="H22078" s="1245"/>
      <c r="I22078" s="1245"/>
    </row>
    <row r="22079" spans="8:9">
      <c r="H22079" s="1245"/>
      <c r="I22079" s="1245"/>
    </row>
    <row r="22080" spans="8:9">
      <c r="H22080" s="1245"/>
      <c r="I22080" s="1245"/>
    </row>
    <row r="22081" spans="8:9">
      <c r="H22081" s="1245"/>
      <c r="I22081" s="1245"/>
    </row>
    <row r="22082" spans="8:9">
      <c r="H22082" s="1245"/>
      <c r="I22082" s="1245"/>
    </row>
    <row r="22083" spans="8:9">
      <c r="H22083" s="1245"/>
      <c r="I22083" s="1245"/>
    </row>
    <row r="22084" spans="8:9">
      <c r="H22084" s="1245"/>
      <c r="I22084" s="1245"/>
    </row>
    <row r="22085" spans="8:9">
      <c r="H22085" s="1245"/>
      <c r="I22085" s="1245"/>
    </row>
    <row r="22086" spans="8:9">
      <c r="H22086" s="1245"/>
      <c r="I22086" s="1245"/>
    </row>
    <row r="22087" spans="8:9">
      <c r="H22087" s="1245"/>
      <c r="I22087" s="1245"/>
    </row>
    <row r="22088" spans="8:9">
      <c r="H22088" s="1245"/>
      <c r="I22088" s="1245"/>
    </row>
    <row r="22089" spans="8:9">
      <c r="H22089" s="1245"/>
      <c r="I22089" s="1245"/>
    </row>
    <row r="22090" spans="8:9">
      <c r="H22090" s="1245"/>
      <c r="I22090" s="1245"/>
    </row>
    <row r="22091" spans="8:9">
      <c r="H22091" s="1245"/>
      <c r="I22091" s="1245"/>
    </row>
    <row r="22092" spans="8:9">
      <c r="H22092" s="1245"/>
      <c r="I22092" s="1245"/>
    </row>
    <row r="22093" spans="8:9">
      <c r="H22093" s="1245"/>
      <c r="I22093" s="1245"/>
    </row>
    <row r="22094" spans="8:9">
      <c r="H22094" s="1245"/>
      <c r="I22094" s="1245"/>
    </row>
    <row r="22095" spans="8:9">
      <c r="H22095" s="1245"/>
      <c r="I22095" s="1245"/>
    </row>
    <row r="22096" spans="8:9">
      <c r="H22096" s="1245"/>
      <c r="I22096" s="1245"/>
    </row>
    <row r="22097" spans="8:9">
      <c r="H22097" s="1245"/>
      <c r="I22097" s="1245"/>
    </row>
    <row r="22098" spans="8:9">
      <c r="H22098" s="1245"/>
      <c r="I22098" s="1245"/>
    </row>
    <row r="22099" spans="8:9">
      <c r="H22099" s="1245"/>
      <c r="I22099" s="1245"/>
    </row>
    <row r="22100" spans="8:9">
      <c r="H22100" s="1245"/>
      <c r="I22100" s="1245"/>
    </row>
    <row r="22101" spans="8:9">
      <c r="H22101" s="1245"/>
      <c r="I22101" s="1245"/>
    </row>
    <row r="22102" spans="8:9">
      <c r="H22102" s="1245"/>
      <c r="I22102" s="1245"/>
    </row>
    <row r="22103" spans="8:9">
      <c r="H22103" s="1245"/>
      <c r="I22103" s="1245"/>
    </row>
    <row r="22104" spans="8:9">
      <c r="H22104" s="1245"/>
      <c r="I22104" s="1245"/>
    </row>
    <row r="22105" spans="8:9">
      <c r="H22105" s="1245"/>
      <c r="I22105" s="1245"/>
    </row>
    <row r="22106" spans="8:9">
      <c r="H22106" s="1245"/>
      <c r="I22106" s="1245"/>
    </row>
    <row r="22107" spans="8:9">
      <c r="H22107" s="1245"/>
      <c r="I22107" s="1245"/>
    </row>
    <row r="22108" spans="8:9">
      <c r="H22108" s="1245"/>
      <c r="I22108" s="1245"/>
    </row>
    <row r="22109" spans="8:9">
      <c r="H22109" s="1245"/>
      <c r="I22109" s="1245"/>
    </row>
    <row r="22110" spans="8:9">
      <c r="H22110" s="1245"/>
      <c r="I22110" s="1245"/>
    </row>
    <row r="22111" spans="8:9">
      <c r="H22111" s="1245"/>
      <c r="I22111" s="1245"/>
    </row>
    <row r="22112" spans="8:9">
      <c r="H22112" s="1245"/>
      <c r="I22112" s="1245"/>
    </row>
    <row r="22113" spans="8:9">
      <c r="H22113" s="1245"/>
      <c r="I22113" s="1245"/>
    </row>
    <row r="22114" spans="8:9">
      <c r="H22114" s="1245"/>
      <c r="I22114" s="1245"/>
    </row>
    <row r="22115" spans="8:9">
      <c r="H22115" s="1245"/>
      <c r="I22115" s="1245"/>
    </row>
    <row r="22116" spans="8:9">
      <c r="H22116" s="1245"/>
      <c r="I22116" s="1245"/>
    </row>
    <row r="22117" spans="8:9">
      <c r="H22117" s="1245"/>
      <c r="I22117" s="1245"/>
    </row>
    <row r="22118" spans="8:9">
      <c r="H22118" s="1245"/>
      <c r="I22118" s="1245"/>
    </row>
    <row r="22119" spans="8:9">
      <c r="H22119" s="1245"/>
      <c r="I22119" s="1245"/>
    </row>
    <row r="22120" spans="8:9">
      <c r="H22120" s="1245"/>
      <c r="I22120" s="1245"/>
    </row>
    <row r="22121" spans="8:9">
      <c r="H22121" s="1245"/>
      <c r="I22121" s="1245"/>
    </row>
    <row r="22122" spans="8:9">
      <c r="H22122" s="1245"/>
      <c r="I22122" s="1245"/>
    </row>
    <row r="22123" spans="8:9">
      <c r="H22123" s="1245"/>
      <c r="I22123" s="1245"/>
    </row>
    <row r="22124" spans="8:9">
      <c r="H22124" s="1245"/>
      <c r="I22124" s="1245"/>
    </row>
    <row r="22125" spans="8:9">
      <c r="H22125" s="1245"/>
      <c r="I22125" s="1245"/>
    </row>
    <row r="22126" spans="8:9">
      <c r="H22126" s="1245"/>
      <c r="I22126" s="1245"/>
    </row>
    <row r="22127" spans="8:9">
      <c r="H22127" s="1245"/>
      <c r="I22127" s="1245"/>
    </row>
    <row r="22128" spans="8:9">
      <c r="H22128" s="1245"/>
      <c r="I22128" s="1245"/>
    </row>
    <row r="22129" spans="8:9">
      <c r="H22129" s="1245"/>
      <c r="I22129" s="1245"/>
    </row>
    <row r="22130" spans="8:9">
      <c r="H22130" s="1245"/>
      <c r="I22130" s="1245"/>
    </row>
    <row r="22131" spans="8:9">
      <c r="H22131" s="1245"/>
      <c r="I22131" s="1245"/>
    </row>
    <row r="22132" spans="8:9">
      <c r="H22132" s="1245"/>
      <c r="I22132" s="1245"/>
    </row>
    <row r="22133" spans="8:9">
      <c r="H22133" s="1245"/>
      <c r="I22133" s="1245"/>
    </row>
    <row r="22134" spans="8:9">
      <c r="H22134" s="1245"/>
      <c r="I22134" s="1245"/>
    </row>
    <row r="22135" spans="8:9">
      <c r="H22135" s="1245"/>
      <c r="I22135" s="1245"/>
    </row>
    <row r="22136" spans="8:9">
      <c r="H22136" s="1245"/>
      <c r="I22136" s="1245"/>
    </row>
    <row r="22137" spans="8:9">
      <c r="H22137" s="1245"/>
      <c r="I22137" s="1245"/>
    </row>
    <row r="22138" spans="8:9">
      <c r="H22138" s="1245"/>
      <c r="I22138" s="1245"/>
    </row>
    <row r="22139" spans="8:9">
      <c r="H22139" s="1245"/>
      <c r="I22139" s="1245"/>
    </row>
    <row r="22140" spans="8:9">
      <c r="H22140" s="1245"/>
      <c r="I22140" s="1245"/>
    </row>
    <row r="22141" spans="8:9">
      <c r="H22141" s="1245"/>
      <c r="I22141" s="1245"/>
    </row>
    <row r="22142" spans="8:9">
      <c r="H22142" s="1245"/>
      <c r="I22142" s="1245"/>
    </row>
    <row r="22143" spans="8:9">
      <c r="H22143" s="1245"/>
      <c r="I22143" s="1245"/>
    </row>
    <row r="22144" spans="8:9">
      <c r="H22144" s="1245"/>
      <c r="I22144" s="1245"/>
    </row>
    <row r="22145" spans="8:9">
      <c r="H22145" s="1245"/>
      <c r="I22145" s="1245"/>
    </row>
    <row r="22146" spans="8:9">
      <c r="H22146" s="1245"/>
      <c r="I22146" s="1245"/>
    </row>
    <row r="22147" spans="8:9">
      <c r="H22147" s="1245"/>
      <c r="I22147" s="1245"/>
    </row>
    <row r="22148" spans="8:9">
      <c r="H22148" s="1245"/>
      <c r="I22148" s="1245"/>
    </row>
    <row r="22149" spans="8:9">
      <c r="H22149" s="1245"/>
      <c r="I22149" s="1245"/>
    </row>
    <row r="22150" spans="8:9">
      <c r="H22150" s="1245"/>
      <c r="I22150" s="1245"/>
    </row>
    <row r="22151" spans="8:9">
      <c r="H22151" s="1245"/>
      <c r="I22151" s="1245"/>
    </row>
    <row r="22152" spans="8:9">
      <c r="H22152" s="1245"/>
      <c r="I22152" s="1245"/>
    </row>
    <row r="22153" spans="8:9">
      <c r="H22153" s="1245"/>
      <c r="I22153" s="1245"/>
    </row>
    <row r="22154" spans="8:9">
      <c r="H22154" s="1245"/>
      <c r="I22154" s="1245"/>
    </row>
    <row r="22155" spans="8:9">
      <c r="H22155" s="1245"/>
      <c r="I22155" s="1245"/>
    </row>
    <row r="22156" spans="8:9">
      <c r="H22156" s="1245"/>
      <c r="I22156" s="1245"/>
    </row>
    <row r="22157" spans="8:9">
      <c r="H22157" s="1245"/>
      <c r="I22157" s="1245"/>
    </row>
    <row r="22158" spans="8:9">
      <c r="H22158" s="1245"/>
      <c r="I22158" s="1245"/>
    </row>
    <row r="22159" spans="8:9">
      <c r="H22159" s="1245"/>
      <c r="I22159" s="1245"/>
    </row>
    <row r="22160" spans="8:9">
      <c r="H22160" s="1245"/>
      <c r="I22160" s="1245"/>
    </row>
    <row r="22161" spans="8:9">
      <c r="H22161" s="1245"/>
      <c r="I22161" s="1245"/>
    </row>
    <row r="22162" spans="8:9">
      <c r="H22162" s="1245"/>
      <c r="I22162" s="1245"/>
    </row>
    <row r="22163" spans="8:9">
      <c r="H22163" s="1245"/>
      <c r="I22163" s="1245"/>
    </row>
    <row r="22164" spans="8:9">
      <c r="H22164" s="1245"/>
      <c r="I22164" s="1245"/>
    </row>
    <row r="22165" spans="8:9">
      <c r="H22165" s="1245"/>
      <c r="I22165" s="1245"/>
    </row>
    <row r="22166" spans="8:9">
      <c r="H22166" s="1245"/>
      <c r="I22166" s="1245"/>
    </row>
    <row r="22167" spans="8:9">
      <c r="H22167" s="1245"/>
      <c r="I22167" s="1245"/>
    </row>
    <row r="22168" spans="8:9">
      <c r="H22168" s="1245"/>
      <c r="I22168" s="1245"/>
    </row>
    <row r="22169" spans="8:9">
      <c r="H22169" s="1245"/>
      <c r="I22169" s="1245"/>
    </row>
    <row r="22170" spans="8:9">
      <c r="H22170" s="1245"/>
      <c r="I22170" s="1245"/>
    </row>
    <row r="22171" spans="8:9">
      <c r="H22171" s="1245"/>
      <c r="I22171" s="1245"/>
    </row>
    <row r="22172" spans="8:9">
      <c r="H22172" s="1245"/>
      <c r="I22172" s="1245"/>
    </row>
    <row r="22173" spans="8:9">
      <c r="H22173" s="1245"/>
      <c r="I22173" s="1245"/>
    </row>
    <row r="22174" spans="8:9">
      <c r="H22174" s="1245"/>
      <c r="I22174" s="1245"/>
    </row>
    <row r="22175" spans="8:9">
      <c r="H22175" s="1245"/>
      <c r="I22175" s="1245"/>
    </row>
    <row r="22176" spans="8:9">
      <c r="H22176" s="1245"/>
      <c r="I22176" s="1245"/>
    </row>
    <row r="22177" spans="8:9">
      <c r="H22177" s="1245"/>
      <c r="I22177" s="1245"/>
    </row>
    <row r="22178" spans="8:9">
      <c r="H22178" s="1245"/>
      <c r="I22178" s="1245"/>
    </row>
    <row r="22179" spans="8:9">
      <c r="H22179" s="1245"/>
      <c r="I22179" s="1245"/>
    </row>
    <row r="22180" spans="8:9">
      <c r="H22180" s="1245"/>
      <c r="I22180" s="1245"/>
    </row>
    <row r="22181" spans="8:9">
      <c r="H22181" s="1245"/>
      <c r="I22181" s="1245"/>
    </row>
    <row r="22182" spans="8:9">
      <c r="H22182" s="1245"/>
      <c r="I22182" s="1245"/>
    </row>
    <row r="22183" spans="8:9">
      <c r="H22183" s="1245"/>
      <c r="I22183" s="1245"/>
    </row>
    <row r="22184" spans="8:9">
      <c r="H22184" s="1245"/>
      <c r="I22184" s="1245"/>
    </row>
    <row r="22185" spans="8:9">
      <c r="H22185" s="1245"/>
      <c r="I22185" s="1245"/>
    </row>
    <row r="22186" spans="8:9">
      <c r="H22186" s="1245"/>
      <c r="I22186" s="1245"/>
    </row>
    <row r="22187" spans="8:9">
      <c r="H22187" s="1245"/>
      <c r="I22187" s="1245"/>
    </row>
    <row r="22188" spans="8:9">
      <c r="H22188" s="1245"/>
      <c r="I22188" s="1245"/>
    </row>
    <row r="22189" spans="8:9">
      <c r="H22189" s="1245"/>
      <c r="I22189" s="1245"/>
    </row>
    <row r="22190" spans="8:9">
      <c r="H22190" s="1245"/>
      <c r="I22190" s="1245"/>
    </row>
    <row r="22191" spans="8:9">
      <c r="H22191" s="1245"/>
      <c r="I22191" s="1245"/>
    </row>
    <row r="22192" spans="8:9">
      <c r="H22192" s="1245"/>
      <c r="I22192" s="1245"/>
    </row>
    <row r="22193" spans="8:9">
      <c r="H22193" s="1245"/>
      <c r="I22193" s="1245"/>
    </row>
    <row r="22194" spans="8:9">
      <c r="H22194" s="1245"/>
      <c r="I22194" s="1245"/>
    </row>
    <row r="22195" spans="8:9">
      <c r="H22195" s="1245"/>
      <c r="I22195" s="1245"/>
    </row>
    <row r="22196" spans="8:9">
      <c r="H22196" s="1245"/>
      <c r="I22196" s="1245"/>
    </row>
    <row r="22197" spans="8:9">
      <c r="H22197" s="1245"/>
      <c r="I22197" s="1245"/>
    </row>
    <row r="22198" spans="8:9">
      <c r="H22198" s="1245"/>
      <c r="I22198" s="1245"/>
    </row>
    <row r="22199" spans="8:9">
      <c r="H22199" s="1245"/>
      <c r="I22199" s="1245"/>
    </row>
    <row r="22200" spans="8:9">
      <c r="H22200" s="1245"/>
      <c r="I22200" s="1245"/>
    </row>
    <row r="22201" spans="8:9">
      <c r="H22201" s="1245"/>
      <c r="I22201" s="1245"/>
    </row>
    <row r="22202" spans="8:9">
      <c r="H22202" s="1245"/>
      <c r="I22202" s="1245"/>
    </row>
    <row r="22203" spans="8:9">
      <c r="H22203" s="1245"/>
      <c r="I22203" s="1245"/>
    </row>
    <row r="22204" spans="8:9">
      <c r="H22204" s="1245"/>
      <c r="I22204" s="1245"/>
    </row>
    <row r="22205" spans="8:9">
      <c r="H22205" s="1245"/>
      <c r="I22205" s="1245"/>
    </row>
    <row r="22206" spans="8:9">
      <c r="H22206" s="1245"/>
      <c r="I22206" s="1245"/>
    </row>
    <row r="22207" spans="8:9">
      <c r="H22207" s="1245"/>
      <c r="I22207" s="1245"/>
    </row>
    <row r="22208" spans="8:9">
      <c r="H22208" s="1245"/>
      <c r="I22208" s="1245"/>
    </row>
    <row r="22209" spans="8:9">
      <c r="H22209" s="1245"/>
      <c r="I22209" s="1245"/>
    </row>
    <row r="22210" spans="8:9">
      <c r="H22210" s="1245"/>
      <c r="I22210" s="1245"/>
    </row>
    <row r="22211" spans="8:9">
      <c r="H22211" s="1245"/>
      <c r="I22211" s="1245"/>
    </row>
    <row r="22212" spans="8:9">
      <c r="H22212" s="1245"/>
      <c r="I22212" s="1245"/>
    </row>
    <row r="22213" spans="8:9">
      <c r="H22213" s="1245"/>
      <c r="I22213" s="1245"/>
    </row>
    <row r="22214" spans="8:9">
      <c r="H22214" s="1245"/>
      <c r="I22214" s="1245"/>
    </row>
    <row r="22215" spans="8:9">
      <c r="H22215" s="1245"/>
      <c r="I22215" s="1245"/>
    </row>
    <row r="22216" spans="8:9">
      <c r="H22216" s="1245"/>
      <c r="I22216" s="1245"/>
    </row>
    <row r="22217" spans="8:9">
      <c r="H22217" s="1245"/>
      <c r="I22217" s="1245"/>
    </row>
    <row r="22218" spans="8:9">
      <c r="H22218" s="1245"/>
      <c r="I22218" s="1245"/>
    </row>
    <row r="22219" spans="8:9">
      <c r="H22219" s="1245"/>
      <c r="I22219" s="1245"/>
    </row>
    <row r="22220" spans="8:9">
      <c r="H22220" s="1245"/>
      <c r="I22220" s="1245"/>
    </row>
    <row r="22221" spans="8:9">
      <c r="H22221" s="1245"/>
      <c r="I22221" s="1245"/>
    </row>
    <row r="22222" spans="8:9">
      <c r="H22222" s="1245"/>
      <c r="I22222" s="1245"/>
    </row>
    <row r="22223" spans="8:9">
      <c r="H22223" s="1245"/>
      <c r="I22223" s="1245"/>
    </row>
    <row r="22224" spans="8:9">
      <c r="H22224" s="1245"/>
      <c r="I22224" s="1245"/>
    </row>
    <row r="22225" spans="8:9">
      <c r="H22225" s="1245"/>
      <c r="I22225" s="1245"/>
    </row>
    <row r="22226" spans="8:9">
      <c r="H22226" s="1245"/>
      <c r="I22226" s="1245"/>
    </row>
    <row r="22227" spans="8:9">
      <c r="H22227" s="1245"/>
      <c r="I22227" s="1245"/>
    </row>
    <row r="22228" spans="8:9">
      <c r="H22228" s="1245"/>
      <c r="I22228" s="1245"/>
    </row>
    <row r="22229" spans="8:9">
      <c r="H22229" s="1245"/>
      <c r="I22229" s="1245"/>
    </row>
    <row r="22230" spans="8:9">
      <c r="H22230" s="1245"/>
      <c r="I22230" s="1245"/>
    </row>
    <row r="22231" spans="8:9">
      <c r="H22231" s="1245"/>
      <c r="I22231" s="1245"/>
    </row>
    <row r="22232" spans="8:9">
      <c r="H22232" s="1245"/>
      <c r="I22232" s="1245"/>
    </row>
    <row r="22233" spans="8:9">
      <c r="H22233" s="1245"/>
      <c r="I22233" s="1245"/>
    </row>
    <row r="22234" spans="8:9">
      <c r="H22234" s="1245"/>
      <c r="I22234" s="1245"/>
    </row>
    <row r="22235" spans="8:9">
      <c r="H22235" s="1245"/>
      <c r="I22235" s="1245"/>
    </row>
    <row r="22236" spans="8:9">
      <c r="H22236" s="1245"/>
      <c r="I22236" s="1245"/>
    </row>
    <row r="22237" spans="8:9">
      <c r="H22237" s="1245"/>
      <c r="I22237" s="1245"/>
    </row>
    <row r="22238" spans="8:9">
      <c r="H22238" s="1245"/>
      <c r="I22238" s="1245"/>
    </row>
    <row r="22239" spans="8:9">
      <c r="H22239" s="1245"/>
      <c r="I22239" s="1245"/>
    </row>
    <row r="22240" spans="8:9">
      <c r="H22240" s="1245"/>
      <c r="I22240" s="1245"/>
    </row>
    <row r="22241" spans="8:9">
      <c r="H22241" s="1245"/>
      <c r="I22241" s="1245"/>
    </row>
    <row r="22242" spans="8:9">
      <c r="H22242" s="1245"/>
      <c r="I22242" s="1245"/>
    </row>
    <row r="22243" spans="8:9">
      <c r="H22243" s="1245"/>
      <c r="I22243" s="1245"/>
    </row>
    <row r="22244" spans="8:9">
      <c r="H22244" s="1245"/>
      <c r="I22244" s="1245"/>
    </row>
    <row r="22245" spans="8:9">
      <c r="H22245" s="1245"/>
      <c r="I22245" s="1245"/>
    </row>
    <row r="22246" spans="8:9">
      <c r="H22246" s="1245"/>
      <c r="I22246" s="1245"/>
    </row>
    <row r="22247" spans="8:9">
      <c r="H22247" s="1245"/>
      <c r="I22247" s="1245"/>
    </row>
    <row r="22248" spans="8:9">
      <c r="H22248" s="1245"/>
      <c r="I22248" s="1245"/>
    </row>
    <row r="22249" spans="8:9">
      <c r="H22249" s="1245"/>
      <c r="I22249" s="1245"/>
    </row>
    <row r="22250" spans="8:9">
      <c r="H22250" s="1245"/>
      <c r="I22250" s="1245"/>
    </row>
    <row r="22251" spans="8:9">
      <c r="H22251" s="1245"/>
      <c r="I22251" s="1245"/>
    </row>
    <row r="22252" spans="8:9">
      <c r="H22252" s="1245"/>
      <c r="I22252" s="1245"/>
    </row>
    <row r="22253" spans="8:9">
      <c r="H22253" s="1245"/>
      <c r="I22253" s="1245"/>
    </row>
    <row r="22254" spans="8:9">
      <c r="H22254" s="1245"/>
      <c r="I22254" s="1245"/>
    </row>
    <row r="22255" spans="8:9">
      <c r="H22255" s="1245"/>
      <c r="I22255" s="1245"/>
    </row>
    <row r="22256" spans="8:9">
      <c r="H22256" s="1245"/>
      <c r="I22256" s="1245"/>
    </row>
    <row r="22257" spans="8:9">
      <c r="H22257" s="1245"/>
      <c r="I22257" s="1245"/>
    </row>
    <row r="22258" spans="8:9">
      <c r="H22258" s="1245"/>
      <c r="I22258" s="1245"/>
    </row>
    <row r="22259" spans="8:9">
      <c r="H22259" s="1245"/>
      <c r="I22259" s="1245"/>
    </row>
    <row r="22260" spans="8:9">
      <c r="H22260" s="1245"/>
      <c r="I22260" s="1245"/>
    </row>
    <row r="22261" spans="8:9">
      <c r="H22261" s="1245"/>
      <c r="I22261" s="1245"/>
    </row>
    <row r="22262" spans="8:9">
      <c r="H22262" s="1245"/>
      <c r="I22262" s="1245"/>
    </row>
    <row r="22263" spans="8:9">
      <c r="H22263" s="1245"/>
      <c r="I22263" s="1245"/>
    </row>
    <row r="22264" spans="8:9">
      <c r="H22264" s="1245"/>
      <c r="I22264" s="1245"/>
    </row>
    <row r="22265" spans="8:9">
      <c r="H22265" s="1245"/>
      <c r="I22265" s="1245"/>
    </row>
    <row r="22266" spans="8:9">
      <c r="H22266" s="1245"/>
      <c r="I22266" s="1245"/>
    </row>
    <row r="22267" spans="8:9">
      <c r="H22267" s="1245"/>
      <c r="I22267" s="1245"/>
    </row>
    <row r="22268" spans="8:9">
      <c r="H22268" s="1245"/>
      <c r="I22268" s="1245"/>
    </row>
    <row r="22269" spans="8:9">
      <c r="H22269" s="1245"/>
      <c r="I22269" s="1245"/>
    </row>
    <row r="22270" spans="8:9">
      <c r="H22270" s="1245"/>
      <c r="I22270" s="1245"/>
    </row>
    <row r="22271" spans="8:9">
      <c r="H22271" s="1245"/>
      <c r="I22271" s="1245"/>
    </row>
    <row r="22272" spans="8:9">
      <c r="H22272" s="1245"/>
      <c r="I22272" s="1245"/>
    </row>
    <row r="22273" spans="8:9">
      <c r="H22273" s="1245"/>
      <c r="I22273" s="1245"/>
    </row>
    <row r="22274" spans="8:9">
      <c r="H22274" s="1245"/>
      <c r="I22274" s="1245"/>
    </row>
    <row r="22275" spans="8:9">
      <c r="H22275" s="1245"/>
      <c r="I22275" s="1245"/>
    </row>
    <row r="22276" spans="8:9">
      <c r="H22276" s="1245"/>
      <c r="I22276" s="1245"/>
    </row>
    <row r="22277" spans="8:9">
      <c r="H22277" s="1245"/>
      <c r="I22277" s="1245"/>
    </row>
    <row r="22278" spans="8:9">
      <c r="H22278" s="1245"/>
      <c r="I22278" s="1245"/>
    </row>
    <row r="22279" spans="8:9">
      <c r="H22279" s="1245"/>
      <c r="I22279" s="1245"/>
    </row>
    <row r="22280" spans="8:9">
      <c r="H22280" s="1245"/>
      <c r="I22280" s="1245"/>
    </row>
    <row r="22281" spans="8:9">
      <c r="H22281" s="1245"/>
      <c r="I22281" s="1245"/>
    </row>
    <row r="22282" spans="8:9">
      <c r="H22282" s="1245"/>
      <c r="I22282" s="1245"/>
    </row>
    <row r="22283" spans="8:9">
      <c r="H22283" s="1245"/>
      <c r="I22283" s="1245"/>
    </row>
    <row r="22284" spans="8:9">
      <c r="H22284" s="1245"/>
      <c r="I22284" s="1245"/>
    </row>
    <row r="22285" spans="8:9">
      <c r="H22285" s="1245"/>
      <c r="I22285" s="1245"/>
    </row>
    <row r="22286" spans="8:9">
      <c r="H22286" s="1245"/>
      <c r="I22286" s="1245"/>
    </row>
    <row r="22287" spans="8:9">
      <c r="H22287" s="1245"/>
      <c r="I22287" s="1245"/>
    </row>
    <row r="22288" spans="8:9">
      <c r="H22288" s="1245"/>
      <c r="I22288" s="1245"/>
    </row>
    <row r="22289" spans="8:9">
      <c r="H22289" s="1245"/>
      <c r="I22289" s="1245"/>
    </row>
    <row r="22290" spans="8:9">
      <c r="H22290" s="1245"/>
      <c r="I22290" s="1245"/>
    </row>
    <row r="22291" spans="8:9">
      <c r="H22291" s="1245"/>
      <c r="I22291" s="1245"/>
    </row>
    <row r="22292" spans="8:9">
      <c r="H22292" s="1245"/>
      <c r="I22292" s="1245"/>
    </row>
    <row r="22293" spans="8:9">
      <c r="H22293" s="1245"/>
      <c r="I22293" s="1245"/>
    </row>
    <row r="22294" spans="8:9">
      <c r="H22294" s="1245"/>
      <c r="I22294" s="1245"/>
    </row>
    <row r="22295" spans="8:9">
      <c r="H22295" s="1245"/>
      <c r="I22295" s="1245"/>
    </row>
    <row r="22296" spans="8:9">
      <c r="H22296" s="1245"/>
      <c r="I22296" s="1245"/>
    </row>
    <row r="22297" spans="8:9">
      <c r="H22297" s="1245"/>
      <c r="I22297" s="1245"/>
    </row>
    <row r="22298" spans="8:9">
      <c r="H22298" s="1245"/>
      <c r="I22298" s="1245"/>
    </row>
    <row r="22299" spans="8:9">
      <c r="H22299" s="1245"/>
      <c r="I22299" s="1245"/>
    </row>
    <row r="22300" spans="8:9">
      <c r="H22300" s="1245"/>
      <c r="I22300" s="1245"/>
    </row>
    <row r="22301" spans="8:9">
      <c r="H22301" s="1245"/>
      <c r="I22301" s="1245"/>
    </row>
    <row r="22302" spans="8:9">
      <c r="H22302" s="1245"/>
      <c r="I22302" s="1245"/>
    </row>
    <row r="22303" spans="8:9">
      <c r="H22303" s="1245"/>
      <c r="I22303" s="1245"/>
    </row>
    <row r="22304" spans="8:9">
      <c r="H22304" s="1245"/>
      <c r="I22304" s="1245"/>
    </row>
    <row r="22305" spans="8:9">
      <c r="H22305" s="1245"/>
      <c r="I22305" s="1245"/>
    </row>
    <row r="22306" spans="8:9">
      <c r="H22306" s="1245"/>
      <c r="I22306" s="1245"/>
    </row>
    <row r="22307" spans="8:9">
      <c r="H22307" s="1245"/>
      <c r="I22307" s="1245"/>
    </row>
    <row r="22308" spans="8:9">
      <c r="H22308" s="1245"/>
      <c r="I22308" s="1245"/>
    </row>
    <row r="22309" spans="8:9">
      <c r="H22309" s="1245"/>
      <c r="I22309" s="1245"/>
    </row>
    <row r="22310" spans="8:9">
      <c r="H22310" s="1245"/>
      <c r="I22310" s="1245"/>
    </row>
    <row r="22311" spans="8:9">
      <c r="H22311" s="1245"/>
      <c r="I22311" s="1245"/>
    </row>
    <row r="22312" spans="8:9">
      <c r="H22312" s="1245"/>
      <c r="I22312" s="1245"/>
    </row>
    <row r="22313" spans="8:9">
      <c r="H22313" s="1245"/>
      <c r="I22313" s="1245"/>
    </row>
    <row r="22314" spans="8:9">
      <c r="H22314" s="1245"/>
      <c r="I22314" s="1245"/>
    </row>
    <row r="22315" spans="8:9">
      <c r="H22315" s="1245"/>
      <c r="I22315" s="1245"/>
    </row>
    <row r="22316" spans="8:9">
      <c r="H22316" s="1245"/>
      <c r="I22316" s="1245"/>
    </row>
    <row r="22317" spans="8:9">
      <c r="H22317" s="1245"/>
      <c r="I22317" s="1245"/>
    </row>
    <row r="22318" spans="8:9">
      <c r="H22318" s="1245"/>
      <c r="I22318" s="1245"/>
    </row>
    <row r="22319" spans="8:9">
      <c r="H22319" s="1245"/>
      <c r="I22319" s="1245"/>
    </row>
    <row r="22320" spans="8:9">
      <c r="H22320" s="1245"/>
      <c r="I22320" s="1245"/>
    </row>
    <row r="22321" spans="8:9">
      <c r="H22321" s="1245"/>
      <c r="I22321" s="1245"/>
    </row>
    <row r="22322" spans="8:9">
      <c r="H22322" s="1245"/>
      <c r="I22322" s="1245"/>
    </row>
    <row r="22323" spans="8:9">
      <c r="H22323" s="1245"/>
      <c r="I22323" s="1245"/>
    </row>
    <row r="22324" spans="8:9">
      <c r="H22324" s="1245"/>
      <c r="I22324" s="1245"/>
    </row>
    <row r="22325" spans="8:9">
      <c r="H22325" s="1245"/>
      <c r="I22325" s="1245"/>
    </row>
    <row r="22326" spans="8:9">
      <c r="H22326" s="1245"/>
      <c r="I22326" s="1245"/>
    </row>
    <row r="22327" spans="8:9">
      <c r="H22327" s="1245"/>
      <c r="I22327" s="1245"/>
    </row>
    <row r="22328" spans="8:9">
      <c r="H22328" s="1245"/>
      <c r="I22328" s="1245"/>
    </row>
    <row r="22329" spans="8:9">
      <c r="H22329" s="1245"/>
      <c r="I22329" s="1245"/>
    </row>
    <row r="22330" spans="8:9">
      <c r="H22330" s="1245"/>
      <c r="I22330" s="1245"/>
    </row>
    <row r="22331" spans="8:9">
      <c r="H22331" s="1245"/>
      <c r="I22331" s="1245"/>
    </row>
    <row r="22332" spans="8:9">
      <c r="H22332" s="1245"/>
      <c r="I22332" s="1245"/>
    </row>
    <row r="22333" spans="8:9">
      <c r="H22333" s="1245"/>
      <c r="I22333" s="1245"/>
    </row>
    <row r="22334" spans="8:9">
      <c r="H22334" s="1245"/>
      <c r="I22334" s="1245"/>
    </row>
    <row r="22335" spans="8:9">
      <c r="H22335" s="1245"/>
      <c r="I22335" s="1245"/>
    </row>
    <row r="22336" spans="8:9">
      <c r="H22336" s="1245"/>
      <c r="I22336" s="1245"/>
    </row>
    <row r="22337" spans="8:9">
      <c r="H22337" s="1245"/>
      <c r="I22337" s="1245"/>
    </row>
    <row r="22338" spans="8:9">
      <c r="H22338" s="1245"/>
      <c r="I22338" s="1245"/>
    </row>
    <row r="22339" spans="8:9">
      <c r="H22339" s="1245"/>
      <c r="I22339" s="1245"/>
    </row>
    <row r="22340" spans="8:9">
      <c r="H22340" s="1245"/>
      <c r="I22340" s="1245"/>
    </row>
    <row r="22341" spans="8:9">
      <c r="H22341" s="1245"/>
      <c r="I22341" s="1245"/>
    </row>
    <row r="22342" spans="8:9">
      <c r="H22342" s="1245"/>
      <c r="I22342" s="1245"/>
    </row>
    <row r="22343" spans="8:9">
      <c r="H22343" s="1245"/>
      <c r="I22343" s="1245"/>
    </row>
    <row r="22344" spans="8:9">
      <c r="H22344" s="1245"/>
      <c r="I22344" s="1245"/>
    </row>
    <row r="22345" spans="8:9">
      <c r="H22345" s="1245"/>
      <c r="I22345" s="1245"/>
    </row>
    <row r="22346" spans="8:9">
      <c r="H22346" s="1245"/>
      <c r="I22346" s="1245"/>
    </row>
    <row r="22347" spans="8:9">
      <c r="H22347" s="1245"/>
      <c r="I22347" s="1245"/>
    </row>
    <row r="22348" spans="8:9">
      <c r="H22348" s="1245"/>
      <c r="I22348" s="1245"/>
    </row>
    <row r="22349" spans="8:9">
      <c r="H22349" s="1245"/>
      <c r="I22349" s="1245"/>
    </row>
    <row r="22350" spans="8:9">
      <c r="H22350" s="1245"/>
      <c r="I22350" s="1245"/>
    </row>
    <row r="22351" spans="8:9">
      <c r="H22351" s="1245"/>
      <c r="I22351" s="1245"/>
    </row>
    <row r="22352" spans="8:9">
      <c r="H22352" s="1245"/>
      <c r="I22352" s="1245"/>
    </row>
    <row r="22353" spans="8:9">
      <c r="H22353" s="1245"/>
      <c r="I22353" s="1245"/>
    </row>
    <row r="22354" spans="8:9">
      <c r="H22354" s="1245"/>
      <c r="I22354" s="1245"/>
    </row>
    <row r="22355" spans="8:9">
      <c r="H22355" s="1245"/>
      <c r="I22355" s="1245"/>
    </row>
    <row r="22356" spans="8:9">
      <c r="H22356" s="1245"/>
      <c r="I22356" s="1245"/>
    </row>
    <row r="22357" spans="8:9">
      <c r="H22357" s="1245"/>
      <c r="I22357" s="1245"/>
    </row>
    <row r="22358" spans="8:9">
      <c r="H22358" s="1245"/>
      <c r="I22358" s="1245"/>
    </row>
    <row r="22359" spans="8:9">
      <c r="H22359" s="1245"/>
      <c r="I22359" s="1245"/>
    </row>
    <row r="22360" spans="8:9">
      <c r="H22360" s="1245"/>
      <c r="I22360" s="1245"/>
    </row>
    <row r="22361" spans="8:9">
      <c r="H22361" s="1245"/>
      <c r="I22361" s="1245"/>
    </row>
    <row r="22362" spans="8:9">
      <c r="H22362" s="1245"/>
      <c r="I22362" s="1245"/>
    </row>
    <row r="22363" spans="8:9">
      <c r="H22363" s="1245"/>
      <c r="I22363" s="1245"/>
    </row>
    <row r="22364" spans="8:9">
      <c r="H22364" s="1245"/>
      <c r="I22364" s="1245"/>
    </row>
    <row r="22365" spans="8:9">
      <c r="H22365" s="1245"/>
      <c r="I22365" s="1245"/>
    </row>
    <row r="22366" spans="8:9">
      <c r="H22366" s="1245"/>
      <c r="I22366" s="1245"/>
    </row>
    <row r="22367" spans="8:9">
      <c r="H22367" s="1245"/>
      <c r="I22367" s="1245"/>
    </row>
    <row r="22368" spans="8:9">
      <c r="H22368" s="1245"/>
      <c r="I22368" s="1245"/>
    </row>
    <row r="22369" spans="8:9">
      <c r="H22369" s="1245"/>
      <c r="I22369" s="1245"/>
    </row>
    <row r="22370" spans="8:9">
      <c r="H22370" s="1245"/>
      <c r="I22370" s="1245"/>
    </row>
    <row r="22371" spans="8:9">
      <c r="H22371" s="1245"/>
      <c r="I22371" s="1245"/>
    </row>
    <row r="22372" spans="8:9">
      <c r="H22372" s="1245"/>
      <c r="I22372" s="1245"/>
    </row>
    <row r="22373" spans="8:9">
      <c r="H22373" s="1245"/>
      <c r="I22373" s="1245"/>
    </row>
    <row r="22374" spans="8:9">
      <c r="H22374" s="1245"/>
      <c r="I22374" s="1245"/>
    </row>
    <row r="22375" spans="8:9">
      <c r="H22375" s="1245"/>
      <c r="I22375" s="1245"/>
    </row>
    <row r="22376" spans="8:9">
      <c r="H22376" s="1245"/>
      <c r="I22376" s="1245"/>
    </row>
    <row r="22377" spans="8:9">
      <c r="H22377" s="1245"/>
      <c r="I22377" s="1245"/>
    </row>
    <row r="22378" spans="8:9">
      <c r="H22378" s="1245"/>
      <c r="I22378" s="1245"/>
    </row>
    <row r="22379" spans="8:9">
      <c r="H22379" s="1245"/>
      <c r="I22379" s="1245"/>
    </row>
    <row r="22380" spans="8:9">
      <c r="H22380" s="1245"/>
      <c r="I22380" s="1245"/>
    </row>
    <row r="22381" spans="8:9">
      <c r="H22381" s="1245"/>
      <c r="I22381" s="1245"/>
    </row>
    <row r="22382" spans="8:9">
      <c r="H22382" s="1245"/>
      <c r="I22382" s="1245"/>
    </row>
    <row r="22383" spans="8:9">
      <c r="H22383" s="1245"/>
      <c r="I22383" s="1245"/>
    </row>
    <row r="22384" spans="8:9">
      <c r="H22384" s="1245"/>
      <c r="I22384" s="1245"/>
    </row>
    <row r="22385" spans="8:9">
      <c r="H22385" s="1245"/>
      <c r="I22385" s="1245"/>
    </row>
    <row r="22386" spans="8:9">
      <c r="H22386" s="1245"/>
      <c r="I22386" s="1245"/>
    </row>
    <row r="22387" spans="8:9">
      <c r="H22387" s="1245"/>
      <c r="I22387" s="1245"/>
    </row>
    <row r="22388" spans="8:9">
      <c r="H22388" s="1245"/>
      <c r="I22388" s="1245"/>
    </row>
    <row r="22389" spans="8:9">
      <c r="H22389" s="1245"/>
      <c r="I22389" s="1245"/>
    </row>
    <row r="22390" spans="8:9">
      <c r="H22390" s="1245"/>
      <c r="I22390" s="1245"/>
    </row>
    <row r="22391" spans="8:9">
      <c r="H22391" s="1245"/>
      <c r="I22391" s="1245"/>
    </row>
    <row r="22392" spans="8:9">
      <c r="H22392" s="1245"/>
      <c r="I22392" s="1245"/>
    </row>
    <row r="22393" spans="8:9">
      <c r="H22393" s="1245"/>
      <c r="I22393" s="1245"/>
    </row>
    <row r="22394" spans="8:9">
      <c r="H22394" s="1245"/>
      <c r="I22394" s="1245"/>
    </row>
    <row r="22395" spans="8:9">
      <c r="H22395" s="1245"/>
      <c r="I22395" s="1245"/>
    </row>
    <row r="22396" spans="8:9">
      <c r="H22396" s="1245"/>
      <c r="I22396" s="1245"/>
    </row>
    <row r="22397" spans="8:9">
      <c r="H22397" s="1245"/>
      <c r="I22397" s="1245"/>
    </row>
    <row r="22398" spans="8:9">
      <c r="H22398" s="1245"/>
      <c r="I22398" s="1245"/>
    </row>
    <row r="22399" spans="8:9">
      <c r="H22399" s="1245"/>
      <c r="I22399" s="1245"/>
    </row>
    <row r="22400" spans="8:9">
      <c r="H22400" s="1245"/>
      <c r="I22400" s="1245"/>
    </row>
    <row r="22401" spans="8:9">
      <c r="H22401" s="1245"/>
      <c r="I22401" s="1245"/>
    </row>
    <row r="22402" spans="8:9">
      <c r="H22402" s="1245"/>
      <c r="I22402" s="1245"/>
    </row>
    <row r="22403" spans="8:9">
      <c r="H22403" s="1245"/>
      <c r="I22403" s="1245"/>
    </row>
    <row r="22404" spans="8:9">
      <c r="H22404" s="1245"/>
      <c r="I22404" s="1245"/>
    </row>
    <row r="22405" spans="8:9">
      <c r="H22405" s="1245"/>
      <c r="I22405" s="1245"/>
    </row>
    <row r="22406" spans="8:9">
      <c r="H22406" s="1245"/>
      <c r="I22406" s="1245"/>
    </row>
    <row r="22407" spans="8:9">
      <c r="H22407" s="1245"/>
      <c r="I22407" s="1245"/>
    </row>
    <row r="22408" spans="8:9">
      <c r="H22408" s="1245"/>
      <c r="I22408" s="1245"/>
    </row>
    <row r="22409" spans="8:9">
      <c r="H22409" s="1245"/>
      <c r="I22409" s="1245"/>
    </row>
    <row r="22410" spans="8:9">
      <c r="H22410" s="1245"/>
      <c r="I22410" s="1245"/>
    </row>
    <row r="22411" spans="8:9">
      <c r="H22411" s="1245"/>
      <c r="I22411" s="1245"/>
    </row>
    <row r="22412" spans="8:9">
      <c r="H22412" s="1245"/>
      <c r="I22412" s="1245"/>
    </row>
    <row r="22413" spans="8:9">
      <c r="H22413" s="1245"/>
      <c r="I22413" s="1245"/>
    </row>
    <row r="22414" spans="8:9">
      <c r="H22414" s="1245"/>
      <c r="I22414" s="1245"/>
    </row>
    <row r="22415" spans="8:9">
      <c r="H22415" s="1245"/>
      <c r="I22415" s="1245"/>
    </row>
    <row r="22416" spans="8:9">
      <c r="H22416" s="1245"/>
      <c r="I22416" s="1245"/>
    </row>
    <row r="22417" spans="8:9">
      <c r="H22417" s="1245"/>
      <c r="I22417" s="1245"/>
    </row>
    <row r="22418" spans="8:9">
      <c r="H22418" s="1245"/>
      <c r="I22418" s="1245"/>
    </row>
    <row r="22419" spans="8:9">
      <c r="H22419" s="1245"/>
      <c r="I22419" s="1245"/>
    </row>
    <row r="22420" spans="8:9">
      <c r="H22420" s="1245"/>
      <c r="I22420" s="1245"/>
    </row>
    <row r="22421" spans="8:9">
      <c r="H22421" s="1245"/>
      <c r="I22421" s="1245"/>
    </row>
    <row r="22422" spans="8:9">
      <c r="H22422" s="1245"/>
      <c r="I22422" s="1245"/>
    </row>
    <row r="22423" spans="8:9">
      <c r="H22423" s="1245"/>
      <c r="I22423" s="1245"/>
    </row>
    <row r="22424" spans="8:9">
      <c r="H22424" s="1245"/>
      <c r="I22424" s="1245"/>
    </row>
    <row r="22425" spans="8:9">
      <c r="H22425" s="1245"/>
      <c r="I22425" s="1245"/>
    </row>
    <row r="22426" spans="8:9">
      <c r="H22426" s="1245"/>
      <c r="I22426" s="1245"/>
    </row>
    <row r="22427" spans="8:9">
      <c r="H22427" s="1245"/>
      <c r="I22427" s="1245"/>
    </row>
    <row r="22428" spans="8:9">
      <c r="H22428" s="1245"/>
      <c r="I22428" s="1245"/>
    </row>
    <row r="22429" spans="8:9">
      <c r="H22429" s="1245"/>
      <c r="I22429" s="1245"/>
    </row>
    <row r="22430" spans="8:9">
      <c r="H22430" s="1245"/>
      <c r="I22430" s="1245"/>
    </row>
    <row r="22431" spans="8:9">
      <c r="H22431" s="1245"/>
      <c r="I22431" s="1245"/>
    </row>
    <row r="22432" spans="8:9">
      <c r="H22432" s="1245"/>
      <c r="I22432" s="1245"/>
    </row>
    <row r="22433" spans="8:9">
      <c r="H22433" s="1245"/>
      <c r="I22433" s="1245"/>
    </row>
    <row r="22434" spans="8:9">
      <c r="H22434" s="1245"/>
      <c r="I22434" s="1245"/>
    </row>
    <row r="22435" spans="8:9">
      <c r="H22435" s="1245"/>
      <c r="I22435" s="1245"/>
    </row>
    <row r="22436" spans="8:9">
      <c r="H22436" s="1245"/>
      <c r="I22436" s="1245"/>
    </row>
    <row r="22437" spans="8:9">
      <c r="H22437" s="1245"/>
      <c r="I22437" s="1245"/>
    </row>
    <row r="22438" spans="8:9">
      <c r="H22438" s="1245"/>
      <c r="I22438" s="1245"/>
    </row>
    <row r="22439" spans="8:9">
      <c r="H22439" s="1245"/>
      <c r="I22439" s="1245"/>
    </row>
    <row r="22440" spans="8:9">
      <c r="H22440" s="1245"/>
      <c r="I22440" s="1245"/>
    </row>
    <row r="22441" spans="8:9">
      <c r="H22441" s="1245"/>
      <c r="I22441" s="1245"/>
    </row>
    <row r="22442" spans="8:9">
      <c r="H22442" s="1245"/>
      <c r="I22442" s="1245"/>
    </row>
    <row r="22443" spans="8:9">
      <c r="H22443" s="1245"/>
      <c r="I22443" s="1245"/>
    </row>
    <row r="22444" spans="8:9">
      <c r="H22444" s="1245"/>
      <c r="I22444" s="1245"/>
    </row>
    <row r="22445" spans="8:9">
      <c r="H22445" s="1245"/>
      <c r="I22445" s="1245"/>
    </row>
    <row r="22446" spans="8:9">
      <c r="H22446" s="1245"/>
      <c r="I22446" s="1245"/>
    </row>
    <row r="22447" spans="8:9">
      <c r="H22447" s="1245"/>
      <c r="I22447" s="1245"/>
    </row>
    <row r="22448" spans="8:9">
      <c r="H22448" s="1245"/>
      <c r="I22448" s="1245"/>
    </row>
    <row r="22449" spans="8:9">
      <c r="H22449" s="1245"/>
      <c r="I22449" s="1245"/>
    </row>
    <row r="22450" spans="8:9">
      <c r="H22450" s="1245"/>
      <c r="I22450" s="1245"/>
    </row>
    <row r="22451" spans="8:9">
      <c r="H22451" s="1245"/>
      <c r="I22451" s="1245"/>
    </row>
    <row r="22452" spans="8:9">
      <c r="H22452" s="1245"/>
      <c r="I22452" s="1245"/>
    </row>
    <row r="22453" spans="8:9">
      <c r="H22453" s="1245"/>
      <c r="I22453" s="1245"/>
    </row>
    <row r="22454" spans="8:9">
      <c r="H22454" s="1245"/>
      <c r="I22454" s="1245"/>
    </row>
    <row r="22455" spans="8:9">
      <c r="H22455" s="1245"/>
      <c r="I22455" s="1245"/>
    </row>
    <row r="22456" spans="8:9">
      <c r="H22456" s="1245"/>
      <c r="I22456" s="1245"/>
    </row>
    <row r="22457" spans="8:9">
      <c r="H22457" s="1245"/>
      <c r="I22457" s="1245"/>
    </row>
    <row r="22458" spans="8:9">
      <c r="H22458" s="1245"/>
      <c r="I22458" s="1245"/>
    </row>
    <row r="22459" spans="8:9">
      <c r="H22459" s="1245"/>
      <c r="I22459" s="1245"/>
    </row>
    <row r="22460" spans="8:9">
      <c r="H22460" s="1245"/>
      <c r="I22460" s="1245"/>
    </row>
    <row r="22461" spans="8:9">
      <c r="H22461" s="1245"/>
      <c r="I22461" s="1245"/>
    </row>
    <row r="22462" spans="8:9">
      <c r="H22462" s="1245"/>
      <c r="I22462" s="1245"/>
    </row>
    <row r="22463" spans="8:9">
      <c r="H22463" s="1245"/>
      <c r="I22463" s="1245"/>
    </row>
    <row r="22464" spans="8:9">
      <c r="H22464" s="1245"/>
      <c r="I22464" s="1245"/>
    </row>
    <row r="22465" spans="8:9">
      <c r="H22465" s="1245"/>
      <c r="I22465" s="1245"/>
    </row>
    <row r="22466" spans="8:9">
      <c r="H22466" s="1245"/>
      <c r="I22466" s="1245"/>
    </row>
    <row r="22467" spans="8:9">
      <c r="H22467" s="1245"/>
      <c r="I22467" s="1245"/>
    </row>
    <row r="22468" spans="8:9">
      <c r="H22468" s="1245"/>
      <c r="I22468" s="1245"/>
    </row>
    <row r="22469" spans="8:9">
      <c r="H22469" s="1245"/>
      <c r="I22469" s="1245"/>
    </row>
    <row r="22470" spans="8:9">
      <c r="H22470" s="1245"/>
      <c r="I22470" s="1245"/>
    </row>
    <row r="22471" spans="8:9">
      <c r="H22471" s="1245"/>
      <c r="I22471" s="1245"/>
    </row>
    <row r="22472" spans="8:9">
      <c r="H22472" s="1245"/>
      <c r="I22472" s="1245"/>
    </row>
    <row r="22473" spans="8:9">
      <c r="H22473" s="1245"/>
      <c r="I22473" s="1245"/>
    </row>
    <row r="22474" spans="8:9">
      <c r="H22474" s="1245"/>
      <c r="I22474" s="1245"/>
    </row>
    <row r="22475" spans="8:9">
      <c r="H22475" s="1245"/>
      <c r="I22475" s="1245"/>
    </row>
    <row r="22476" spans="8:9">
      <c r="H22476" s="1245"/>
      <c r="I22476" s="1245"/>
    </row>
    <row r="22477" spans="8:9">
      <c r="H22477" s="1245"/>
      <c r="I22477" s="1245"/>
    </row>
    <row r="22478" spans="8:9">
      <c r="H22478" s="1245"/>
      <c r="I22478" s="1245"/>
    </row>
    <row r="22479" spans="8:9">
      <c r="H22479" s="1245"/>
      <c r="I22479" s="1245"/>
    </row>
    <row r="22480" spans="8:9">
      <c r="H22480" s="1245"/>
      <c r="I22480" s="1245"/>
    </row>
    <row r="22481" spans="8:9">
      <c r="H22481" s="1245"/>
      <c r="I22481" s="1245"/>
    </row>
    <row r="22482" spans="8:9">
      <c r="H22482" s="1245"/>
      <c r="I22482" s="1245"/>
    </row>
    <row r="22483" spans="8:9">
      <c r="H22483" s="1245"/>
      <c r="I22483" s="1245"/>
    </row>
    <row r="22484" spans="8:9">
      <c r="H22484" s="1245"/>
      <c r="I22484" s="1245"/>
    </row>
    <row r="22485" spans="8:9">
      <c r="H22485" s="1245"/>
      <c r="I22485" s="1245"/>
    </row>
    <row r="22486" spans="8:9">
      <c r="H22486" s="1245"/>
      <c r="I22486" s="1245"/>
    </row>
    <row r="22487" spans="8:9">
      <c r="H22487" s="1245"/>
      <c r="I22487" s="1245"/>
    </row>
    <row r="22488" spans="8:9">
      <c r="H22488" s="1245"/>
      <c r="I22488" s="1245"/>
    </row>
    <row r="22489" spans="8:9">
      <c r="H22489" s="1245"/>
      <c r="I22489" s="1245"/>
    </row>
    <row r="22490" spans="8:9">
      <c r="H22490" s="1245"/>
      <c r="I22490" s="1245"/>
    </row>
    <row r="22491" spans="8:9">
      <c r="H22491" s="1245"/>
      <c r="I22491" s="1245"/>
    </row>
    <row r="22492" spans="8:9">
      <c r="H22492" s="1245"/>
      <c r="I22492" s="1245"/>
    </row>
    <row r="22493" spans="8:9">
      <c r="H22493" s="1245"/>
      <c r="I22493" s="1245"/>
    </row>
    <row r="22494" spans="8:9">
      <c r="H22494" s="1245"/>
      <c r="I22494" s="1245"/>
    </row>
    <row r="22495" spans="8:9">
      <c r="H22495" s="1245"/>
      <c r="I22495" s="1245"/>
    </row>
    <row r="22496" spans="8:9">
      <c r="H22496" s="1245"/>
      <c r="I22496" s="1245"/>
    </row>
    <row r="22497" spans="8:9">
      <c r="H22497" s="1245"/>
      <c r="I22497" s="1245"/>
    </row>
    <row r="22498" spans="8:9">
      <c r="H22498" s="1245"/>
      <c r="I22498" s="1245"/>
    </row>
    <row r="22499" spans="8:9">
      <c r="H22499" s="1245"/>
      <c r="I22499" s="1245"/>
    </row>
    <row r="22500" spans="8:9">
      <c r="H22500" s="1245"/>
      <c r="I22500" s="1245"/>
    </row>
    <row r="22501" spans="8:9">
      <c r="H22501" s="1245"/>
      <c r="I22501" s="1245"/>
    </row>
    <row r="22502" spans="8:9">
      <c r="H22502" s="1245"/>
      <c r="I22502" s="1245"/>
    </row>
    <row r="22503" spans="8:9">
      <c r="H22503" s="1245"/>
      <c r="I22503" s="1245"/>
    </row>
    <row r="22504" spans="8:9">
      <c r="H22504" s="1245"/>
      <c r="I22504" s="1245"/>
    </row>
    <row r="22505" spans="8:9">
      <c r="H22505" s="1245"/>
      <c r="I22505" s="1245"/>
    </row>
    <row r="22506" spans="8:9">
      <c r="H22506" s="1245"/>
      <c r="I22506" s="1245"/>
    </row>
    <row r="22507" spans="8:9">
      <c r="H22507" s="1245"/>
      <c r="I22507" s="1245"/>
    </row>
    <row r="22508" spans="8:9">
      <c r="H22508" s="1245"/>
      <c r="I22508" s="1245"/>
    </row>
    <row r="22509" spans="8:9">
      <c r="H22509" s="1245"/>
      <c r="I22509" s="1245"/>
    </row>
    <row r="22510" spans="8:9">
      <c r="H22510" s="1245"/>
      <c r="I22510" s="1245"/>
    </row>
    <row r="22511" spans="8:9">
      <c r="H22511" s="1245"/>
      <c r="I22511" s="1245"/>
    </row>
    <row r="22512" spans="8:9">
      <c r="H22512" s="1245"/>
      <c r="I22512" s="1245"/>
    </row>
    <row r="22513" spans="8:9">
      <c r="H22513" s="1245"/>
      <c r="I22513" s="1245"/>
    </row>
    <row r="22514" spans="8:9">
      <c r="H22514" s="1245"/>
      <c r="I22514" s="1245"/>
    </row>
    <row r="22515" spans="8:9">
      <c r="H22515" s="1245"/>
      <c r="I22515" s="1245"/>
    </row>
    <row r="22516" spans="8:9">
      <c r="H22516" s="1245"/>
      <c r="I22516" s="1245"/>
    </row>
    <row r="22517" spans="8:9">
      <c r="H22517" s="1245"/>
      <c r="I22517" s="1245"/>
    </row>
    <row r="22518" spans="8:9">
      <c r="H22518" s="1245"/>
      <c r="I22518" s="1245"/>
    </row>
    <row r="22519" spans="8:9">
      <c r="H22519" s="1245"/>
      <c r="I22519" s="1245"/>
    </row>
    <row r="22520" spans="8:9">
      <c r="H22520" s="1245"/>
      <c r="I22520" s="1245"/>
    </row>
    <row r="22521" spans="8:9">
      <c r="H22521" s="1245"/>
      <c r="I22521" s="1245"/>
    </row>
    <row r="22522" spans="8:9">
      <c r="H22522" s="1245"/>
      <c r="I22522" s="1245"/>
    </row>
    <row r="22523" spans="8:9">
      <c r="H22523" s="1245"/>
      <c r="I22523" s="1245"/>
    </row>
    <row r="22524" spans="8:9">
      <c r="H22524" s="1245"/>
      <c r="I22524" s="1245"/>
    </row>
    <row r="22525" spans="8:9">
      <c r="H22525" s="1245"/>
      <c r="I22525" s="1245"/>
    </row>
    <row r="22526" spans="8:9">
      <c r="H22526" s="1245"/>
      <c r="I22526" s="1245"/>
    </row>
    <row r="22527" spans="8:9">
      <c r="H22527" s="1245"/>
      <c r="I22527" s="1245"/>
    </row>
    <row r="22528" spans="8:9">
      <c r="H22528" s="1245"/>
      <c r="I22528" s="1245"/>
    </row>
    <row r="22529" spans="8:9">
      <c r="H22529" s="1245"/>
      <c r="I22529" s="1245"/>
    </row>
    <row r="22530" spans="8:9">
      <c r="H22530" s="1245"/>
      <c r="I22530" s="1245"/>
    </row>
    <row r="22531" spans="8:9">
      <c r="H22531" s="1245"/>
      <c r="I22531" s="1245"/>
    </row>
    <row r="22532" spans="8:9">
      <c r="H22532" s="1245"/>
      <c r="I22532" s="1245"/>
    </row>
    <row r="22533" spans="8:9">
      <c r="H22533" s="1245"/>
      <c r="I22533" s="1245"/>
    </row>
    <row r="22534" spans="8:9">
      <c r="H22534" s="1245"/>
      <c r="I22534" s="1245"/>
    </row>
    <row r="22535" spans="8:9">
      <c r="H22535" s="1245"/>
      <c r="I22535" s="1245"/>
    </row>
    <row r="22536" spans="8:9">
      <c r="H22536" s="1245"/>
      <c r="I22536" s="1245"/>
    </row>
    <row r="22537" spans="8:9">
      <c r="H22537" s="1245"/>
      <c r="I22537" s="1245"/>
    </row>
    <row r="22538" spans="8:9">
      <c r="H22538" s="1245"/>
      <c r="I22538" s="1245"/>
    </row>
    <row r="22539" spans="8:9">
      <c r="H22539" s="1245"/>
      <c r="I22539" s="1245"/>
    </row>
    <row r="22540" spans="8:9">
      <c r="H22540" s="1245"/>
      <c r="I22540" s="1245"/>
    </row>
    <row r="22541" spans="8:9">
      <c r="H22541" s="1245"/>
      <c r="I22541" s="1245"/>
    </row>
    <row r="22542" spans="8:9">
      <c r="H22542" s="1245"/>
      <c r="I22542" s="1245"/>
    </row>
    <row r="22543" spans="8:9">
      <c r="H22543" s="1245"/>
      <c r="I22543" s="1245"/>
    </row>
    <row r="22544" spans="8:9">
      <c r="H22544" s="1245"/>
      <c r="I22544" s="1245"/>
    </row>
    <row r="22545" spans="8:9">
      <c r="H22545" s="1245"/>
      <c r="I22545" s="1245"/>
    </row>
    <row r="22546" spans="8:9">
      <c r="H22546" s="1245"/>
      <c r="I22546" s="1245"/>
    </row>
    <row r="22547" spans="8:9">
      <c r="H22547" s="1245"/>
      <c r="I22547" s="1245"/>
    </row>
    <row r="22548" spans="8:9">
      <c r="H22548" s="1245"/>
      <c r="I22548" s="1245"/>
    </row>
    <row r="22549" spans="8:9">
      <c r="H22549" s="1245"/>
      <c r="I22549" s="1245"/>
    </row>
    <row r="22550" spans="8:9">
      <c r="H22550" s="1245"/>
      <c r="I22550" s="1245"/>
    </row>
    <row r="22551" spans="8:9">
      <c r="H22551" s="1245"/>
      <c r="I22551" s="1245"/>
    </row>
    <row r="22552" spans="8:9">
      <c r="H22552" s="1245"/>
      <c r="I22552" s="1245"/>
    </row>
    <row r="22553" spans="8:9">
      <c r="H22553" s="1245"/>
      <c r="I22553" s="1245"/>
    </row>
    <row r="22554" spans="8:9">
      <c r="H22554" s="1245"/>
      <c r="I22554" s="1245"/>
    </row>
    <row r="22555" spans="8:9">
      <c r="H22555" s="1245"/>
      <c r="I22555" s="1245"/>
    </row>
    <row r="22556" spans="8:9">
      <c r="H22556" s="1245"/>
      <c r="I22556" s="1245"/>
    </row>
    <row r="22557" spans="8:9">
      <c r="H22557" s="1245"/>
      <c r="I22557" s="1245"/>
    </row>
    <row r="22558" spans="8:9">
      <c r="H22558" s="1245"/>
      <c r="I22558" s="1245"/>
    </row>
    <row r="22559" spans="8:9">
      <c r="H22559" s="1245"/>
      <c r="I22559" s="1245"/>
    </row>
    <row r="22560" spans="8:9">
      <c r="H22560" s="1245"/>
      <c r="I22560" s="1245"/>
    </row>
    <row r="22561" spans="8:9">
      <c r="H22561" s="1245"/>
      <c r="I22561" s="1245"/>
    </row>
    <row r="22562" spans="8:9">
      <c r="H22562" s="1245"/>
      <c r="I22562" s="1245"/>
    </row>
    <row r="22563" spans="8:9">
      <c r="H22563" s="1245"/>
      <c r="I22563" s="1245"/>
    </row>
    <row r="22564" spans="8:9">
      <c r="H22564" s="1245"/>
      <c r="I22564" s="1245"/>
    </row>
    <row r="22565" spans="8:9">
      <c r="H22565" s="1245"/>
      <c r="I22565" s="1245"/>
    </row>
    <row r="22566" spans="8:9">
      <c r="H22566" s="1245"/>
      <c r="I22566" s="1245"/>
    </row>
    <row r="22567" spans="8:9">
      <c r="H22567" s="1245"/>
      <c r="I22567" s="1245"/>
    </row>
    <row r="22568" spans="8:9">
      <c r="H22568" s="1245"/>
      <c r="I22568" s="1245"/>
    </row>
    <row r="22569" spans="8:9">
      <c r="H22569" s="1245"/>
      <c r="I22569" s="1245"/>
    </row>
    <row r="22570" spans="8:9">
      <c r="H22570" s="1245"/>
      <c r="I22570" s="1245"/>
    </row>
    <row r="22571" spans="8:9">
      <c r="H22571" s="1245"/>
      <c r="I22571" s="1245"/>
    </row>
    <row r="22572" spans="8:9">
      <c r="H22572" s="1245"/>
      <c r="I22572" s="1245"/>
    </row>
    <row r="22573" spans="8:9">
      <c r="H22573" s="1245"/>
      <c r="I22573" s="1245"/>
    </row>
    <row r="22574" spans="8:9">
      <c r="H22574" s="1245"/>
      <c r="I22574" s="1245"/>
    </row>
    <row r="22575" spans="8:9">
      <c r="H22575" s="1245"/>
      <c r="I22575" s="1245"/>
    </row>
    <row r="22576" spans="8:9">
      <c r="H22576" s="1245"/>
      <c r="I22576" s="1245"/>
    </row>
    <row r="22577" spans="8:9">
      <c r="H22577" s="1245"/>
      <c r="I22577" s="1245"/>
    </row>
    <row r="22578" spans="8:9">
      <c r="H22578" s="1245"/>
      <c r="I22578" s="1245"/>
    </row>
    <row r="22579" spans="8:9">
      <c r="H22579" s="1245"/>
      <c r="I22579" s="1245"/>
    </row>
    <row r="22580" spans="8:9">
      <c r="H22580" s="1245"/>
      <c r="I22580" s="1245"/>
    </row>
    <row r="22581" spans="8:9">
      <c r="H22581" s="1245"/>
      <c r="I22581" s="1245"/>
    </row>
    <row r="22582" spans="8:9">
      <c r="H22582" s="1245"/>
      <c r="I22582" s="1245"/>
    </row>
    <row r="22583" spans="8:9">
      <c r="H22583" s="1245"/>
      <c r="I22583" s="1245"/>
    </row>
    <row r="22584" spans="8:9">
      <c r="H22584" s="1245"/>
      <c r="I22584" s="1245"/>
    </row>
    <row r="22585" spans="8:9">
      <c r="H22585" s="1245"/>
      <c r="I22585" s="1245"/>
    </row>
    <row r="22586" spans="8:9">
      <c r="H22586" s="1245"/>
      <c r="I22586" s="1245"/>
    </row>
    <row r="22587" spans="8:9">
      <c r="H22587" s="1245"/>
      <c r="I22587" s="1245"/>
    </row>
    <row r="22588" spans="8:9">
      <c r="H22588" s="1245"/>
      <c r="I22588" s="1245"/>
    </row>
    <row r="22589" spans="8:9">
      <c r="H22589" s="1245"/>
      <c r="I22589" s="1245"/>
    </row>
    <row r="22590" spans="8:9">
      <c r="H22590" s="1245"/>
      <c r="I22590" s="1245"/>
    </row>
    <row r="22591" spans="8:9">
      <c r="H22591" s="1245"/>
      <c r="I22591" s="1245"/>
    </row>
    <row r="22592" spans="8:9">
      <c r="H22592" s="1245"/>
      <c r="I22592" s="1245"/>
    </row>
    <row r="22593" spans="8:9">
      <c r="H22593" s="1245"/>
      <c r="I22593" s="1245"/>
    </row>
    <row r="22594" spans="8:9">
      <c r="H22594" s="1245"/>
      <c r="I22594" s="1245"/>
    </row>
    <row r="22595" spans="8:9">
      <c r="H22595" s="1245"/>
      <c r="I22595" s="1245"/>
    </row>
    <row r="22596" spans="8:9">
      <c r="H22596" s="1245"/>
      <c r="I22596" s="1245"/>
    </row>
    <row r="22597" spans="8:9">
      <c r="H22597" s="1245"/>
      <c r="I22597" s="1245"/>
    </row>
    <row r="22598" spans="8:9">
      <c r="H22598" s="1245"/>
      <c r="I22598" s="1245"/>
    </row>
    <row r="22599" spans="8:9">
      <c r="H22599" s="1245"/>
      <c r="I22599" s="1245"/>
    </row>
    <row r="22600" spans="8:9">
      <c r="H22600" s="1245"/>
      <c r="I22600" s="1245"/>
    </row>
    <row r="22601" spans="8:9">
      <c r="H22601" s="1245"/>
      <c r="I22601" s="1245"/>
    </row>
    <row r="22602" spans="8:9">
      <c r="H22602" s="1245"/>
      <c r="I22602" s="1245"/>
    </row>
    <row r="22603" spans="8:9">
      <c r="H22603" s="1245"/>
      <c r="I22603" s="1245"/>
    </row>
    <row r="22604" spans="8:9">
      <c r="H22604" s="1245"/>
      <c r="I22604" s="1245"/>
    </row>
    <row r="22605" spans="8:9">
      <c r="H22605" s="1245"/>
      <c r="I22605" s="1245"/>
    </row>
    <row r="22606" spans="8:9">
      <c r="H22606" s="1245"/>
      <c r="I22606" s="1245"/>
    </row>
    <row r="22607" spans="8:9">
      <c r="H22607" s="1245"/>
      <c r="I22607" s="1245"/>
    </row>
    <row r="22608" spans="8:9">
      <c r="H22608" s="1245"/>
      <c r="I22608" s="1245"/>
    </row>
    <row r="22609" spans="8:9">
      <c r="H22609" s="1245"/>
      <c r="I22609" s="1245"/>
    </row>
    <row r="22610" spans="8:9">
      <c r="H22610" s="1245"/>
      <c r="I22610" s="1245"/>
    </row>
    <row r="22611" spans="8:9">
      <c r="H22611" s="1245"/>
      <c r="I22611" s="1245"/>
    </row>
    <row r="22612" spans="8:9">
      <c r="H22612" s="1245"/>
      <c r="I22612" s="1245"/>
    </row>
    <row r="22613" spans="8:9">
      <c r="H22613" s="1245"/>
      <c r="I22613" s="1245"/>
    </row>
    <row r="22614" spans="8:9">
      <c r="H22614" s="1245"/>
      <c r="I22614" s="1245"/>
    </row>
    <row r="22615" spans="8:9">
      <c r="H22615" s="1245"/>
      <c r="I22615" s="1245"/>
    </row>
    <row r="22616" spans="8:9">
      <c r="H22616" s="1245"/>
      <c r="I22616" s="1245"/>
    </row>
    <row r="22617" spans="8:9">
      <c r="H22617" s="1245"/>
      <c r="I22617" s="1245"/>
    </row>
    <row r="22618" spans="8:9">
      <c r="H22618" s="1245"/>
      <c r="I22618" s="1245"/>
    </row>
    <row r="22619" spans="8:9">
      <c r="H22619" s="1245"/>
      <c r="I22619" s="1245"/>
    </row>
    <row r="22620" spans="8:9">
      <c r="H22620" s="1245"/>
      <c r="I22620" s="1245"/>
    </row>
    <row r="22621" spans="8:9">
      <c r="H22621" s="1245"/>
      <c r="I22621" s="1245"/>
    </row>
    <row r="22622" spans="8:9">
      <c r="H22622" s="1245"/>
      <c r="I22622" s="1245"/>
    </row>
    <row r="22623" spans="8:9">
      <c r="H22623" s="1245"/>
      <c r="I22623" s="1245"/>
    </row>
    <row r="22624" spans="8:9">
      <c r="H22624" s="1245"/>
      <c r="I22624" s="1245"/>
    </row>
    <row r="22625" spans="8:9">
      <c r="H22625" s="1245"/>
      <c r="I22625" s="1245"/>
    </row>
    <row r="22626" spans="8:9">
      <c r="H22626" s="1245"/>
      <c r="I22626" s="1245"/>
    </row>
    <row r="22627" spans="8:9">
      <c r="H22627" s="1245"/>
      <c r="I22627" s="1245"/>
    </row>
    <row r="22628" spans="8:9">
      <c r="H22628" s="1245"/>
      <c r="I22628" s="1245"/>
    </row>
    <row r="22629" spans="8:9">
      <c r="H22629" s="1245"/>
      <c r="I22629" s="1245"/>
    </row>
    <row r="22630" spans="8:9">
      <c r="H22630" s="1245"/>
      <c r="I22630" s="1245"/>
    </row>
    <row r="22631" spans="8:9">
      <c r="H22631" s="1245"/>
      <c r="I22631" s="1245"/>
    </row>
    <row r="22632" spans="8:9">
      <c r="H22632" s="1245"/>
      <c r="I22632" s="1245"/>
    </row>
    <row r="22633" spans="8:9">
      <c r="H22633" s="1245"/>
      <c r="I22633" s="1245"/>
    </row>
    <row r="22634" spans="8:9">
      <c r="H22634" s="1245"/>
      <c r="I22634" s="1245"/>
    </row>
    <row r="22635" spans="8:9">
      <c r="H22635" s="1245"/>
      <c r="I22635" s="1245"/>
    </row>
    <row r="22636" spans="8:9">
      <c r="H22636" s="1245"/>
      <c r="I22636" s="1245"/>
    </row>
    <row r="22637" spans="8:9">
      <c r="H22637" s="1245"/>
      <c r="I22637" s="1245"/>
    </row>
    <row r="22638" spans="8:9">
      <c r="H22638" s="1245"/>
      <c r="I22638" s="1245"/>
    </row>
    <row r="22639" spans="8:9">
      <c r="H22639" s="1245"/>
      <c r="I22639" s="1245"/>
    </row>
    <row r="22640" spans="8:9">
      <c r="H22640" s="1245"/>
      <c r="I22640" s="1245"/>
    </row>
    <row r="22641" spans="8:9">
      <c r="H22641" s="1245"/>
      <c r="I22641" s="1245"/>
    </row>
    <row r="22642" spans="8:9">
      <c r="H22642" s="1245"/>
      <c r="I22642" s="1245"/>
    </row>
    <row r="22643" spans="8:9">
      <c r="H22643" s="1245"/>
      <c r="I22643" s="1245"/>
    </row>
    <row r="22644" spans="8:9">
      <c r="H22644" s="1245"/>
      <c r="I22644" s="1245"/>
    </row>
    <row r="22645" spans="8:9">
      <c r="H22645" s="1245"/>
      <c r="I22645" s="1245"/>
    </row>
    <row r="22646" spans="8:9">
      <c r="H22646" s="1245"/>
      <c r="I22646" s="1245"/>
    </row>
    <row r="22647" spans="8:9">
      <c r="H22647" s="1245"/>
      <c r="I22647" s="1245"/>
    </row>
    <row r="22648" spans="8:9">
      <c r="H22648" s="1245"/>
      <c r="I22648" s="1245"/>
    </row>
    <row r="22649" spans="8:9">
      <c r="H22649" s="1245"/>
      <c r="I22649" s="1245"/>
    </row>
    <row r="22650" spans="8:9">
      <c r="H22650" s="1245"/>
      <c r="I22650" s="1245"/>
    </row>
    <row r="22651" spans="8:9">
      <c r="H22651" s="1245"/>
      <c r="I22651" s="1245"/>
    </row>
    <row r="22652" spans="8:9">
      <c r="H22652" s="1245"/>
      <c r="I22652" s="1245"/>
    </row>
    <row r="22653" spans="8:9">
      <c r="H22653" s="1245"/>
      <c r="I22653" s="1245"/>
    </row>
    <row r="22654" spans="8:9">
      <c r="H22654" s="1245"/>
      <c r="I22654" s="1245"/>
    </row>
    <row r="22655" spans="8:9">
      <c r="H22655" s="1245"/>
      <c r="I22655" s="1245"/>
    </row>
    <row r="22656" spans="8:9">
      <c r="H22656" s="1245"/>
      <c r="I22656" s="1245"/>
    </row>
    <row r="22657" spans="8:9">
      <c r="H22657" s="1245"/>
      <c r="I22657" s="1245"/>
    </row>
    <row r="22658" spans="8:9">
      <c r="H22658" s="1245"/>
      <c r="I22658" s="1245"/>
    </row>
    <row r="22659" spans="8:9">
      <c r="H22659" s="1245"/>
      <c r="I22659" s="1245"/>
    </row>
    <row r="22660" spans="8:9">
      <c r="H22660" s="1245"/>
      <c r="I22660" s="1245"/>
    </row>
    <row r="22661" spans="8:9">
      <c r="H22661" s="1245"/>
      <c r="I22661" s="1245"/>
    </row>
    <row r="22662" spans="8:9">
      <c r="H22662" s="1245"/>
      <c r="I22662" s="1245"/>
    </row>
    <row r="22663" spans="8:9">
      <c r="H22663" s="1245"/>
      <c r="I22663" s="1245"/>
    </row>
    <row r="22664" spans="8:9">
      <c r="H22664" s="1245"/>
      <c r="I22664" s="1245"/>
    </row>
    <row r="22665" spans="8:9">
      <c r="H22665" s="1245"/>
      <c r="I22665" s="1245"/>
    </row>
    <row r="22666" spans="8:9">
      <c r="H22666" s="1245"/>
      <c r="I22666" s="1245"/>
    </row>
    <row r="22667" spans="8:9">
      <c r="H22667" s="1245"/>
      <c r="I22667" s="1245"/>
    </row>
    <row r="22668" spans="8:9">
      <c r="H22668" s="1245"/>
      <c r="I22668" s="1245"/>
    </row>
    <row r="22669" spans="8:9">
      <c r="H22669" s="1245"/>
      <c r="I22669" s="1245"/>
    </row>
    <row r="22670" spans="8:9">
      <c r="H22670" s="1245"/>
      <c r="I22670" s="1245"/>
    </row>
    <row r="22671" spans="8:9">
      <c r="H22671" s="1245"/>
      <c r="I22671" s="1245"/>
    </row>
    <row r="22672" spans="8:9">
      <c r="H22672" s="1245"/>
      <c r="I22672" s="1245"/>
    </row>
    <row r="22673" spans="8:9">
      <c r="H22673" s="1245"/>
      <c r="I22673" s="1245"/>
    </row>
    <row r="22674" spans="8:9">
      <c r="H22674" s="1245"/>
      <c r="I22674" s="1245"/>
    </row>
    <row r="22675" spans="8:9">
      <c r="H22675" s="1245"/>
      <c r="I22675" s="1245"/>
    </row>
    <row r="22676" spans="8:9">
      <c r="H22676" s="1245"/>
      <c r="I22676" s="1245"/>
    </row>
    <row r="22677" spans="8:9">
      <c r="H22677" s="1245"/>
      <c r="I22677" s="1245"/>
    </row>
    <row r="22678" spans="8:9">
      <c r="H22678" s="1245"/>
      <c r="I22678" s="1245"/>
    </row>
    <row r="22679" spans="8:9">
      <c r="H22679" s="1245"/>
      <c r="I22679" s="1245"/>
    </row>
    <row r="22680" spans="8:9">
      <c r="H22680" s="1245"/>
      <c r="I22680" s="1245"/>
    </row>
    <row r="22681" spans="8:9">
      <c r="H22681" s="1245"/>
      <c r="I22681" s="1245"/>
    </row>
    <row r="22682" spans="8:9">
      <c r="H22682" s="1245"/>
      <c r="I22682" s="1245"/>
    </row>
    <row r="22683" spans="8:9">
      <c r="H22683" s="1245"/>
      <c r="I22683" s="1245"/>
    </row>
    <row r="22684" spans="8:9">
      <c r="H22684" s="1245"/>
      <c r="I22684" s="1245"/>
    </row>
    <row r="22685" spans="8:9">
      <c r="H22685" s="1245"/>
      <c r="I22685" s="1245"/>
    </row>
    <row r="22686" spans="8:9">
      <c r="H22686" s="1245"/>
      <c r="I22686" s="1245"/>
    </row>
    <row r="22687" spans="8:9">
      <c r="H22687" s="1245"/>
      <c r="I22687" s="1245"/>
    </row>
    <row r="22688" spans="8:9">
      <c r="H22688" s="1245"/>
      <c r="I22688" s="1245"/>
    </row>
    <row r="22689" spans="8:9">
      <c r="H22689" s="1245"/>
      <c r="I22689" s="1245"/>
    </row>
    <row r="22690" spans="8:9">
      <c r="H22690" s="1245"/>
      <c r="I22690" s="1245"/>
    </row>
    <row r="22691" spans="8:9">
      <c r="H22691" s="1245"/>
      <c r="I22691" s="1245"/>
    </row>
    <row r="22692" spans="8:9">
      <c r="H22692" s="1245"/>
      <c r="I22692" s="1245"/>
    </row>
    <row r="22693" spans="8:9">
      <c r="H22693" s="1245"/>
      <c r="I22693" s="1245"/>
    </row>
    <row r="22694" spans="8:9">
      <c r="H22694" s="1245"/>
      <c r="I22694" s="1245"/>
    </row>
    <row r="22695" spans="8:9">
      <c r="H22695" s="1245"/>
      <c r="I22695" s="1245"/>
    </row>
    <row r="22696" spans="8:9">
      <c r="H22696" s="1245"/>
      <c r="I22696" s="1245"/>
    </row>
    <row r="22697" spans="8:9">
      <c r="H22697" s="1245"/>
      <c r="I22697" s="1245"/>
    </row>
    <row r="22698" spans="8:9">
      <c r="H22698" s="1245"/>
      <c r="I22698" s="1245"/>
    </row>
    <row r="22699" spans="8:9">
      <c r="H22699" s="1245"/>
      <c r="I22699" s="1245"/>
    </row>
    <row r="22700" spans="8:9">
      <c r="H22700" s="1245"/>
      <c r="I22700" s="1245"/>
    </row>
    <row r="22701" spans="8:9">
      <c r="H22701" s="1245"/>
      <c r="I22701" s="1245"/>
    </row>
    <row r="22702" spans="8:9">
      <c r="H22702" s="1245"/>
      <c r="I22702" s="1245"/>
    </row>
    <row r="22703" spans="8:9">
      <c r="H22703" s="1245"/>
      <c r="I22703" s="1245"/>
    </row>
    <row r="22704" spans="8:9">
      <c r="H22704" s="1245"/>
      <c r="I22704" s="1245"/>
    </row>
    <row r="22705" spans="8:9">
      <c r="H22705" s="1245"/>
      <c r="I22705" s="1245"/>
    </row>
    <row r="22706" spans="8:9">
      <c r="H22706" s="1245"/>
      <c r="I22706" s="1245"/>
    </row>
    <row r="22707" spans="8:9">
      <c r="H22707" s="1245"/>
      <c r="I22707" s="1245"/>
    </row>
    <row r="22708" spans="8:9">
      <c r="H22708" s="1245"/>
      <c r="I22708" s="1245"/>
    </row>
    <row r="22709" spans="8:9">
      <c r="H22709" s="1245"/>
      <c r="I22709" s="1245"/>
    </row>
    <row r="22710" spans="8:9">
      <c r="H22710" s="1245"/>
      <c r="I22710" s="1245"/>
    </row>
    <row r="22711" spans="8:9">
      <c r="H22711" s="1245"/>
      <c r="I22711" s="1245"/>
    </row>
    <row r="22712" spans="8:9">
      <c r="H22712" s="1245"/>
      <c r="I22712" s="1245"/>
    </row>
    <row r="22713" spans="8:9">
      <c r="H22713" s="1245"/>
      <c r="I22713" s="1245"/>
    </row>
    <row r="22714" spans="8:9">
      <c r="H22714" s="1245"/>
      <c r="I22714" s="1245"/>
    </row>
    <row r="22715" spans="8:9">
      <c r="H22715" s="1245"/>
      <c r="I22715" s="1245"/>
    </row>
    <row r="22716" spans="8:9">
      <c r="H22716" s="1245"/>
      <c r="I22716" s="1245"/>
    </row>
    <row r="22717" spans="8:9">
      <c r="H22717" s="1245"/>
      <c r="I22717" s="1245"/>
    </row>
    <row r="22718" spans="8:9">
      <c r="H22718" s="1245"/>
      <c r="I22718" s="1245"/>
    </row>
    <row r="22719" spans="8:9">
      <c r="H22719" s="1245"/>
      <c r="I22719" s="1245"/>
    </row>
    <row r="22720" spans="8:9">
      <c r="H22720" s="1245"/>
      <c r="I22720" s="1245"/>
    </row>
    <row r="22721" spans="8:9">
      <c r="H22721" s="1245"/>
      <c r="I22721" s="1245"/>
    </row>
    <row r="22722" spans="8:9">
      <c r="H22722" s="1245"/>
      <c r="I22722" s="1245"/>
    </row>
    <row r="22723" spans="8:9">
      <c r="H22723" s="1245"/>
      <c r="I22723" s="1245"/>
    </row>
    <row r="22724" spans="8:9">
      <c r="H22724" s="1245"/>
      <c r="I22724" s="1245"/>
    </row>
    <row r="22725" spans="8:9">
      <c r="H22725" s="1245"/>
      <c r="I22725" s="1245"/>
    </row>
    <row r="22726" spans="8:9">
      <c r="H22726" s="1245"/>
      <c r="I22726" s="1245"/>
    </row>
    <row r="22727" spans="8:9">
      <c r="H22727" s="1245"/>
      <c r="I22727" s="1245"/>
    </row>
    <row r="22728" spans="8:9">
      <c r="H22728" s="1245"/>
      <c r="I22728" s="1245"/>
    </row>
    <row r="22729" spans="8:9">
      <c r="H22729" s="1245"/>
      <c r="I22729" s="1245"/>
    </row>
    <row r="22730" spans="8:9">
      <c r="H22730" s="1245"/>
      <c r="I22730" s="1245"/>
    </row>
    <row r="22731" spans="8:9">
      <c r="H22731" s="1245"/>
      <c r="I22731" s="1245"/>
    </row>
    <row r="22732" spans="8:9">
      <c r="H22732" s="1245"/>
      <c r="I22732" s="1245"/>
    </row>
    <row r="22733" spans="8:9">
      <c r="H22733" s="1245"/>
      <c r="I22733" s="1245"/>
    </row>
    <row r="22734" spans="8:9">
      <c r="H22734" s="1245"/>
      <c r="I22734" s="1245"/>
    </row>
    <row r="22735" spans="8:9">
      <c r="H22735" s="1245"/>
      <c r="I22735" s="1245"/>
    </row>
    <row r="22736" spans="8:9">
      <c r="H22736" s="1245"/>
      <c r="I22736" s="1245"/>
    </row>
    <row r="22737" spans="8:9">
      <c r="H22737" s="1245"/>
      <c r="I22737" s="1245"/>
    </row>
    <row r="22738" spans="8:9">
      <c r="H22738" s="1245"/>
      <c r="I22738" s="1245"/>
    </row>
    <row r="22739" spans="8:9">
      <c r="H22739" s="1245"/>
      <c r="I22739" s="1245"/>
    </row>
    <row r="22740" spans="8:9">
      <c r="H22740" s="1245"/>
      <c r="I22740" s="1245"/>
    </row>
    <row r="22741" spans="8:9">
      <c r="H22741" s="1245"/>
      <c r="I22741" s="1245"/>
    </row>
    <row r="22742" spans="8:9">
      <c r="H22742" s="1245"/>
      <c r="I22742" s="1245"/>
    </row>
    <row r="22743" spans="8:9">
      <c r="H22743" s="1245"/>
      <c r="I22743" s="1245"/>
    </row>
    <row r="22744" spans="8:9">
      <c r="H22744" s="1245"/>
      <c r="I22744" s="1245"/>
    </row>
    <row r="22745" spans="8:9">
      <c r="H22745" s="1245"/>
      <c r="I22745" s="1245"/>
    </row>
    <row r="22746" spans="8:9">
      <c r="H22746" s="1245"/>
      <c r="I22746" s="1245"/>
    </row>
    <row r="22747" spans="8:9">
      <c r="H22747" s="1245"/>
      <c r="I22747" s="1245"/>
    </row>
    <row r="22748" spans="8:9">
      <c r="H22748" s="1245"/>
      <c r="I22748" s="1245"/>
    </row>
    <row r="22749" spans="8:9">
      <c r="H22749" s="1245"/>
      <c r="I22749" s="1245"/>
    </row>
    <row r="22750" spans="8:9">
      <c r="H22750" s="1245"/>
      <c r="I22750" s="1245"/>
    </row>
    <row r="22751" spans="8:9">
      <c r="H22751" s="1245"/>
      <c r="I22751" s="1245"/>
    </row>
    <row r="22752" spans="8:9">
      <c r="H22752" s="1245"/>
      <c r="I22752" s="1245"/>
    </row>
    <row r="22753" spans="8:9">
      <c r="H22753" s="1245"/>
      <c r="I22753" s="1245"/>
    </row>
    <row r="22754" spans="8:9">
      <c r="H22754" s="1245"/>
      <c r="I22754" s="1245"/>
    </row>
    <row r="22755" spans="8:9">
      <c r="H22755" s="1245"/>
      <c r="I22755" s="1245"/>
    </row>
    <row r="22756" spans="8:9">
      <c r="H22756" s="1245"/>
      <c r="I22756" s="1245"/>
    </row>
    <row r="22757" spans="8:9">
      <c r="H22757" s="1245"/>
      <c r="I22757" s="1245"/>
    </row>
    <row r="22758" spans="8:9">
      <c r="H22758" s="1245"/>
      <c r="I22758" s="1245"/>
    </row>
    <row r="22759" spans="8:9">
      <c r="H22759" s="1245"/>
      <c r="I22759" s="1245"/>
    </row>
    <row r="22760" spans="8:9">
      <c r="H22760" s="1245"/>
      <c r="I22760" s="1245"/>
    </row>
    <row r="22761" spans="8:9">
      <c r="H22761" s="1245"/>
      <c r="I22761" s="1245"/>
    </row>
    <row r="22762" spans="8:9">
      <c r="H22762" s="1245"/>
      <c r="I22762" s="1245"/>
    </row>
    <row r="22763" spans="8:9">
      <c r="H22763" s="1245"/>
      <c r="I22763" s="1245"/>
    </row>
    <row r="22764" spans="8:9">
      <c r="H22764" s="1245"/>
      <c r="I22764" s="1245"/>
    </row>
    <row r="22765" spans="8:9">
      <c r="H22765" s="1245"/>
      <c r="I22765" s="1245"/>
    </row>
    <row r="22766" spans="8:9">
      <c r="H22766" s="1245"/>
      <c r="I22766" s="1245"/>
    </row>
    <row r="22767" spans="8:9">
      <c r="H22767" s="1245"/>
      <c r="I22767" s="1245"/>
    </row>
    <row r="22768" spans="8:9">
      <c r="H22768" s="1245"/>
      <c r="I22768" s="1245"/>
    </row>
    <row r="22769" spans="8:9">
      <c r="H22769" s="1245"/>
      <c r="I22769" s="1245"/>
    </row>
    <row r="22770" spans="8:9">
      <c r="H22770" s="1245"/>
      <c r="I22770" s="1245"/>
    </row>
    <row r="22771" spans="8:9">
      <c r="H22771" s="1245"/>
      <c r="I22771" s="1245"/>
    </row>
    <row r="22772" spans="8:9">
      <c r="H22772" s="1245"/>
      <c r="I22772" s="1245"/>
    </row>
    <row r="22773" spans="8:9">
      <c r="H22773" s="1245"/>
      <c r="I22773" s="1245"/>
    </row>
    <row r="22774" spans="8:9">
      <c r="H22774" s="1245"/>
      <c r="I22774" s="1245"/>
    </row>
    <row r="22775" spans="8:9">
      <c r="H22775" s="1245"/>
      <c r="I22775" s="1245"/>
    </row>
    <row r="22776" spans="8:9">
      <c r="H22776" s="1245"/>
      <c r="I22776" s="1245"/>
    </row>
    <row r="22777" spans="8:9">
      <c r="H22777" s="1245"/>
      <c r="I22777" s="1245"/>
    </row>
    <row r="22778" spans="8:9">
      <c r="H22778" s="1245"/>
      <c r="I22778" s="1245"/>
    </row>
    <row r="22779" spans="8:9">
      <c r="H22779" s="1245"/>
      <c r="I22779" s="1245"/>
    </row>
    <row r="22780" spans="8:9">
      <c r="H22780" s="1245"/>
      <c r="I22780" s="1245"/>
    </row>
    <row r="22781" spans="8:9">
      <c r="H22781" s="1245"/>
      <c r="I22781" s="1245"/>
    </row>
    <row r="22782" spans="8:9">
      <c r="H22782" s="1245"/>
      <c r="I22782" s="1245"/>
    </row>
    <row r="22783" spans="8:9">
      <c r="H22783" s="1245"/>
      <c r="I22783" s="1245"/>
    </row>
    <row r="22784" spans="8:9">
      <c r="H22784" s="1245"/>
      <c r="I22784" s="1245"/>
    </row>
    <row r="22785" spans="8:9">
      <c r="H22785" s="1245"/>
      <c r="I22785" s="1245"/>
    </row>
    <row r="22786" spans="8:9">
      <c r="H22786" s="1245"/>
      <c r="I22786" s="1245"/>
    </row>
    <row r="22787" spans="8:9">
      <c r="H22787" s="1245"/>
      <c r="I22787" s="1245"/>
    </row>
    <row r="22788" spans="8:9">
      <c r="H22788" s="1245"/>
      <c r="I22788" s="1245"/>
    </row>
    <row r="22789" spans="8:9">
      <c r="H22789" s="1245"/>
      <c r="I22789" s="1245"/>
    </row>
    <row r="22790" spans="8:9">
      <c r="H22790" s="1245"/>
      <c r="I22790" s="1245"/>
    </row>
    <row r="22791" spans="8:9">
      <c r="H22791" s="1245"/>
      <c r="I22791" s="1245"/>
    </row>
    <row r="22792" spans="8:9">
      <c r="H22792" s="1245"/>
      <c r="I22792" s="1245"/>
    </row>
    <row r="22793" spans="8:9">
      <c r="H22793" s="1245"/>
      <c r="I22793" s="1245"/>
    </row>
    <row r="22794" spans="8:9">
      <c r="H22794" s="1245"/>
      <c r="I22794" s="1245"/>
    </row>
    <row r="22795" spans="8:9">
      <c r="H22795" s="1245"/>
      <c r="I22795" s="1245"/>
    </row>
    <row r="22796" spans="8:9">
      <c r="H22796" s="1245"/>
      <c r="I22796" s="1245"/>
    </row>
    <row r="22797" spans="8:9">
      <c r="H22797" s="1245"/>
      <c r="I22797" s="1245"/>
    </row>
    <row r="22798" spans="8:9">
      <c r="H22798" s="1245"/>
      <c r="I22798" s="1245"/>
    </row>
    <row r="22799" spans="8:9">
      <c r="H22799" s="1245"/>
      <c r="I22799" s="1245"/>
    </row>
    <row r="22800" spans="8:9">
      <c r="H22800" s="1245"/>
      <c r="I22800" s="1245"/>
    </row>
    <row r="22801" spans="8:9">
      <c r="H22801" s="1245"/>
      <c r="I22801" s="1245"/>
    </row>
    <row r="22802" spans="8:9">
      <c r="H22802" s="1245"/>
      <c r="I22802" s="1245"/>
    </row>
    <row r="22803" spans="8:9">
      <c r="H22803" s="1245"/>
      <c r="I22803" s="1245"/>
    </row>
    <row r="22804" spans="8:9">
      <c r="H22804" s="1245"/>
      <c r="I22804" s="1245"/>
    </row>
    <row r="22805" spans="8:9">
      <c r="H22805" s="1245"/>
      <c r="I22805" s="1245"/>
    </row>
    <row r="22806" spans="8:9">
      <c r="H22806" s="1245"/>
      <c r="I22806" s="1245"/>
    </row>
    <row r="22807" spans="8:9">
      <c r="H22807" s="1245"/>
      <c r="I22807" s="1245"/>
    </row>
    <row r="22808" spans="8:9">
      <c r="H22808" s="1245"/>
      <c r="I22808" s="1245"/>
    </row>
    <row r="22809" spans="8:9">
      <c r="H22809" s="1245"/>
      <c r="I22809" s="1245"/>
    </row>
    <row r="22810" spans="8:9">
      <c r="H22810" s="1245"/>
      <c r="I22810" s="1245"/>
    </row>
    <row r="22811" spans="8:9">
      <c r="H22811" s="1245"/>
      <c r="I22811" s="1245"/>
    </row>
    <row r="22812" spans="8:9">
      <c r="H22812" s="1245"/>
      <c r="I22812" s="1245"/>
    </row>
    <row r="22813" spans="8:9">
      <c r="H22813" s="1245"/>
      <c r="I22813" s="1245"/>
    </row>
    <row r="22814" spans="8:9">
      <c r="H22814" s="1245"/>
      <c r="I22814" s="1245"/>
    </row>
    <row r="22815" spans="8:9">
      <c r="H22815" s="1245"/>
      <c r="I22815" s="1245"/>
    </row>
    <row r="22816" spans="8:9">
      <c r="H22816" s="1245"/>
      <c r="I22816" s="1245"/>
    </row>
    <row r="22817" spans="8:9">
      <c r="H22817" s="1245"/>
      <c r="I22817" s="1245"/>
    </row>
    <row r="22818" spans="8:9">
      <c r="H22818" s="1245"/>
      <c r="I22818" s="1245"/>
    </row>
    <row r="22819" spans="8:9">
      <c r="H22819" s="1245"/>
      <c r="I22819" s="1245"/>
    </row>
    <row r="22820" spans="8:9">
      <c r="H22820" s="1245"/>
      <c r="I22820" s="1245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6"/>
  <sheetViews>
    <sheetView zoomScaleSheetLayoutView="140" workbookViewId="0">
      <pane xSplit="1" ySplit="5" topLeftCell="B3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Y50" sqref="Y50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6.85546875" style="8" customWidth="1"/>
    <col min="5" max="5" width="7.7109375" style="8" customWidth="1"/>
    <col min="6" max="6" width="7" style="8" customWidth="1"/>
    <col min="7" max="7" width="5.85546875" style="8" customWidth="1"/>
    <col min="8" max="9" width="7.28515625" style="8" customWidth="1"/>
    <col min="10" max="10" width="6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6.7109375" style="8" customWidth="1"/>
    <col min="20" max="20" width="4.5703125" style="8" hidden="1" customWidth="1"/>
    <col min="21" max="21" width="7.1406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2" customFormat="1" ht="14.25" customHeight="1">
      <c r="B1" s="1960" t="s">
        <v>245</v>
      </c>
      <c r="C1" s="1960"/>
      <c r="D1" s="1960"/>
      <c r="E1" s="1960"/>
      <c r="F1" s="1960"/>
      <c r="G1" s="1960"/>
      <c r="H1" s="1960"/>
      <c r="I1" s="1960"/>
      <c r="J1" s="1960"/>
      <c r="K1" s="1960"/>
      <c r="L1" s="2404" t="s">
        <v>246</v>
      </c>
      <c r="M1" s="2404"/>
      <c r="N1" s="2404"/>
      <c r="O1" s="2404"/>
      <c r="P1" s="33"/>
      <c r="Q1" s="33"/>
      <c r="R1" s="33"/>
      <c r="U1" s="1960" t="s">
        <v>2254</v>
      </c>
      <c r="V1" s="1960"/>
      <c r="W1" s="1960"/>
    </row>
    <row r="2" spans="1:24" ht="12" customHeight="1">
      <c r="B2" s="1357"/>
      <c r="C2" s="1357"/>
      <c r="D2" s="2401"/>
      <c r="E2" s="2401"/>
      <c r="F2" s="93"/>
      <c r="G2" s="93"/>
      <c r="H2" s="93"/>
      <c r="I2" s="93"/>
      <c r="J2" s="2402" t="s">
        <v>1941</v>
      </c>
      <c r="K2" s="2402"/>
      <c r="L2" s="2405" t="s">
        <v>1942</v>
      </c>
      <c r="M2" s="2405"/>
      <c r="N2" s="2405"/>
      <c r="O2" s="2405"/>
      <c r="P2" s="2405"/>
      <c r="S2" s="1357"/>
      <c r="T2" s="1357"/>
      <c r="V2" s="2403" t="s">
        <v>1531</v>
      </c>
      <c r="W2" s="2403"/>
    </row>
    <row r="3" spans="1:24" ht="13.5" customHeight="1">
      <c r="A3" s="2391" t="s">
        <v>481</v>
      </c>
      <c r="B3" s="2400" t="s">
        <v>247</v>
      </c>
      <c r="C3" s="2400" t="s">
        <v>248</v>
      </c>
      <c r="D3" s="2400" t="s">
        <v>249</v>
      </c>
      <c r="E3" s="2400" t="s">
        <v>271</v>
      </c>
      <c r="F3" s="2400" t="s">
        <v>272</v>
      </c>
      <c r="G3" s="2400" t="s">
        <v>280</v>
      </c>
      <c r="H3" s="2400" t="s">
        <v>250</v>
      </c>
      <c r="I3" s="2400" t="s">
        <v>251</v>
      </c>
      <c r="J3" s="2400" t="s">
        <v>252</v>
      </c>
      <c r="K3" s="2400" t="s">
        <v>1368</v>
      </c>
      <c r="L3" s="2400" t="s">
        <v>279</v>
      </c>
      <c r="M3" s="2400" t="s">
        <v>253</v>
      </c>
      <c r="N3" s="2400" t="s">
        <v>254</v>
      </c>
      <c r="O3" s="2400" t="s">
        <v>811</v>
      </c>
      <c r="P3" s="2400" t="s">
        <v>274</v>
      </c>
      <c r="Q3" s="2400" t="s">
        <v>812</v>
      </c>
      <c r="R3" s="2400" t="s">
        <v>1369</v>
      </c>
      <c r="S3" s="2394" t="s">
        <v>255</v>
      </c>
      <c r="T3" s="2395"/>
      <c r="U3" s="2395"/>
      <c r="V3" s="2395"/>
      <c r="W3" s="2396"/>
    </row>
    <row r="4" spans="1:24" s="94" customFormat="1" ht="74.25" customHeight="1">
      <c r="A4" s="2392"/>
      <c r="B4" s="2400"/>
      <c r="C4" s="2400"/>
      <c r="D4" s="2400"/>
      <c r="E4" s="2400"/>
      <c r="F4" s="2400"/>
      <c r="G4" s="2400"/>
      <c r="H4" s="2400"/>
      <c r="I4" s="2400"/>
      <c r="J4" s="2400"/>
      <c r="K4" s="2400"/>
      <c r="L4" s="2400"/>
      <c r="M4" s="2400"/>
      <c r="N4" s="2400"/>
      <c r="O4" s="2400"/>
      <c r="P4" s="2400"/>
      <c r="Q4" s="2400"/>
      <c r="R4" s="2400"/>
      <c r="S4" s="2397" t="s">
        <v>247</v>
      </c>
      <c r="T4" s="2398"/>
      <c r="U4" s="1358" t="s">
        <v>253</v>
      </c>
      <c r="V4" s="1239" t="s">
        <v>256</v>
      </c>
      <c r="W4" s="1239" t="s">
        <v>273</v>
      </c>
    </row>
    <row r="5" spans="1:24" s="97" customFormat="1" ht="9.75" customHeight="1">
      <c r="A5" s="2393"/>
      <c r="B5" s="1359">
        <v>1</v>
      </c>
      <c r="C5" s="1359">
        <v>2</v>
      </c>
      <c r="D5" s="1359">
        <v>3</v>
      </c>
      <c r="E5" s="1359">
        <v>4</v>
      </c>
      <c r="F5" s="1359">
        <v>5</v>
      </c>
      <c r="G5" s="1359">
        <v>6</v>
      </c>
      <c r="H5" s="1359">
        <v>7</v>
      </c>
      <c r="I5" s="1359">
        <v>8</v>
      </c>
      <c r="J5" s="1359">
        <v>9</v>
      </c>
      <c r="K5" s="1359">
        <v>10</v>
      </c>
      <c r="L5" s="1359">
        <v>11</v>
      </c>
      <c r="M5" s="1359">
        <v>12</v>
      </c>
      <c r="N5" s="1359">
        <v>13</v>
      </c>
      <c r="O5" s="1359">
        <v>14</v>
      </c>
      <c r="P5" s="1359">
        <v>15</v>
      </c>
      <c r="Q5" s="1359">
        <v>16</v>
      </c>
      <c r="R5" s="1359">
        <v>17</v>
      </c>
      <c r="S5" s="2399">
        <v>18</v>
      </c>
      <c r="T5" s="2399"/>
      <c r="U5" s="1359">
        <v>19</v>
      </c>
      <c r="V5" s="1359">
        <v>20</v>
      </c>
      <c r="W5" s="1359">
        <v>21</v>
      </c>
    </row>
    <row r="6" spans="1:24" s="97" customFormat="1" ht="10.5" customHeight="1">
      <c r="A6" s="2383" t="s">
        <v>1943</v>
      </c>
      <c r="B6" s="2384"/>
      <c r="C6" s="2384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  <c r="U6" s="998"/>
      <c r="V6" s="998"/>
      <c r="W6" s="998"/>
    </row>
    <row r="7" spans="1:24" s="94" customFormat="1" ht="9.75" customHeight="1">
      <c r="A7" s="320" t="s">
        <v>558</v>
      </c>
      <c r="B7" s="290">
        <v>482337</v>
      </c>
      <c r="C7" s="576">
        <v>509545</v>
      </c>
      <c r="D7" s="576">
        <v>3653</v>
      </c>
      <c r="E7" s="576">
        <v>513197</v>
      </c>
      <c r="F7" s="576">
        <v>378940</v>
      </c>
      <c r="G7" s="289">
        <f>(F7/B7)*100</f>
        <v>78.563328129502821</v>
      </c>
      <c r="H7" s="576">
        <v>103397</v>
      </c>
      <c r="I7" s="576">
        <v>134257</v>
      </c>
      <c r="J7" s="289">
        <f>(I7/B7)*100</f>
        <v>27.834688195183038</v>
      </c>
      <c r="K7" s="576">
        <v>126103</v>
      </c>
      <c r="L7" s="289">
        <f>(K7/B7)*100</f>
        <v>26.144168910948157</v>
      </c>
      <c r="M7" s="575" t="s">
        <v>1127</v>
      </c>
      <c r="N7" s="575" t="s">
        <v>1132</v>
      </c>
      <c r="O7" s="575" t="s">
        <v>655</v>
      </c>
      <c r="P7" s="575" t="s">
        <v>1141</v>
      </c>
      <c r="Q7" s="996">
        <f>(B7/M7)*100</f>
        <v>100</v>
      </c>
      <c r="R7" s="575" t="s">
        <v>1145</v>
      </c>
      <c r="S7" s="576">
        <v>34502</v>
      </c>
      <c r="T7" s="575"/>
      <c r="U7" s="575" t="s">
        <v>1151</v>
      </c>
      <c r="V7" s="576">
        <v>36448</v>
      </c>
      <c r="W7" s="575" t="s">
        <v>1150</v>
      </c>
      <c r="X7" s="824"/>
    </row>
    <row r="8" spans="1:24" s="244" customFormat="1" ht="9.75" customHeight="1">
      <c r="A8" s="247"/>
      <c r="B8" s="999">
        <f>(B7/67.08)*10</f>
        <v>71904.740608228982</v>
      </c>
      <c r="C8" s="999">
        <f>(C7/67.08)*10</f>
        <v>75960.793082886114</v>
      </c>
      <c r="D8" s="999">
        <f>(D7/67.08)*10</f>
        <v>544.5736434108527</v>
      </c>
      <c r="E8" s="999">
        <f>(E7/67.08)*10</f>
        <v>76505.217650566497</v>
      </c>
      <c r="F8" s="999">
        <f>(F7/67.08)*10</f>
        <v>56490.757304710794</v>
      </c>
      <c r="G8" s="999"/>
      <c r="H8" s="999">
        <f>(H7/67.08)*10</f>
        <v>15413.983303518187</v>
      </c>
      <c r="I8" s="999">
        <f>(I7/67.08)*10</f>
        <v>20014.460345855696</v>
      </c>
      <c r="J8" s="999"/>
      <c r="K8" s="999">
        <f>(K7/67.08)*10</f>
        <v>18798.896839594516</v>
      </c>
      <c r="L8" s="1000"/>
      <c r="M8" s="1000"/>
      <c r="N8" s="1000"/>
      <c r="O8" s="1000"/>
      <c r="P8" s="1000"/>
      <c r="Q8" s="1000"/>
      <c r="R8" s="1000"/>
      <c r="S8" s="999">
        <f>S7/67.08</f>
        <v>514.34108527131787</v>
      </c>
      <c r="T8" s="1000"/>
      <c r="U8" s="1000"/>
      <c r="V8" s="999">
        <f>V7/67.08</f>
        <v>543.35122242098987</v>
      </c>
      <c r="W8" s="1000"/>
      <c r="X8" s="1001"/>
    </row>
    <row r="9" spans="1:24" s="94" customFormat="1" ht="9.75" customHeight="1">
      <c r="A9" s="320" t="s">
        <v>567</v>
      </c>
      <c r="B9" s="290">
        <v>549800</v>
      </c>
      <c r="C9" s="576">
        <v>585075</v>
      </c>
      <c r="D9" s="576">
        <v>3989</v>
      </c>
      <c r="E9" s="576">
        <v>589064</v>
      </c>
      <c r="F9" s="576">
        <v>435731</v>
      </c>
      <c r="G9" s="289">
        <f>(F9/B9)*100</f>
        <v>79.252637322662792</v>
      </c>
      <c r="H9" s="576">
        <v>114069</v>
      </c>
      <c r="I9" s="576">
        <v>153333</v>
      </c>
      <c r="J9" s="289">
        <f>(I9/B9)*100</f>
        <v>27.888868679519824</v>
      </c>
      <c r="K9" s="576">
        <v>143929</v>
      </c>
      <c r="L9" s="289">
        <f>(K9/B9)*100</f>
        <v>26.178428519461622</v>
      </c>
      <c r="M9" s="575" t="s">
        <v>1128</v>
      </c>
      <c r="N9" s="575" t="s">
        <v>1133</v>
      </c>
      <c r="O9" s="575" t="s">
        <v>1137</v>
      </c>
      <c r="P9" s="575" t="s">
        <v>1142</v>
      </c>
      <c r="Q9" s="996">
        <f>(B9/M9)*100</f>
        <v>106.47135943669718</v>
      </c>
      <c r="R9" s="575" t="s">
        <v>1146</v>
      </c>
      <c r="S9" s="576">
        <v>38773</v>
      </c>
      <c r="T9" s="575"/>
      <c r="U9" s="575" t="s">
        <v>1152</v>
      </c>
      <c r="V9" s="576">
        <v>41261</v>
      </c>
      <c r="W9" s="575" t="s">
        <v>1156</v>
      </c>
      <c r="X9" s="824"/>
    </row>
    <row r="10" spans="1:24" s="244" customFormat="1" ht="9.75" customHeight="1">
      <c r="A10" s="247"/>
      <c r="B10" s="999">
        <f>(B9/69.03)*10</f>
        <v>79646.530493988117</v>
      </c>
      <c r="C10" s="999">
        <f>(C9/69.03)*10</f>
        <v>84756.627553237719</v>
      </c>
      <c r="D10" s="999">
        <f>(D9/69.03)*10</f>
        <v>577.86469650876427</v>
      </c>
      <c r="E10" s="999">
        <f>(E9/69.03)*10</f>
        <v>85334.492249746487</v>
      </c>
      <c r="F10" s="999">
        <f>(F9/69.03)*10</f>
        <v>63121.975952484427</v>
      </c>
      <c r="G10" s="999"/>
      <c r="H10" s="999">
        <f>(H9/69.03)*10</f>
        <v>16524.554541503694</v>
      </c>
      <c r="I10" s="999">
        <f>(I9/69.03)*10</f>
        <v>22212.51629726206</v>
      </c>
      <c r="J10" s="999"/>
      <c r="K10" s="999">
        <f>(K9/69.03)*10</f>
        <v>20850.210053599883</v>
      </c>
      <c r="L10" s="1000"/>
      <c r="M10" s="1000"/>
      <c r="N10" s="1000"/>
      <c r="O10" s="1000"/>
      <c r="P10" s="1000"/>
      <c r="Q10" s="1000"/>
      <c r="R10" s="1000"/>
      <c r="S10" s="999">
        <f>S9/69.03</f>
        <v>561.68332609010577</v>
      </c>
      <c r="T10" s="1000"/>
      <c r="U10" s="1000"/>
      <c r="V10" s="999">
        <f>V9/69.03</f>
        <v>597.7256265391859</v>
      </c>
      <c r="W10" s="1000"/>
      <c r="X10" s="1001"/>
    </row>
    <row r="11" spans="1:24" s="94" customFormat="1" ht="9.75" customHeight="1">
      <c r="A11" s="320" t="s">
        <v>330</v>
      </c>
      <c r="B11" s="290">
        <v>628682</v>
      </c>
      <c r="C11" s="576">
        <v>677072</v>
      </c>
      <c r="D11" s="576">
        <v>5671</v>
      </c>
      <c r="E11" s="576">
        <v>682743</v>
      </c>
      <c r="F11" s="576">
        <v>508042</v>
      </c>
      <c r="G11" s="289">
        <f>(F11/B11)*100</f>
        <v>80.810648308683881</v>
      </c>
      <c r="H11" s="576">
        <v>120640</v>
      </c>
      <c r="I11" s="576">
        <v>174701</v>
      </c>
      <c r="J11" s="289">
        <f>(I11/B11)*100</f>
        <v>27.788452667644375</v>
      </c>
      <c r="K11" s="576">
        <v>164729</v>
      </c>
      <c r="L11" s="289">
        <f>(K11/B11)*100</f>
        <v>26.202277144884057</v>
      </c>
      <c r="M11" s="575" t="s">
        <v>1129</v>
      </c>
      <c r="N11" s="575" t="s">
        <v>1134</v>
      </c>
      <c r="O11" s="575" t="s">
        <v>1138</v>
      </c>
      <c r="P11" s="575" t="s">
        <v>1038</v>
      </c>
      <c r="Q11" s="996">
        <f>(B11/M11)*100</f>
        <v>114.84097713526853</v>
      </c>
      <c r="R11" s="575" t="s">
        <v>1147</v>
      </c>
      <c r="S11" s="576">
        <v>43719</v>
      </c>
      <c r="T11" s="575"/>
      <c r="U11" s="575" t="s">
        <v>1157</v>
      </c>
      <c r="V11" s="576">
        <v>47084</v>
      </c>
      <c r="W11" s="575" t="s">
        <v>1153</v>
      </c>
      <c r="X11" s="824"/>
    </row>
    <row r="12" spans="1:24" s="244" customFormat="1" ht="9.75" customHeight="1">
      <c r="A12" s="247"/>
      <c r="B12" s="999">
        <f>(B11/68.6)*10</f>
        <v>91644.606413994174</v>
      </c>
      <c r="C12" s="999">
        <f>(C11/68.6)*10</f>
        <v>98698.542274052481</v>
      </c>
      <c r="D12" s="999">
        <f>(D11/68.6)*10</f>
        <v>826.67638483965015</v>
      </c>
      <c r="E12" s="999">
        <f>(E11/68.6)*10</f>
        <v>99525.218658892132</v>
      </c>
      <c r="F12" s="999">
        <f>(F11/68.6)*10</f>
        <v>74058.600583090389</v>
      </c>
      <c r="G12" s="999"/>
      <c r="H12" s="999">
        <f>(H11/68.6)*10</f>
        <v>17586.005830903792</v>
      </c>
      <c r="I12" s="999">
        <f>(I11/68.6)*10</f>
        <v>25466.618075801751</v>
      </c>
      <c r="J12" s="999"/>
      <c r="K12" s="999">
        <f>(K11/68.6)*10</f>
        <v>24012.973760932946</v>
      </c>
      <c r="L12" s="1000"/>
      <c r="M12" s="1000"/>
      <c r="N12" s="1000"/>
      <c r="O12" s="1000"/>
      <c r="P12" s="1000"/>
      <c r="Q12" s="1000"/>
      <c r="R12" s="1000"/>
      <c r="S12" s="999">
        <f>S11/68.6</f>
        <v>637.30320699708454</v>
      </c>
      <c r="T12" s="1000"/>
      <c r="U12" s="1000"/>
      <c r="V12" s="999">
        <f>V11/68.6</f>
        <v>686.3556851311954</v>
      </c>
      <c r="W12" s="1000"/>
      <c r="X12" s="1001"/>
    </row>
    <row r="13" spans="1:24" s="94" customFormat="1" ht="9.75" customHeight="1">
      <c r="A13" s="320" t="s">
        <v>85</v>
      </c>
      <c r="B13" s="290">
        <v>705072</v>
      </c>
      <c r="C13" s="576">
        <v>760973</v>
      </c>
      <c r="D13" s="576">
        <v>2407</v>
      </c>
      <c r="E13" s="576">
        <v>763380</v>
      </c>
      <c r="F13" s="576">
        <v>561714</v>
      </c>
      <c r="G13" s="289">
        <f>(F13/B13)*100</f>
        <v>79.667608414459806</v>
      </c>
      <c r="H13" s="576">
        <v>143358</v>
      </c>
      <c r="I13" s="576">
        <v>201662</v>
      </c>
      <c r="J13" s="289">
        <f>(I13/B13)*100</f>
        <v>28.601617990786753</v>
      </c>
      <c r="K13" s="576">
        <v>184772</v>
      </c>
      <c r="L13" s="289">
        <f>(K13/B13)*100</f>
        <v>26.206117956747683</v>
      </c>
      <c r="M13" s="575" t="s">
        <v>1130</v>
      </c>
      <c r="N13" s="575" t="s">
        <v>1135</v>
      </c>
      <c r="O13" s="575" t="s">
        <v>1139</v>
      </c>
      <c r="P13" s="575" t="s">
        <v>1143</v>
      </c>
      <c r="Q13" s="996">
        <f>(B13/M13)*100</f>
        <v>122.60927631395899</v>
      </c>
      <c r="R13" s="575" t="s">
        <v>1148</v>
      </c>
      <c r="S13" s="576">
        <v>48359</v>
      </c>
      <c r="T13" s="575"/>
      <c r="U13" s="575" t="s">
        <v>1158</v>
      </c>
      <c r="V13" s="576">
        <v>52193</v>
      </c>
      <c r="W13" s="575" t="s">
        <v>1154</v>
      </c>
      <c r="X13" s="824"/>
    </row>
    <row r="14" spans="1:24" s="244" customFormat="1" ht="9.75" customHeight="1">
      <c r="A14" s="247"/>
      <c r="B14" s="999">
        <f>(B13/68.8)*10</f>
        <v>102481.39534883722</v>
      </c>
      <c r="C14" s="999">
        <f>(C13/68.8)*10</f>
        <v>110606.54069767443</v>
      </c>
      <c r="D14" s="999">
        <f>(D13/68.8)*10</f>
        <v>349.85465116279073</v>
      </c>
      <c r="E14" s="999">
        <f>(E13/68.8)*10</f>
        <v>110956.39534883722</v>
      </c>
      <c r="F14" s="999">
        <f>(F13/68.8)*10</f>
        <v>81644.476744186046</v>
      </c>
      <c r="G14" s="999"/>
      <c r="H14" s="999">
        <f>(H13/68.8)*10</f>
        <v>20836.918604651164</v>
      </c>
      <c r="I14" s="999">
        <f>(I13/68.8)*10</f>
        <v>29311.337209302328</v>
      </c>
      <c r="J14" s="999"/>
      <c r="K14" s="999">
        <f>(K13/68.8)*10</f>
        <v>26856.39534883721</v>
      </c>
      <c r="L14" s="1000"/>
      <c r="M14" s="1000"/>
      <c r="N14" s="1000"/>
      <c r="O14" s="1000"/>
      <c r="P14" s="1000"/>
      <c r="Q14" s="1000"/>
      <c r="R14" s="1000"/>
      <c r="S14" s="999">
        <f>S13/68.8</f>
        <v>702.89244186046517</v>
      </c>
      <c r="T14" s="1000"/>
      <c r="U14" s="1000"/>
      <c r="V14" s="999">
        <f>V13/68.8</f>
        <v>758.61918604651169</v>
      </c>
      <c r="W14" s="1000"/>
      <c r="X14" s="1001"/>
    </row>
    <row r="15" spans="1:24" s="94" customFormat="1" ht="9.75" customHeight="1">
      <c r="A15" s="320" t="s">
        <v>81</v>
      </c>
      <c r="B15" s="290">
        <v>797539</v>
      </c>
      <c r="C15" s="576">
        <v>862142</v>
      </c>
      <c r="D15" s="576">
        <v>4248</v>
      </c>
      <c r="E15" s="576">
        <v>866390</v>
      </c>
      <c r="F15" s="576">
        <v>631571</v>
      </c>
      <c r="G15" s="289">
        <f>(F15/B15)*100</f>
        <v>79.189983185775233</v>
      </c>
      <c r="H15" s="576">
        <v>165968</v>
      </c>
      <c r="I15" s="576">
        <v>234819</v>
      </c>
      <c r="J15" s="289">
        <f>(I15/B15)*100</f>
        <v>29.442948871465845</v>
      </c>
      <c r="K15" s="576">
        <v>209327</v>
      </c>
      <c r="L15" s="289">
        <f>(K15/B15)*100</f>
        <v>26.246616152940483</v>
      </c>
      <c r="M15" s="575" t="s">
        <v>1131</v>
      </c>
      <c r="N15" s="575" t="s">
        <v>1136</v>
      </c>
      <c r="O15" s="575" t="s">
        <v>1140</v>
      </c>
      <c r="P15" s="575" t="s">
        <v>1144</v>
      </c>
      <c r="Q15" s="996">
        <f>(B15/M15)*100</f>
        <v>131.3692869508497</v>
      </c>
      <c r="R15" s="575" t="s">
        <v>1149</v>
      </c>
      <c r="S15" s="576">
        <v>53961</v>
      </c>
      <c r="T15" s="575"/>
      <c r="U15" s="575" t="s">
        <v>1159</v>
      </c>
      <c r="V15" s="576">
        <v>58332</v>
      </c>
      <c r="W15" s="575" t="s">
        <v>1155</v>
      </c>
      <c r="X15" s="825"/>
    </row>
    <row r="16" spans="1:24" s="244" customFormat="1" ht="9.75" customHeight="1">
      <c r="A16" s="247"/>
      <c r="B16" s="999">
        <f>(B15/69.18)*10</f>
        <v>115284.61983232148</v>
      </c>
      <c r="C16" s="999">
        <f>(C15/69.18)*10</f>
        <v>124623.01243133852</v>
      </c>
      <c r="D16" s="999">
        <f>(D15/69.18)*10</f>
        <v>614.0503035559409</v>
      </c>
      <c r="E16" s="999">
        <f>(E15/69.18)*10</f>
        <v>125237.06273489445</v>
      </c>
      <c r="F16" s="999">
        <f>(F15/69.18)*10</f>
        <v>91293.871061000274</v>
      </c>
      <c r="G16" s="999"/>
      <c r="H16" s="999">
        <f>(H15/69.18)*10</f>
        <v>23990.748771321189</v>
      </c>
      <c r="I16" s="999">
        <f>(I15/69.18)*10</f>
        <v>33943.191673894187</v>
      </c>
      <c r="J16" s="999"/>
      <c r="K16" s="999">
        <f>(K15/69.18)*10</f>
        <v>30258.311650766114</v>
      </c>
      <c r="L16" s="1000"/>
      <c r="M16" s="1000"/>
      <c r="N16" s="1000"/>
      <c r="O16" s="1000"/>
      <c r="P16" s="1000"/>
      <c r="Q16" s="1000"/>
      <c r="R16" s="1000"/>
      <c r="S16" s="999">
        <f>S15/69.18</f>
        <v>780.0086730268863</v>
      </c>
      <c r="T16" s="1000"/>
      <c r="U16" s="1000"/>
      <c r="V16" s="999">
        <f>V15/69.18</f>
        <v>843.19167389418897</v>
      </c>
      <c r="W16" s="1000"/>
      <c r="X16" s="1002"/>
    </row>
    <row r="17" spans="1:24" s="94" customFormat="1" ht="9.75" customHeight="1">
      <c r="A17" s="320" t="s">
        <v>189</v>
      </c>
      <c r="B17" s="576">
        <v>915829</v>
      </c>
      <c r="C17" s="576">
        <v>988342</v>
      </c>
      <c r="D17" s="576">
        <v>3102</v>
      </c>
      <c r="E17" s="576">
        <v>991444</v>
      </c>
      <c r="F17" s="576">
        <v>726966</v>
      </c>
      <c r="G17" s="289">
        <f>(F17/B17)*100</f>
        <v>79.377918803619451</v>
      </c>
      <c r="H17" s="576">
        <v>188863</v>
      </c>
      <c r="I17" s="576">
        <v>264478</v>
      </c>
      <c r="J17" s="289">
        <f>(I17/B17)*100</f>
        <v>28.878535185061839</v>
      </c>
      <c r="K17" s="576">
        <v>251129</v>
      </c>
      <c r="L17" s="289">
        <f>(K17/B17)*100</f>
        <v>27.420948670548761</v>
      </c>
      <c r="M17" s="575" t="s">
        <v>1031</v>
      </c>
      <c r="N17" s="575" t="s">
        <v>1054</v>
      </c>
      <c r="O17" s="575" t="s">
        <v>1032</v>
      </c>
      <c r="P17" s="575" t="s">
        <v>1033</v>
      </c>
      <c r="Q17" s="996">
        <f>(B17/M17)*100</f>
        <v>141.694180480303</v>
      </c>
      <c r="R17" s="575" t="s">
        <v>809</v>
      </c>
      <c r="S17" s="576">
        <v>61198</v>
      </c>
      <c r="T17" s="575"/>
      <c r="U17" s="996">
        <v>43190</v>
      </c>
      <c r="V17" s="576">
        <v>66044</v>
      </c>
      <c r="W17" s="575" t="s">
        <v>1057</v>
      </c>
      <c r="X17" s="825"/>
    </row>
    <row r="18" spans="1:24" s="247" customFormat="1" ht="9.75" customHeight="1">
      <c r="B18" s="999">
        <f>(B17/71.17)*10</f>
        <v>128681.88843613882</v>
      </c>
      <c r="C18" s="999">
        <f>(C17/71.17)*10</f>
        <v>138870.59154137981</v>
      </c>
      <c r="D18" s="999">
        <f>(D17/71.17)*10</f>
        <v>435.85780525502315</v>
      </c>
      <c r="E18" s="999">
        <f>(E17/71.17)*10</f>
        <v>139306.44934663482</v>
      </c>
      <c r="F18" s="999">
        <f>(F17/71.17)*10</f>
        <v>102145.00491780243</v>
      </c>
      <c r="G18" s="999"/>
      <c r="H18" s="999">
        <f>(H17/71.17)*10</f>
        <v>26536.883518336377</v>
      </c>
      <c r="I18" s="999">
        <f>(I17/71.17)*10</f>
        <v>37161.444428832372</v>
      </c>
      <c r="J18" s="999"/>
      <c r="K18" s="999">
        <f>(K17/71.17)*10</f>
        <v>35285.794576366447</v>
      </c>
      <c r="L18" s="1000"/>
      <c r="M18" s="1000"/>
      <c r="N18" s="1000"/>
      <c r="O18" s="1000"/>
      <c r="P18" s="1000"/>
      <c r="Q18" s="1000"/>
      <c r="R18" s="1000"/>
      <c r="S18" s="999">
        <f>S17/71.17</f>
        <v>859.88478291414924</v>
      </c>
      <c r="T18" s="1000"/>
      <c r="U18" s="1000"/>
      <c r="V18" s="999">
        <f>V17/71.17</f>
        <v>927.97527047913445</v>
      </c>
      <c r="W18" s="1000"/>
      <c r="X18" s="828"/>
    </row>
    <row r="19" spans="1:24" s="94" customFormat="1" ht="9.75" customHeight="1">
      <c r="A19" s="320" t="s">
        <v>705</v>
      </c>
      <c r="B19" s="576">
        <v>1055204</v>
      </c>
      <c r="C19" s="576">
        <v>1144506</v>
      </c>
      <c r="D19" s="576">
        <v>1791</v>
      </c>
      <c r="E19" s="576">
        <v>1146297</v>
      </c>
      <c r="F19" s="576">
        <v>831250</v>
      </c>
      <c r="G19" s="289">
        <f>(F19/B19)*100</f>
        <v>78.776236632916479</v>
      </c>
      <c r="H19" s="576">
        <v>223954</v>
      </c>
      <c r="I19" s="576">
        <v>315047</v>
      </c>
      <c r="J19" s="289">
        <f>(I19/B19)*100</f>
        <v>29.856501681191506</v>
      </c>
      <c r="K19" s="576">
        <v>298225</v>
      </c>
      <c r="L19" s="289">
        <f>(K19/B19)*100</f>
        <v>28.262307572753702</v>
      </c>
      <c r="M19" s="575" t="s">
        <v>1034</v>
      </c>
      <c r="N19" s="575" t="s">
        <v>1053</v>
      </c>
      <c r="O19" s="575" t="s">
        <v>1035</v>
      </c>
      <c r="P19" s="575" t="s">
        <v>1036</v>
      </c>
      <c r="Q19" s="996">
        <f>(B19/M19)*100</f>
        <v>153.26285089318264</v>
      </c>
      <c r="R19" s="575" t="s">
        <v>810</v>
      </c>
      <c r="S19" s="576">
        <v>69614</v>
      </c>
      <c r="T19" s="575"/>
      <c r="U19" s="996">
        <v>45421</v>
      </c>
      <c r="V19" s="576">
        <v>75505</v>
      </c>
      <c r="W19" s="575" t="s">
        <v>1056</v>
      </c>
      <c r="X19" s="824"/>
    </row>
    <row r="20" spans="1:24" s="244" customFormat="1" ht="9.75" customHeight="1">
      <c r="A20" s="247"/>
      <c r="B20" s="999">
        <f>(B19/79.1)*10</f>
        <v>133401.26422250317</v>
      </c>
      <c r="C20" s="999">
        <f>(C19/79.1)*10</f>
        <v>144691.02402022757</v>
      </c>
      <c r="D20" s="999">
        <f>(D19/79.1)*10</f>
        <v>226.42225031605562</v>
      </c>
      <c r="E20" s="999">
        <f>(E19/79.1)*10</f>
        <v>144917.44627054362</v>
      </c>
      <c r="F20" s="999">
        <f>(F19/79.1)*10</f>
        <v>105088.49557522124</v>
      </c>
      <c r="G20" s="999"/>
      <c r="H20" s="999">
        <f>(H19/79.1)*10</f>
        <v>28312.768647281922</v>
      </c>
      <c r="I20" s="999">
        <f>(I19/79.1)*10</f>
        <v>39828.950695322375</v>
      </c>
      <c r="J20" s="999"/>
      <c r="K20" s="999">
        <f>(K19/79.1)*10</f>
        <v>37702.275600505687</v>
      </c>
      <c r="L20" s="1000"/>
      <c r="M20" s="1000"/>
      <c r="N20" s="1000"/>
      <c r="O20" s="1000"/>
      <c r="P20" s="1000"/>
      <c r="Q20" s="1000"/>
      <c r="R20" s="1000"/>
      <c r="S20" s="999">
        <f>S19/79.1</f>
        <v>880.07585335018973</v>
      </c>
      <c r="T20" s="1000"/>
      <c r="U20" s="1000"/>
      <c r="V20" s="999">
        <f>V19/79.1</f>
        <v>954.55120101137811</v>
      </c>
      <c r="W20" s="1000"/>
      <c r="X20" s="1001"/>
    </row>
    <row r="21" spans="1:24" s="94" customFormat="1" ht="9.75" customHeight="1">
      <c r="A21" s="320" t="s">
        <v>814</v>
      </c>
      <c r="B21" s="290">
        <v>1198923</v>
      </c>
      <c r="C21" s="576">
        <v>1295352</v>
      </c>
      <c r="D21" s="576">
        <v>5375</v>
      </c>
      <c r="E21" s="576">
        <v>1300727</v>
      </c>
      <c r="F21" s="576">
        <v>934727</v>
      </c>
      <c r="G21" s="289">
        <f>(F21/B21)*100</f>
        <v>77.963889257275071</v>
      </c>
      <c r="H21" s="576">
        <v>264196</v>
      </c>
      <c r="I21" s="576">
        <v>365999.9</v>
      </c>
      <c r="J21" s="289">
        <f>(I21/B21)*100</f>
        <v>30.527389999190941</v>
      </c>
      <c r="K21" s="576">
        <v>340370</v>
      </c>
      <c r="L21" s="289">
        <f>(K21/B21)*100</f>
        <v>28.38964637428759</v>
      </c>
      <c r="M21" s="575" t="s">
        <v>1037</v>
      </c>
      <c r="N21" s="575" t="s">
        <v>1052</v>
      </c>
      <c r="O21" s="575" t="s">
        <v>1039</v>
      </c>
      <c r="P21" s="575" t="s">
        <v>1038</v>
      </c>
      <c r="Q21" s="996">
        <f>(B21/M21)*100</f>
        <v>164.25920369586393</v>
      </c>
      <c r="R21" s="575" t="s">
        <v>1040</v>
      </c>
      <c r="S21" s="576">
        <v>78009</v>
      </c>
      <c r="T21" s="575"/>
      <c r="U21" s="996">
        <v>47491</v>
      </c>
      <c r="V21" s="576">
        <v>84283</v>
      </c>
      <c r="W21" s="575" t="s">
        <v>1055</v>
      </c>
      <c r="X21" s="824"/>
    </row>
    <row r="22" spans="1:24" s="247" customFormat="1" ht="9.75" customHeight="1">
      <c r="B22" s="999">
        <f>(B21/79.93)*10</f>
        <v>149996.62204428873</v>
      </c>
      <c r="C22" s="999">
        <f>(C21/79.93)*10</f>
        <v>162060.80320280243</v>
      </c>
      <c r="D22" s="999">
        <f>(D21/79.93)*10</f>
        <v>672.46340547979469</v>
      </c>
      <c r="E22" s="999">
        <f>(E21/79.93)*10</f>
        <v>162733.26660828223</v>
      </c>
      <c r="F22" s="999">
        <f>(F21/79.93)*10</f>
        <v>116943.20030026272</v>
      </c>
      <c r="G22" s="999"/>
      <c r="H22" s="999">
        <f>(H21/79.93)*10</f>
        <v>33053.421744026018</v>
      </c>
      <c r="I22" s="999">
        <f>(I21/79.93)*10</f>
        <v>45790.05379707244</v>
      </c>
      <c r="J22" s="999"/>
      <c r="K22" s="999">
        <f>(K21/79.93)*10</f>
        <v>42583.510571750274</v>
      </c>
      <c r="L22" s="1000"/>
      <c r="M22" s="1000"/>
      <c r="N22" s="1000"/>
      <c r="O22" s="1000"/>
      <c r="P22" s="1000"/>
      <c r="Q22" s="1000"/>
      <c r="R22" s="1000"/>
      <c r="S22" s="999">
        <f>S21/79.93</f>
        <v>975.96647066182902</v>
      </c>
      <c r="T22" s="1000"/>
      <c r="U22" s="1000"/>
      <c r="V22" s="999">
        <f>V21/79.93</f>
        <v>1054.4601526335543</v>
      </c>
      <c r="W22" s="1000"/>
      <c r="X22" s="828"/>
    </row>
    <row r="23" spans="1:24" s="347" customFormat="1" ht="9.75" customHeight="1">
      <c r="A23" s="320" t="s">
        <v>991</v>
      </c>
      <c r="B23" s="290">
        <v>1343674</v>
      </c>
      <c r="C23" s="576">
        <v>1433224</v>
      </c>
      <c r="D23" s="576">
        <v>6334</v>
      </c>
      <c r="E23" s="576">
        <v>1439558</v>
      </c>
      <c r="F23" s="576">
        <v>1046856</v>
      </c>
      <c r="G23" s="289">
        <f>(F23/B23)*100</f>
        <v>77.909969233608749</v>
      </c>
      <c r="H23" s="576">
        <v>296817</v>
      </c>
      <c r="I23" s="576">
        <v>392701</v>
      </c>
      <c r="J23" s="289">
        <f>(I23/B23)*100</f>
        <v>29.225913428405999</v>
      </c>
      <c r="K23" s="576">
        <v>383994</v>
      </c>
      <c r="L23" s="289">
        <f>(K23/B23)*100</f>
        <v>28.577913988065557</v>
      </c>
      <c r="M23" s="575" t="s">
        <v>1123</v>
      </c>
      <c r="N23" s="575">
        <v>825728</v>
      </c>
      <c r="O23" s="575" t="s">
        <v>1124</v>
      </c>
      <c r="P23" s="575" t="s">
        <v>1125</v>
      </c>
      <c r="Q23" s="996">
        <f>(B23/M23)*100</f>
        <v>173.57079376233634</v>
      </c>
      <c r="R23" s="575" t="s">
        <v>1041</v>
      </c>
      <c r="S23" s="576">
        <v>86266</v>
      </c>
      <c r="T23" s="575"/>
      <c r="U23" s="996">
        <v>49701</v>
      </c>
      <c r="V23" s="576">
        <v>92015</v>
      </c>
      <c r="W23" s="575" t="s">
        <v>1182</v>
      </c>
      <c r="X23" s="827"/>
    </row>
    <row r="24" spans="1:24" s="247" customFormat="1" ht="9.75" customHeight="1">
      <c r="B24" s="999">
        <f>(B23/77.72)*10</f>
        <v>172886.51569737517</v>
      </c>
      <c r="C24" s="999">
        <f>(C23/77.72)*10</f>
        <v>184408.64642305713</v>
      </c>
      <c r="D24" s="999">
        <f>(D23/77.72)*10</f>
        <v>814.97683993823989</v>
      </c>
      <c r="E24" s="999">
        <f>(E23/77.72)*10</f>
        <v>185223.62326299539</v>
      </c>
      <c r="F24" s="999">
        <f>(F23/77.72)*10</f>
        <v>134695.83118888317</v>
      </c>
      <c r="G24" s="999"/>
      <c r="H24" s="999">
        <f>(H23/77.72)*10</f>
        <v>38190.555841482244</v>
      </c>
      <c r="I24" s="999">
        <f>(I23/77.72)*10</f>
        <v>50527.663407102416</v>
      </c>
      <c r="J24" s="999"/>
      <c r="K24" s="999">
        <f>(K23/77.72)*10</f>
        <v>49407.359752959346</v>
      </c>
      <c r="L24" s="1000"/>
      <c r="M24" s="1000"/>
      <c r="N24" s="1000"/>
      <c r="O24" s="1000"/>
      <c r="P24" s="1000"/>
      <c r="Q24" s="1000"/>
      <c r="R24" s="1000"/>
      <c r="S24" s="999">
        <f>S23/77.72</f>
        <v>1109.9588265568709</v>
      </c>
      <c r="T24" s="1000"/>
      <c r="U24" s="1000"/>
      <c r="V24" s="999">
        <f>V23/77.72</f>
        <v>1183.9294904786414</v>
      </c>
      <c r="W24" s="1000"/>
      <c r="X24" s="828"/>
    </row>
    <row r="25" spans="1:24" s="347" customFormat="1" ht="9.75" customHeight="1">
      <c r="A25" s="320" t="s">
        <v>1042</v>
      </c>
      <c r="B25" s="290">
        <v>1515802</v>
      </c>
      <c r="C25" s="576">
        <v>1614204</v>
      </c>
      <c r="D25" s="576">
        <v>5600</v>
      </c>
      <c r="E25" s="576">
        <v>1619804</v>
      </c>
      <c r="F25" s="576">
        <v>1179924</v>
      </c>
      <c r="G25" s="289">
        <f>(F25/B25)*100</f>
        <v>77.84156505928874</v>
      </c>
      <c r="H25" s="576">
        <v>335879</v>
      </c>
      <c r="I25" s="576">
        <v>439881</v>
      </c>
      <c r="J25" s="289">
        <f>(I25/B25)*100</f>
        <v>29.01968726786216</v>
      </c>
      <c r="K25" s="576">
        <v>437865</v>
      </c>
      <c r="L25" s="289">
        <f>(K25/B25)*100</f>
        <v>28.886688366950303</v>
      </c>
      <c r="M25" s="575" t="s">
        <v>1178</v>
      </c>
      <c r="N25" s="575" t="s">
        <v>1179</v>
      </c>
      <c r="O25" s="575" t="s">
        <v>1180</v>
      </c>
      <c r="P25" s="575" t="s">
        <v>1181</v>
      </c>
      <c r="Q25" s="996">
        <f>(B25/M25)*100</f>
        <v>183.76431451564019</v>
      </c>
      <c r="R25" s="575" t="s">
        <v>1126</v>
      </c>
      <c r="S25" s="576">
        <v>96004</v>
      </c>
      <c r="T25" s="575"/>
      <c r="U25" s="576">
        <v>52240</v>
      </c>
      <c r="V25" s="576">
        <v>102236</v>
      </c>
      <c r="W25" s="575" t="s">
        <v>1208</v>
      </c>
      <c r="X25" s="826"/>
    </row>
    <row r="26" spans="1:24" s="247" customFormat="1" ht="9.75" customHeight="1">
      <c r="B26" s="999">
        <f>(B25/77.67)*10</f>
        <v>195159.26355092056</v>
      </c>
      <c r="C26" s="999">
        <f>(C25/77.67)*10</f>
        <v>207828.50521436849</v>
      </c>
      <c r="D26" s="999">
        <f>(D25/77.67)*10</f>
        <v>720.99909875112655</v>
      </c>
      <c r="E26" s="999">
        <f>(E25/77.67)*10</f>
        <v>208549.50431311963</v>
      </c>
      <c r="F26" s="999">
        <f>(F25/77.67)*10</f>
        <v>151915.02510621861</v>
      </c>
      <c r="G26" s="999"/>
      <c r="H26" s="999">
        <f>(H25/77.67)*10</f>
        <v>43244.36719454101</v>
      </c>
      <c r="I26" s="999">
        <f>(I25/77.67)*10</f>
        <v>56634.607956740059</v>
      </c>
      <c r="J26" s="999"/>
      <c r="K26" s="999">
        <f>(K25/77.67)*10</f>
        <v>56375.048281189651</v>
      </c>
      <c r="L26" s="1000"/>
      <c r="M26" s="1000"/>
      <c r="N26" s="1000"/>
      <c r="O26" s="1000"/>
      <c r="P26" s="1000"/>
      <c r="Q26" s="1000"/>
      <c r="R26" s="1000"/>
      <c r="S26" s="999">
        <f>S25/77.67</f>
        <v>1236.0499549375563</v>
      </c>
      <c r="T26" s="1000"/>
      <c r="U26" s="1000"/>
      <c r="V26" s="999">
        <f>V25/77.67</f>
        <v>1316.2868546414318</v>
      </c>
      <c r="W26" s="1000"/>
      <c r="X26" s="828"/>
    </row>
    <row r="27" spans="1:24" s="347" customFormat="1" ht="9.75" customHeight="1">
      <c r="A27" s="1003" t="s">
        <v>1163</v>
      </c>
      <c r="B27" s="576">
        <v>1732864</v>
      </c>
      <c r="C27" s="576">
        <v>1832675</v>
      </c>
      <c r="D27" s="576">
        <v>583</v>
      </c>
      <c r="E27" s="576">
        <v>1833258</v>
      </c>
      <c r="F27" s="576">
        <v>1300034</v>
      </c>
      <c r="G27" s="289">
        <f>(F27/B27)*100</f>
        <v>75.022275262224852</v>
      </c>
      <c r="H27" s="576">
        <v>432830</v>
      </c>
      <c r="I27" s="576">
        <v>533224</v>
      </c>
      <c r="J27" s="289">
        <f>(I27/B27)*100</f>
        <v>30.771254985965431</v>
      </c>
      <c r="K27" s="576">
        <v>513839</v>
      </c>
      <c r="L27" s="289">
        <f>(K27/B27)*100</f>
        <v>29.652586700398874</v>
      </c>
      <c r="M27" s="576">
        <v>883539</v>
      </c>
      <c r="N27" s="576">
        <v>934430</v>
      </c>
      <c r="O27" s="289">
        <v>14.32</v>
      </c>
      <c r="P27" s="576">
        <v>7.11</v>
      </c>
      <c r="Q27" s="996">
        <f>(B27/M27)*100</f>
        <v>196.12761858842677</v>
      </c>
      <c r="R27" s="576">
        <v>15.99</v>
      </c>
      <c r="S27" s="576">
        <v>108378</v>
      </c>
      <c r="T27" s="576"/>
      <c r="U27" s="576">
        <v>55259</v>
      </c>
      <c r="V27" s="576">
        <v>114621</v>
      </c>
      <c r="W27" s="576">
        <v>58442</v>
      </c>
      <c r="X27" s="826"/>
    </row>
    <row r="28" spans="1:24" s="247" customFormat="1" ht="9.75" customHeight="1">
      <c r="B28" s="999">
        <f>(B27/78.2658)*10</f>
        <v>221407.56243467773</v>
      </c>
      <c r="C28" s="999">
        <f>(C27/78.2658)*10</f>
        <v>234160.38678452146</v>
      </c>
      <c r="D28" s="999">
        <f>(D27/78.2658)*10</f>
        <v>74.489751590094272</v>
      </c>
      <c r="E28" s="999">
        <f>(E27/78.2658)*10</f>
        <v>234234.87653611155</v>
      </c>
      <c r="F28" s="999">
        <f>(F27/78.2658)*10</f>
        <v>166104.99094112628</v>
      </c>
      <c r="G28" s="999"/>
      <c r="H28" s="999">
        <f>(H27/78.2658)*10</f>
        <v>55302.571493551455</v>
      </c>
      <c r="I28" s="999">
        <f>(I27/78.2658)*10</f>
        <v>68129.885594985302</v>
      </c>
      <c r="J28" s="999"/>
      <c r="K28" s="999">
        <f>(K27/78.2658)*10</f>
        <v>65653.06941218258</v>
      </c>
      <c r="L28" s="1000"/>
      <c r="M28" s="1000"/>
      <c r="N28" s="1000"/>
      <c r="O28" s="1000"/>
      <c r="P28" s="1000"/>
      <c r="Q28" s="1000"/>
      <c r="R28" s="1000"/>
      <c r="S28" s="999">
        <f>(S27/78.2658)</f>
        <v>1384.742761206044</v>
      </c>
      <c r="T28" s="1000"/>
      <c r="U28" s="1000"/>
      <c r="V28" s="999">
        <f>(V27/78.2658)</f>
        <v>1464.5094025743044</v>
      </c>
      <c r="W28" s="1000"/>
      <c r="X28" s="828"/>
    </row>
    <row r="29" spans="1:24" s="347" customFormat="1" ht="9.75" customHeight="1">
      <c r="A29" s="320" t="s">
        <v>1187</v>
      </c>
      <c r="B29" s="576">
        <v>1975817</v>
      </c>
      <c r="C29" s="576">
        <v>2060718</v>
      </c>
      <c r="D29" s="576">
        <v>353</v>
      </c>
      <c r="E29" s="576">
        <v>2061069</v>
      </c>
      <c r="F29" s="576">
        <v>1475356</v>
      </c>
      <c r="G29" s="289">
        <f>(F29/B29)*100</f>
        <v>74.670680533672908</v>
      </c>
      <c r="H29" s="576">
        <v>500460</v>
      </c>
      <c r="I29" s="576">
        <v>585714</v>
      </c>
      <c r="J29" s="289">
        <f>(I29/B29)*100</f>
        <v>29.644142144743164</v>
      </c>
      <c r="K29" s="576">
        <v>602830</v>
      </c>
      <c r="L29" s="289">
        <f>(K29/B29)*100</f>
        <v>30.510416703571231</v>
      </c>
      <c r="M29" s="576">
        <v>947899</v>
      </c>
      <c r="N29" s="576">
        <v>988630</v>
      </c>
      <c r="O29" s="576">
        <v>14.02</v>
      </c>
      <c r="P29" s="576">
        <v>7.28</v>
      </c>
      <c r="Q29" s="996">
        <f>(B29/M29)*100</f>
        <v>208.44172216660212</v>
      </c>
      <c r="R29" s="289">
        <v>16.175000000000001</v>
      </c>
      <c r="S29" s="576">
        <v>122152</v>
      </c>
      <c r="T29" s="576"/>
      <c r="U29" s="290">
        <f>M29/R29</f>
        <v>58602.720247295205</v>
      </c>
      <c r="V29" s="290">
        <f>C29/R29</f>
        <v>127401.42194744977</v>
      </c>
      <c r="W29" s="290">
        <f>N29/R29</f>
        <v>61120.865533230288</v>
      </c>
      <c r="X29" s="826"/>
    </row>
    <row r="30" spans="1:24" s="247" customFormat="1" ht="9.75" customHeight="1">
      <c r="B30" s="999">
        <f>(B29/79.119175)*10</f>
        <v>249726.69393986985</v>
      </c>
      <c r="C30" s="999">
        <f>(C29/79.119175)*10</f>
        <v>260457.46811692615</v>
      </c>
      <c r="D30" s="999">
        <f>(D29/79.119175)*10</f>
        <v>44.616238731002944</v>
      </c>
      <c r="E30" s="999">
        <f>(E29/79.119175)*10</f>
        <v>260501.83157243489</v>
      </c>
      <c r="F30" s="999">
        <f>(F29/79.119175)*10</f>
        <v>186472.62183914328</v>
      </c>
      <c r="G30" s="999"/>
      <c r="H30" s="999">
        <f>(H29/79.119175)*10</f>
        <v>63253.945709115396</v>
      </c>
      <c r="I30" s="999">
        <f>(I29/79.119175)*10</f>
        <v>74029.336124902722</v>
      </c>
      <c r="J30" s="999"/>
      <c r="K30" s="999">
        <f>(K29/79.119175)*10</f>
        <v>76192.654941106244</v>
      </c>
      <c r="L30" s="1000"/>
      <c r="M30" s="1000"/>
      <c r="N30" s="1000"/>
      <c r="O30" s="1000"/>
      <c r="P30" s="1000"/>
      <c r="Q30" s="1000"/>
      <c r="R30" s="1000"/>
      <c r="S30" s="999">
        <f>(S29/79.119175)</f>
        <v>1543.8988083482923</v>
      </c>
      <c r="T30" s="1000"/>
      <c r="U30" s="1000"/>
      <c r="V30" s="999">
        <f>(V29/79.119175)</f>
        <v>1610.2470980953703</v>
      </c>
      <c r="W30" s="1000"/>
      <c r="X30" s="828"/>
    </row>
    <row r="31" spans="1:24" s="347" customFormat="1" ht="9.75" customHeight="1">
      <c r="A31" s="320" t="s">
        <v>1311</v>
      </c>
      <c r="B31" s="576">
        <v>2250481</v>
      </c>
      <c r="C31" s="576">
        <v>2353109</v>
      </c>
      <c r="D31" s="576">
        <v>495</v>
      </c>
      <c r="E31" s="576">
        <v>2353603</v>
      </c>
      <c r="F31" s="576">
        <v>1736587</v>
      </c>
      <c r="G31" s="289">
        <f>(F31/B31)*100</f>
        <v>77.165148250529555</v>
      </c>
      <c r="H31" s="576">
        <v>513892</v>
      </c>
      <c r="I31" s="576">
        <v>617016</v>
      </c>
      <c r="J31" s="289">
        <f>(I31/B31)*100</f>
        <v>27.41707217257111</v>
      </c>
      <c r="K31" s="576">
        <v>702936</v>
      </c>
      <c r="L31" s="289">
        <f>(K31/B31)*100</f>
        <v>31.234922667643051</v>
      </c>
      <c r="M31" s="576">
        <v>1022438</v>
      </c>
      <c r="N31" s="576">
        <v>1069064</v>
      </c>
      <c r="O31" s="289">
        <v>13.9</v>
      </c>
      <c r="P31" s="576">
        <v>7.86</v>
      </c>
      <c r="Q31" s="996">
        <f>(B31/M31)*100</f>
        <v>220.10928780033606</v>
      </c>
      <c r="R31" s="289">
        <v>16.364999999999998</v>
      </c>
      <c r="S31" s="290">
        <f>B31/R31</f>
        <v>137517.93461655974</v>
      </c>
      <c r="T31" s="576"/>
      <c r="U31" s="290">
        <f>M31/R31</f>
        <v>62477.115795905906</v>
      </c>
      <c r="V31" s="576">
        <f>ROUND((C31/R31),0)</f>
        <v>143789</v>
      </c>
      <c r="W31" s="290">
        <f>N31/R31</f>
        <v>65326.245035135966</v>
      </c>
      <c r="X31" s="826"/>
    </row>
    <row r="32" spans="1:24" s="247" customFormat="1" ht="9.75" customHeight="1">
      <c r="B32" s="999">
        <f>(B31/82.100874)*10</f>
        <v>274111.69825061789</v>
      </c>
      <c r="C32" s="999">
        <f>(C31/82.100874)*10</f>
        <v>286611.93058675597</v>
      </c>
      <c r="D32" s="999">
        <f>(D31/82.100874)*10</f>
        <v>60.291684592785217</v>
      </c>
      <c r="E32" s="999">
        <f>(E31/82.100874)*10</f>
        <v>286672.10046996572</v>
      </c>
      <c r="F32" s="999">
        <f>(F31/82.100874)*10</f>
        <v>211518.69832713349</v>
      </c>
      <c r="G32" s="999"/>
      <c r="H32" s="999">
        <f>(H31/82.100874)*10</f>
        <v>62592.756320718334</v>
      </c>
      <c r="I32" s="999">
        <f>(I31/82.100874)*10</f>
        <v>75153.40214283223</v>
      </c>
      <c r="J32" s="999"/>
      <c r="K32" s="999">
        <f>(K31/82.100874)*10</f>
        <v>85618.576971543574</v>
      </c>
      <c r="L32" s="1000"/>
      <c r="M32" s="1000"/>
      <c r="N32" s="1000"/>
      <c r="O32" s="1000"/>
      <c r="P32" s="1000"/>
      <c r="Q32" s="1000"/>
      <c r="R32" s="1000"/>
      <c r="S32" s="999">
        <f>(S31/82.100874)</f>
        <v>1674.9874625763391</v>
      </c>
      <c r="T32" s="1000"/>
      <c r="U32" s="1000"/>
      <c r="V32" s="999">
        <f>(V31/82.100874)</f>
        <v>1751.369906244847</v>
      </c>
      <c r="W32" s="1000"/>
      <c r="X32" s="828"/>
    </row>
    <row r="33" spans="1:24" s="347" customFormat="1" ht="9.75" customHeight="1">
      <c r="A33" s="392" t="s">
        <v>1420</v>
      </c>
      <c r="B33" s="576">
        <v>2542484</v>
      </c>
      <c r="C33" s="576">
        <v>2656094</v>
      </c>
      <c r="D33" s="576">
        <v>215</v>
      </c>
      <c r="E33" s="576">
        <v>2656307</v>
      </c>
      <c r="F33" s="576">
        <v>1906266</v>
      </c>
      <c r="G33" s="289">
        <f>(F33/B33)*100</f>
        <v>74.976519026275085</v>
      </c>
      <c r="H33" s="576">
        <v>636217</v>
      </c>
      <c r="I33" s="576">
        <v>750041</v>
      </c>
      <c r="J33" s="289">
        <f>(I33/B33)*100</f>
        <v>29.500323305869379</v>
      </c>
      <c r="K33" s="576">
        <v>802670</v>
      </c>
      <c r="L33" s="289">
        <f>(K33/B33)*100</f>
        <v>31.570306833789317</v>
      </c>
      <c r="M33" s="576">
        <v>1105794</v>
      </c>
      <c r="N33" s="576">
        <v>1155206</v>
      </c>
      <c r="O33" s="576">
        <v>12.98</v>
      </c>
      <c r="P33" s="576">
        <v>8.15</v>
      </c>
      <c r="Q33" s="996">
        <f>(B33/M33)*100</f>
        <v>229.92383753212624</v>
      </c>
      <c r="R33" s="289">
        <v>16.555</v>
      </c>
      <c r="S33" s="290">
        <f>B33/R33</f>
        <v>153578.01268498943</v>
      </c>
      <c r="T33" s="576"/>
      <c r="U33" s="290">
        <f>M33/R33</f>
        <v>66795.167623074594</v>
      </c>
      <c r="V33" s="576">
        <f>ROUND((C33/R33),0)</f>
        <v>160441</v>
      </c>
      <c r="W33" s="290">
        <f>N33/R33</f>
        <v>69779.885231048029</v>
      </c>
      <c r="X33" s="826"/>
    </row>
    <row r="34" spans="1:24" s="247" customFormat="1" ht="9.75" customHeight="1">
      <c r="B34" s="999">
        <f>(B33/84.03)*10</f>
        <v>302568.60645007738</v>
      </c>
      <c r="C34" s="999">
        <f>(C33/84.03)*10</f>
        <v>316088.77781744616</v>
      </c>
      <c r="D34" s="999">
        <f>(D33/84.03)*10</f>
        <v>25.586100202308696</v>
      </c>
      <c r="E34" s="999">
        <f>(E33/84.03)*10</f>
        <v>316114.12590741401</v>
      </c>
      <c r="F34" s="999">
        <f>(F33/84.03)*10</f>
        <v>226855.40878257767</v>
      </c>
      <c r="G34" s="999"/>
      <c r="H34" s="999">
        <f>(H33/84.03)*10</f>
        <v>75713.078662382482</v>
      </c>
      <c r="I34" s="999">
        <f>(I33/84.03)*10</f>
        <v>89258.717124836374</v>
      </c>
      <c r="J34" s="999"/>
      <c r="K34" s="999">
        <f>(K33/84.03)*10</f>
        <v>95521.837439009862</v>
      </c>
      <c r="L34" s="1000"/>
      <c r="M34" s="1000"/>
      <c r="N34" s="1000"/>
      <c r="O34" s="1000"/>
      <c r="P34" s="1000"/>
      <c r="Q34" s="1000"/>
      <c r="R34" s="1000"/>
      <c r="S34" s="999">
        <f>(S33/84.03)</f>
        <v>1827.6569401998029</v>
      </c>
      <c r="T34" s="1000"/>
      <c r="U34" s="1000"/>
      <c r="V34" s="999">
        <f>(V33/84.03)</f>
        <v>1909.3300011900512</v>
      </c>
      <c r="W34" s="1000"/>
      <c r="X34" s="828"/>
    </row>
    <row r="35" spans="1:24" s="347" customFormat="1" ht="9.75" customHeight="1">
      <c r="A35" s="320" t="s">
        <v>1502</v>
      </c>
      <c r="B35" s="576">
        <v>2739332</v>
      </c>
      <c r="C35" s="576">
        <v>2873230</v>
      </c>
      <c r="D35" s="576">
        <v>205</v>
      </c>
      <c r="E35" s="576">
        <v>2873435</v>
      </c>
      <c r="F35" s="576">
        <v>2088081</v>
      </c>
      <c r="G35" s="289">
        <f>(F35/B35)*100</f>
        <v>76.225919311715401</v>
      </c>
      <c r="H35" s="576">
        <v>651252</v>
      </c>
      <c r="I35" s="576">
        <v>785354</v>
      </c>
      <c r="J35" s="289">
        <f>(I35/B35)*100</f>
        <v>28.669544253854589</v>
      </c>
      <c r="K35" s="576">
        <v>834631</v>
      </c>
      <c r="L35" s="289">
        <f>(K35/B35)*100</f>
        <v>30.46841346722486</v>
      </c>
      <c r="M35" s="576">
        <v>1144597</v>
      </c>
      <c r="N35" s="576">
        <v>1200545</v>
      </c>
      <c r="O35" s="576">
        <v>7.74</v>
      </c>
      <c r="P35" s="576">
        <v>3.51</v>
      </c>
      <c r="Q35" s="996">
        <f>(B35/M35)*100</f>
        <v>239.32720424743383</v>
      </c>
      <c r="R35" s="289">
        <v>16.742999999999999</v>
      </c>
      <c r="S35" s="290">
        <f>B35/R35</f>
        <v>163610.58352744431</v>
      </c>
      <c r="T35" s="576"/>
      <c r="U35" s="290">
        <f>M35/R35</f>
        <v>68362.718748133557</v>
      </c>
      <c r="V35" s="576">
        <f>ROUND((C35/R35),0)</f>
        <v>171608</v>
      </c>
      <c r="W35" s="290">
        <f>N35/R35</f>
        <v>71704.294331959638</v>
      </c>
      <c r="X35" s="826"/>
    </row>
    <row r="36" spans="1:24" s="247" customFormat="1" ht="9.75" customHeight="1">
      <c r="B36" s="999">
        <f>(B35/84.78)*10</f>
        <v>323110.63930172211</v>
      </c>
      <c r="C36" s="999">
        <f>(C35/84.78)*10</f>
        <v>338904.22269403166</v>
      </c>
      <c r="D36" s="999">
        <f>(D35/84.78)*10</f>
        <v>24.180231186600611</v>
      </c>
      <c r="E36" s="999">
        <f>(E35/84.78)*10</f>
        <v>338928.40292521816</v>
      </c>
      <c r="F36" s="999">
        <f>(F35/84.78)*10</f>
        <v>246294.0552016985</v>
      </c>
      <c r="G36" s="999"/>
      <c r="H36" s="999">
        <f>(H35/84.78)*10</f>
        <v>76816.702052370834</v>
      </c>
      <c r="I36" s="999">
        <f>(I35/84.78)*10</f>
        <v>92634.347723519691</v>
      </c>
      <c r="J36" s="999"/>
      <c r="K36" s="999">
        <f>(K35/84.78)*10</f>
        <v>98446.685539042228</v>
      </c>
      <c r="L36" s="1000"/>
      <c r="M36" s="1000"/>
      <c r="N36" s="1000"/>
      <c r="O36" s="1000"/>
      <c r="P36" s="1000"/>
      <c r="Q36" s="1000"/>
      <c r="R36" s="1000"/>
      <c r="S36" s="999">
        <f>(S35/84.78)</f>
        <v>1929.8252362284065</v>
      </c>
      <c r="T36" s="1000"/>
      <c r="U36" s="1000"/>
      <c r="V36" s="999">
        <f>(V35/84.78)</f>
        <v>2024.1566407171501</v>
      </c>
      <c r="W36" s="1000"/>
      <c r="X36" s="828"/>
    </row>
    <row r="37" spans="1:24" s="347" customFormat="1" ht="11.25" customHeight="1">
      <c r="A37" s="320" t="s">
        <v>1842</v>
      </c>
      <c r="B37" s="576">
        <v>3011065</v>
      </c>
      <c r="C37" s="576">
        <v>3197811</v>
      </c>
      <c r="D37" s="576">
        <v>411</v>
      </c>
      <c r="E37" s="576">
        <v>3198222</v>
      </c>
      <c r="F37" s="576">
        <v>2283288</v>
      </c>
      <c r="G37" s="289">
        <f>(F37/B37)*100</f>
        <v>75.829914000528049</v>
      </c>
      <c r="H37" s="576">
        <v>727777</v>
      </c>
      <c r="I37" s="576">
        <v>914934</v>
      </c>
      <c r="J37" s="289">
        <f>(I37/B37)*100</f>
        <v>30.38572730910824</v>
      </c>
      <c r="K37" s="576">
        <v>901003</v>
      </c>
      <c r="L37" s="289">
        <f>(K37/B37)*100</f>
        <v>29.923067087558721</v>
      </c>
      <c r="M37" s="576">
        <v>1207246</v>
      </c>
      <c r="N37" s="576">
        <v>1282119</v>
      </c>
      <c r="O37" s="576">
        <v>9.92</v>
      </c>
      <c r="P37" s="576">
        <v>5.47</v>
      </c>
      <c r="Q37" s="996">
        <f>(B37/M37)*100</f>
        <v>249.41602622829149</v>
      </c>
      <c r="R37" s="289">
        <v>16.931000000000001</v>
      </c>
      <c r="S37" s="290">
        <f>B37/R37</f>
        <v>177843.30517984761</v>
      </c>
      <c r="T37" s="576"/>
      <c r="U37" s="290">
        <f>M37/R37</f>
        <v>71303.880455968334</v>
      </c>
      <c r="V37" s="576">
        <f>ROUND((C37/R37),0)</f>
        <v>188873</v>
      </c>
      <c r="W37" s="290">
        <f>N37/R37</f>
        <v>75726.123678459626</v>
      </c>
      <c r="X37" s="826"/>
    </row>
    <row r="38" spans="1:24" s="247" customFormat="1" ht="9.75" customHeight="1">
      <c r="B38" s="999">
        <f>(B37/84.81)*10</f>
        <v>355036.55229336163</v>
      </c>
      <c r="C38" s="999">
        <f>(C37/84.81)*10</f>
        <v>377055.88963565615</v>
      </c>
      <c r="D38" s="999">
        <f>(D37/84.81)*10</f>
        <v>48.461266360099046</v>
      </c>
      <c r="E38" s="999">
        <f>(E37/84.81)*10</f>
        <v>377104.35090201622</v>
      </c>
      <c r="F38" s="999">
        <f>(F37/84.81)*10</f>
        <v>269223.91227449593</v>
      </c>
      <c r="G38" s="999"/>
      <c r="H38" s="999">
        <f>(H37/84.81)*10</f>
        <v>85812.640018865699</v>
      </c>
      <c r="I38" s="999">
        <f>(I37/84.81)*10</f>
        <v>107880.43862752034</v>
      </c>
      <c r="J38" s="999"/>
      <c r="K38" s="999">
        <f>(K37/84.81)*10</f>
        <v>106237.82572809811</v>
      </c>
      <c r="L38" s="1000"/>
      <c r="M38" s="1000"/>
      <c r="N38" s="1000"/>
      <c r="O38" s="1000"/>
      <c r="P38" s="1000"/>
      <c r="Q38" s="1000"/>
      <c r="R38" s="1000"/>
      <c r="S38" s="999">
        <f>(S37/84.81)</f>
        <v>2096.9615043019407</v>
      </c>
      <c r="T38" s="1000"/>
      <c r="U38" s="1000"/>
      <c r="V38" s="999">
        <f>(V37/84.81)</f>
        <v>2227.0133239004836</v>
      </c>
      <c r="W38" s="1000"/>
      <c r="X38" s="828"/>
    </row>
    <row r="39" spans="1:24" s="347" customFormat="1" ht="10.5" customHeight="1">
      <c r="A39" s="354" t="s">
        <v>1944</v>
      </c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5"/>
      <c r="M39" s="575"/>
      <c r="N39" s="575"/>
      <c r="O39" s="575"/>
      <c r="P39" s="575"/>
      <c r="Q39" s="575"/>
      <c r="R39" s="575"/>
      <c r="S39" s="577"/>
      <c r="T39" s="575"/>
      <c r="U39" s="575"/>
      <c r="V39" s="577"/>
      <c r="W39" s="575"/>
      <c r="X39" s="826"/>
    </row>
    <row r="40" spans="1:24" s="404" customFormat="1" ht="9.75" customHeight="1">
      <c r="A40" s="525" t="s">
        <v>1163</v>
      </c>
      <c r="B40" s="573">
        <v>2075821</v>
      </c>
      <c r="C40" s="573">
        <v>2173075</v>
      </c>
      <c r="D40" s="573">
        <v>3249</v>
      </c>
      <c r="E40" s="573">
        <v>2176324</v>
      </c>
      <c r="F40" s="573">
        <v>1509739</v>
      </c>
      <c r="G40" s="250">
        <f>(F40/B40)*100</f>
        <v>72.729729586510601</v>
      </c>
      <c r="H40" s="573">
        <v>566082</v>
      </c>
      <c r="I40" s="573">
        <v>666585</v>
      </c>
      <c r="J40" s="250">
        <f>(I40/B40)*100</f>
        <v>32.111872844527539</v>
      </c>
      <c r="K40" s="573">
        <v>627723</v>
      </c>
      <c r="L40" s="250">
        <f>(K40/B40)*100</f>
        <v>30.239746105275938</v>
      </c>
      <c r="M40" s="1000" t="s">
        <v>1945</v>
      </c>
      <c r="N40" s="1000" t="s">
        <v>1946</v>
      </c>
      <c r="O40" s="1000" t="s">
        <v>292</v>
      </c>
      <c r="P40" s="1000" t="s">
        <v>292</v>
      </c>
      <c r="Q40" s="376">
        <f>(B40/M40)*100</f>
        <v>100</v>
      </c>
      <c r="R40" s="1000" t="s">
        <v>1947</v>
      </c>
      <c r="S40" s="573">
        <v>129828</v>
      </c>
      <c r="T40" s="1000"/>
      <c r="U40" s="376">
        <f>M40/R40</f>
        <v>129819.94996873045</v>
      </c>
      <c r="V40" s="573">
        <v>135911</v>
      </c>
      <c r="W40" s="376">
        <f>N40/R40</f>
        <v>135902.12632895561</v>
      </c>
      <c r="X40" s="1004"/>
    </row>
    <row r="41" spans="1:24" s="1006" customFormat="1" ht="9.75" customHeight="1">
      <c r="A41" s="320"/>
      <c r="B41" s="577">
        <f>(B40/78.27)*10</f>
        <v>265212.85294493422</v>
      </c>
      <c r="C41" s="577">
        <f>(C40/78.27)*10</f>
        <v>277638.30330905842</v>
      </c>
      <c r="D41" s="577">
        <f>(D40/78.27)*10</f>
        <v>415.10157148332695</v>
      </c>
      <c r="E41" s="577">
        <f>(E40/78.27)*10</f>
        <v>278053.40488054173</v>
      </c>
      <c r="F41" s="577">
        <f>(F40/78.27)*10</f>
        <v>192888.59077552066</v>
      </c>
      <c r="G41" s="577"/>
      <c r="H41" s="577">
        <f>(H40/78.27)*10</f>
        <v>72324.262169413574</v>
      </c>
      <c r="I41" s="577">
        <f>(I40/78.27)*10</f>
        <v>85164.814105021083</v>
      </c>
      <c r="J41" s="577"/>
      <c r="K41" s="577">
        <f>(K40/79.1)*10</f>
        <v>79358.154235145397</v>
      </c>
      <c r="L41" s="575"/>
      <c r="M41" s="575"/>
      <c r="N41" s="575"/>
      <c r="O41" s="575"/>
      <c r="P41" s="575"/>
      <c r="Q41" s="575"/>
      <c r="R41" s="575"/>
      <c r="S41" s="577">
        <f>S40/78.27</f>
        <v>1658.7198160214643</v>
      </c>
      <c r="T41" s="575"/>
      <c r="U41" s="575"/>
      <c r="V41" s="577">
        <f>V40/78.27</f>
        <v>1736.437971125591</v>
      </c>
      <c r="W41" s="575"/>
      <c r="X41" s="1005"/>
    </row>
    <row r="42" spans="1:24" s="404" customFormat="1" ht="9.75" customHeight="1">
      <c r="A42" s="247" t="s">
        <v>1187</v>
      </c>
      <c r="B42" s="573">
        <v>2324307</v>
      </c>
      <c r="C42" s="573">
        <v>2404557</v>
      </c>
      <c r="D42" s="573">
        <v>4416</v>
      </c>
      <c r="E42" s="573">
        <v>2408974</v>
      </c>
      <c r="F42" s="573">
        <v>1695216</v>
      </c>
      <c r="G42" s="250">
        <f>(F42/B42)*100</f>
        <v>72.934255242530355</v>
      </c>
      <c r="H42" s="573">
        <v>629091</v>
      </c>
      <c r="I42" s="573">
        <v>713758</v>
      </c>
      <c r="J42" s="250">
        <f>(I42/B42)*100</f>
        <v>30.70842190812143</v>
      </c>
      <c r="K42" s="573">
        <v>719300</v>
      </c>
      <c r="L42" s="250">
        <f>(K42/B42)*100</f>
        <v>30.946858569027242</v>
      </c>
      <c r="M42" s="1000" t="s">
        <v>1948</v>
      </c>
      <c r="N42" s="1000" t="s">
        <v>1949</v>
      </c>
      <c r="O42" s="1000" t="s">
        <v>1950</v>
      </c>
      <c r="P42" s="1000" t="s">
        <v>1951</v>
      </c>
      <c r="Q42" s="376">
        <f>(B42/M42)*100</f>
        <v>105.04758379534154</v>
      </c>
      <c r="R42" s="1000" t="s">
        <v>1952</v>
      </c>
      <c r="S42" s="573">
        <v>143698</v>
      </c>
      <c r="T42" s="1000"/>
      <c r="U42" s="376">
        <f>M42/R42</f>
        <v>136750.49443757726</v>
      </c>
      <c r="V42" s="573">
        <v>148659</v>
      </c>
      <c r="W42" s="376">
        <f>N42/R42</f>
        <v>141472.00247218789</v>
      </c>
      <c r="X42" s="1004"/>
    </row>
    <row r="43" spans="1:24" s="1006" customFormat="1" ht="9.75" customHeight="1">
      <c r="A43" s="320"/>
      <c r="B43" s="577">
        <f>(B42/79.12)*10</f>
        <v>293769.84327603638</v>
      </c>
      <c r="C43" s="577">
        <f>(C42/79.12)*10</f>
        <v>303912.66430738114</v>
      </c>
      <c r="D43" s="577">
        <f>(D42/79.12)*10</f>
        <v>558.1395348837209</v>
      </c>
      <c r="E43" s="577">
        <f>(E42/79.12)*10</f>
        <v>304470.93023255811</v>
      </c>
      <c r="F43" s="577">
        <f>(F42/79.12)*10</f>
        <v>214258.84732052579</v>
      </c>
      <c r="G43" s="577"/>
      <c r="H43" s="577">
        <f>(H42/79.12)*10</f>
        <v>79510.995955510618</v>
      </c>
      <c r="I43" s="577">
        <f>(I42/79.12)*10</f>
        <v>90212.082912032347</v>
      </c>
      <c r="J43" s="577"/>
      <c r="K43" s="577">
        <f>(K42/79.12)*10</f>
        <v>90912.537917087961</v>
      </c>
      <c r="L43" s="575"/>
      <c r="M43" s="575"/>
      <c r="N43" s="575"/>
      <c r="O43" s="575"/>
      <c r="P43" s="575"/>
      <c r="Q43" s="575"/>
      <c r="R43" s="575"/>
      <c r="S43" s="577">
        <f>S42/79.12</f>
        <v>1816.2032355915064</v>
      </c>
      <c r="T43" s="575"/>
      <c r="U43" s="575"/>
      <c r="V43" s="577">
        <f>V42/79.12</f>
        <v>1878.9054600606673</v>
      </c>
      <c r="W43" s="575"/>
      <c r="X43" s="1005"/>
    </row>
    <row r="44" spans="1:24" s="404" customFormat="1" ht="9.75" customHeight="1">
      <c r="A44" s="247" t="s">
        <v>1311</v>
      </c>
      <c r="B44" s="573">
        <v>2639248</v>
      </c>
      <c r="C44" s="573">
        <v>2744791</v>
      </c>
      <c r="D44" s="573">
        <v>4213</v>
      </c>
      <c r="E44" s="573">
        <v>2749004</v>
      </c>
      <c r="F44" s="573">
        <v>1941136</v>
      </c>
      <c r="G44" s="250">
        <f>(F44/B44)*100</f>
        <v>73.548829060399029</v>
      </c>
      <c r="H44" s="573">
        <v>698112</v>
      </c>
      <c r="I44" s="573">
        <v>807868</v>
      </c>
      <c r="J44" s="250">
        <f>(I44/B44)*100</f>
        <v>30.609779755445494</v>
      </c>
      <c r="K44" s="573">
        <v>839877</v>
      </c>
      <c r="L44" s="250">
        <f>(K44/B44)*100</f>
        <v>31.822587343061358</v>
      </c>
      <c r="M44" s="1000" t="s">
        <v>1953</v>
      </c>
      <c r="N44" s="1000" t="s">
        <v>1954</v>
      </c>
      <c r="O44" s="1000" t="s">
        <v>1955</v>
      </c>
      <c r="P44" s="1000" t="s">
        <v>1956</v>
      </c>
      <c r="Q44" s="376">
        <f>(B44/M44)*100</f>
        <v>111.14616769155225</v>
      </c>
      <c r="R44" s="1000" t="s">
        <v>1957</v>
      </c>
      <c r="S44" s="573">
        <v>161274</v>
      </c>
      <c r="T44" s="1000"/>
      <c r="U44" s="376">
        <f>M44/R44</f>
        <v>145056.4447159438</v>
      </c>
      <c r="V44" s="573">
        <v>167723</v>
      </c>
      <c r="W44" s="376">
        <f>N44/R44</f>
        <v>150857.23885155772</v>
      </c>
      <c r="X44" s="1004"/>
    </row>
    <row r="45" spans="1:24" s="1006" customFormat="1" ht="9.75" customHeight="1">
      <c r="A45" s="320"/>
      <c r="B45" s="577">
        <f>(B44/82.1)*10</f>
        <v>321467.47868453106</v>
      </c>
      <c r="C45" s="577">
        <f>(C44/82.1)*10</f>
        <v>334322.89890377596</v>
      </c>
      <c r="D45" s="577">
        <f>(D44/82.1)*10</f>
        <v>513.15468940316691</v>
      </c>
      <c r="E45" s="577">
        <f>(E44/82.1)*10</f>
        <v>334836.05359317909</v>
      </c>
      <c r="F45" s="577">
        <f>(F44/82.1)*10</f>
        <v>236435.56638246041</v>
      </c>
      <c r="G45" s="577"/>
      <c r="H45" s="577">
        <f>(H44/82.1)*10</f>
        <v>85031.912302070647</v>
      </c>
      <c r="I45" s="577">
        <f>(I44/82.1)*10</f>
        <v>98400.487210718638</v>
      </c>
      <c r="J45" s="577"/>
      <c r="K45" s="577">
        <f>(K44/82.1)*10</f>
        <v>102299.26918392206</v>
      </c>
      <c r="L45" s="575"/>
      <c r="M45" s="575"/>
      <c r="N45" s="575"/>
      <c r="O45" s="575"/>
      <c r="P45" s="575"/>
      <c r="Q45" s="575"/>
      <c r="R45" s="575"/>
      <c r="S45" s="577">
        <f>S44/82.1</f>
        <v>1964.3605359317905</v>
      </c>
      <c r="T45" s="575"/>
      <c r="U45" s="575"/>
      <c r="V45" s="577">
        <f>V44/82.1</f>
        <v>2042.9110840438491</v>
      </c>
      <c r="W45" s="575"/>
      <c r="X45" s="1005"/>
    </row>
    <row r="46" spans="1:24" s="404" customFormat="1" ht="9.75" customHeight="1">
      <c r="A46" s="378" t="s">
        <v>1420</v>
      </c>
      <c r="B46" s="573">
        <v>2951429</v>
      </c>
      <c r="C46" s="573">
        <v>3072324</v>
      </c>
      <c r="D46" s="573">
        <v>4655</v>
      </c>
      <c r="E46" s="573">
        <v>3076979</v>
      </c>
      <c r="F46" s="573">
        <v>2157955</v>
      </c>
      <c r="G46" s="250">
        <f>(F46/B46)*100</f>
        <v>73.115599257173386</v>
      </c>
      <c r="H46" s="573">
        <v>793474</v>
      </c>
      <c r="I46" s="573">
        <v>919023</v>
      </c>
      <c r="J46" s="250">
        <f>(I46/B46)*100</f>
        <v>31.138238460081542</v>
      </c>
      <c r="K46" s="573">
        <v>950765</v>
      </c>
      <c r="L46" s="250">
        <f>(K46/B46)*100</f>
        <v>32.213717490747698</v>
      </c>
      <c r="M46" s="1000" t="s">
        <v>1958</v>
      </c>
      <c r="N46" s="1000" t="s">
        <v>1959</v>
      </c>
      <c r="O46" s="1000" t="s">
        <v>1960</v>
      </c>
      <c r="P46" s="1000" t="s">
        <v>1961</v>
      </c>
      <c r="Q46" s="376">
        <f>(B46/M46)*100</f>
        <v>115.21206712947783</v>
      </c>
      <c r="R46" s="1000" t="s">
        <v>1962</v>
      </c>
      <c r="S46" s="573">
        <v>178280</v>
      </c>
      <c r="T46" s="1000"/>
      <c r="U46" s="376">
        <f>M46/R46</f>
        <v>154694.20289855075</v>
      </c>
      <c r="V46" s="573">
        <v>185583</v>
      </c>
      <c r="W46" s="376">
        <f>N46/R46</f>
        <v>161030.67632850242</v>
      </c>
      <c r="X46" s="1004"/>
    </row>
    <row r="47" spans="1:24" s="1006" customFormat="1" ht="9.75" customHeight="1">
      <c r="A47" s="320"/>
      <c r="B47" s="577">
        <f>(B46/84.03)*10</f>
        <v>351235.15411162679</v>
      </c>
      <c r="C47" s="577">
        <f>(C46/84.03)*10</f>
        <v>365622.27775794361</v>
      </c>
      <c r="D47" s="577">
        <f>(D46/84.03)*10</f>
        <v>553.96882065928833</v>
      </c>
      <c r="E47" s="577">
        <f>(E46/84.03)*10</f>
        <v>366176.24657860288</v>
      </c>
      <c r="F47" s="577">
        <f>(F46/84.03)*10</f>
        <v>256807.68773057239</v>
      </c>
      <c r="G47" s="577"/>
      <c r="H47" s="577">
        <f>(H46/84.03)*10</f>
        <v>94427.466381054386</v>
      </c>
      <c r="I47" s="577">
        <f>(I46/84.03)*10</f>
        <v>109368.43984291324</v>
      </c>
      <c r="J47" s="577"/>
      <c r="K47" s="577">
        <f>(K46/84.03)*10</f>
        <v>113145.90027371177</v>
      </c>
      <c r="L47" s="575"/>
      <c r="M47" s="575"/>
      <c r="N47" s="575"/>
      <c r="O47" s="575"/>
      <c r="P47" s="575"/>
      <c r="Q47" s="575"/>
      <c r="R47" s="575"/>
      <c r="S47" s="577">
        <f>S46/84.03</f>
        <v>2121.6232297988813</v>
      </c>
      <c r="T47" s="575"/>
      <c r="U47" s="575"/>
      <c r="V47" s="577">
        <f>V46/84.03</f>
        <v>2208.5326669046767</v>
      </c>
      <c r="W47" s="575"/>
      <c r="X47" s="1005"/>
    </row>
    <row r="48" spans="1:24" s="404" customFormat="1" ht="9.75" customHeight="1">
      <c r="A48" s="247" t="s">
        <v>1502</v>
      </c>
      <c r="B48" s="573">
        <v>3170469</v>
      </c>
      <c r="C48" s="573">
        <v>3301701</v>
      </c>
      <c r="D48" s="573">
        <v>6369</v>
      </c>
      <c r="E48" s="573">
        <v>3308071</v>
      </c>
      <c r="F48" s="573">
        <v>2311982</v>
      </c>
      <c r="G48" s="250">
        <f>(F48/B48)*100</f>
        <v>72.922397285701265</v>
      </c>
      <c r="H48" s="573">
        <v>858487</v>
      </c>
      <c r="I48" s="573">
        <v>996088</v>
      </c>
      <c r="J48" s="250">
        <f>(I48/B48)*100</f>
        <v>31.41768615305811</v>
      </c>
      <c r="K48" s="573">
        <v>992609</v>
      </c>
      <c r="L48" s="250">
        <f>(K48/B48)*100</f>
        <v>31.307954753697327</v>
      </c>
      <c r="M48" s="573">
        <v>2650065</v>
      </c>
      <c r="N48" s="573">
        <v>2759756</v>
      </c>
      <c r="O48" s="250">
        <v>7.42</v>
      </c>
      <c r="P48" s="573">
        <v>3.45</v>
      </c>
      <c r="Q48" s="376">
        <f>(B48/M48)*100</f>
        <v>119.63740512025176</v>
      </c>
      <c r="R48" s="573">
        <v>16.739999999999998</v>
      </c>
      <c r="S48" s="573">
        <v>189361</v>
      </c>
      <c r="T48" s="573"/>
      <c r="U48" s="376">
        <f>M48/R48</f>
        <v>158307.34767025092</v>
      </c>
      <c r="V48" s="573">
        <v>197199</v>
      </c>
      <c r="W48" s="376">
        <f>N48/R48</f>
        <v>164859.97610513741</v>
      </c>
      <c r="X48" s="1004"/>
    </row>
    <row r="49" spans="1:24" s="1006" customFormat="1" ht="9.75" customHeight="1">
      <c r="A49" s="320"/>
      <c r="B49" s="577">
        <f>(B48/84.78)*10</f>
        <v>373964.26043878275</v>
      </c>
      <c r="C49" s="577">
        <f>(C48/84.78)*10</f>
        <v>389443.38287331921</v>
      </c>
      <c r="D49" s="577">
        <f>(D48/84.78)*10</f>
        <v>751.23849964614294</v>
      </c>
      <c r="E49" s="577">
        <f>(E48/84.78)*10</f>
        <v>390194.73932531255</v>
      </c>
      <c r="F49" s="577">
        <f>(F48/84.78)*10</f>
        <v>272703.70370370371</v>
      </c>
      <c r="G49" s="577"/>
      <c r="H49" s="577">
        <f>(H48/84.78)*10</f>
        <v>101260.55673507902</v>
      </c>
      <c r="I49" s="577">
        <f>(I48/84.78)*10</f>
        <v>117490.91766926162</v>
      </c>
      <c r="J49" s="577"/>
      <c r="K49" s="577">
        <f>(K48/84.78)*10</f>
        <v>117080.56145317292</v>
      </c>
      <c r="L49" s="575"/>
      <c r="M49" s="575"/>
      <c r="N49" s="575"/>
      <c r="O49" s="575"/>
      <c r="P49" s="575"/>
      <c r="Q49" s="575"/>
      <c r="R49" s="575"/>
      <c r="S49" s="577">
        <f>(S48/84.78)</f>
        <v>2233.5574427931115</v>
      </c>
      <c r="T49" s="575"/>
      <c r="U49" s="575"/>
      <c r="V49" s="577">
        <f>(V48/84.78)</f>
        <v>2326.0084925690021</v>
      </c>
      <c r="W49" s="575"/>
      <c r="X49" s="1005"/>
    </row>
    <row r="50" spans="1:24" s="404" customFormat="1" ht="9.75" customHeight="1">
      <c r="A50" s="247" t="s">
        <v>1555</v>
      </c>
      <c r="B50" s="573">
        <v>3530185</v>
      </c>
      <c r="C50" s="573">
        <v>3715997</v>
      </c>
      <c r="D50" s="573">
        <v>6654</v>
      </c>
      <c r="E50" s="573">
        <v>3722650</v>
      </c>
      <c r="F50" s="573">
        <v>2635572</v>
      </c>
      <c r="G50" s="250">
        <f>(F50/B50)*100</f>
        <v>74.658183636268348</v>
      </c>
      <c r="H50" s="573">
        <v>894613</v>
      </c>
      <c r="I50" s="573">
        <v>1087078</v>
      </c>
      <c r="J50" s="250">
        <f>(I50/B50)*100</f>
        <v>30.793796925656871</v>
      </c>
      <c r="K50" s="573">
        <v>1095019</v>
      </c>
      <c r="L50" s="250">
        <f>(K50/B50)*100</f>
        <v>31.018742643799118</v>
      </c>
      <c r="M50" s="573">
        <v>2833944</v>
      </c>
      <c r="N50" s="573">
        <v>2983109</v>
      </c>
      <c r="O50" s="573">
        <v>11.35</v>
      </c>
      <c r="P50" s="573">
        <v>6.94</v>
      </c>
      <c r="Q50" s="376">
        <f>(B50/M50)*100</f>
        <v>124.56791665608071</v>
      </c>
      <c r="R50" s="250">
        <v>16.911000000000001</v>
      </c>
      <c r="S50" s="573">
        <v>208751</v>
      </c>
      <c r="T50" s="573"/>
      <c r="U50" s="376">
        <f>M50/R50</f>
        <v>167579.91839631009</v>
      </c>
      <c r="V50" s="376">
        <v>219738</v>
      </c>
      <c r="W50" s="376">
        <f>N50/R50</f>
        <v>176400.50854473418</v>
      </c>
      <c r="X50" s="1004"/>
    </row>
    <row r="51" spans="1:24" s="1006" customFormat="1" ht="9.75" customHeight="1">
      <c r="A51" s="320"/>
      <c r="B51" s="577">
        <f>(B50/84.81)*10</f>
        <v>416246.31529300788</v>
      </c>
      <c r="C51" s="577">
        <f t="shared" ref="C51:K55" si="0">(C50/84.81)*10</f>
        <v>438155.52411272255</v>
      </c>
      <c r="D51" s="577">
        <f t="shared" si="0"/>
        <v>784.57729041386631</v>
      </c>
      <c r="E51" s="577">
        <f t="shared" si="0"/>
        <v>438939.98349251272</v>
      </c>
      <c r="F51" s="577">
        <f t="shared" si="0"/>
        <v>310761.93845065439</v>
      </c>
      <c r="G51" s="577"/>
      <c r="H51" s="577">
        <f t="shared" si="0"/>
        <v>105484.37684235349</v>
      </c>
      <c r="I51" s="577">
        <f t="shared" si="0"/>
        <v>128178.04504185828</v>
      </c>
      <c r="J51" s="577"/>
      <c r="K51" s="577">
        <f t="shared" si="0"/>
        <v>129114.37330503479</v>
      </c>
      <c r="L51" s="575"/>
      <c r="M51" s="575"/>
      <c r="N51" s="575"/>
      <c r="O51" s="575"/>
      <c r="P51" s="575"/>
      <c r="Q51" s="575"/>
      <c r="R51" s="575"/>
      <c r="S51" s="577">
        <v>2462</v>
      </c>
      <c r="T51" s="575"/>
      <c r="U51" s="575"/>
      <c r="V51" s="577">
        <f>(V50/84.81)</f>
        <v>2590.9444640962151</v>
      </c>
      <c r="W51" s="575"/>
      <c r="X51" s="1005"/>
    </row>
    <row r="52" spans="1:24" s="1006" customFormat="1" ht="9.75" customHeight="1">
      <c r="A52" s="247" t="s">
        <v>1836</v>
      </c>
      <c r="B52" s="573">
        <v>3971716</v>
      </c>
      <c r="C52" s="573">
        <v>4129062</v>
      </c>
      <c r="D52" s="573">
        <v>6505</v>
      </c>
      <c r="E52" s="573">
        <v>4135567</v>
      </c>
      <c r="F52" s="573">
        <v>2969875</v>
      </c>
      <c r="G52" s="250">
        <f>(F52/B52)*100</f>
        <v>74.775613362083291</v>
      </c>
      <c r="H52" s="573">
        <v>1001841</v>
      </c>
      <c r="I52" s="573">
        <v>1165692</v>
      </c>
      <c r="J52" s="250">
        <f>(I52/B52)*100</f>
        <v>29.349832666786853</v>
      </c>
      <c r="K52" s="573">
        <v>1272827</v>
      </c>
      <c r="L52" s="250">
        <f>(K52/B52)*100</f>
        <v>32.047281326257973</v>
      </c>
      <c r="M52" s="573">
        <v>3035150</v>
      </c>
      <c r="N52" s="573">
        <v>3155392</v>
      </c>
      <c r="O52" s="573">
        <v>12.51</v>
      </c>
      <c r="P52" s="250">
        <v>7.1</v>
      </c>
      <c r="Q52" s="376">
        <f>(B52/M52)*100</f>
        <v>130.85732171391859</v>
      </c>
      <c r="R52" s="250">
        <v>17.13</v>
      </c>
      <c r="S52" s="573">
        <v>231861</v>
      </c>
      <c r="T52" s="573"/>
      <c r="U52" s="376">
        <f>M52/R52</f>
        <v>177183.30414477526</v>
      </c>
      <c r="V52" s="573">
        <v>241047</v>
      </c>
      <c r="W52" s="376">
        <f>N52/R52</f>
        <v>184202.68534734385</v>
      </c>
      <c r="X52" s="1005"/>
    </row>
    <row r="53" spans="1:24" s="1006" customFormat="1" ht="9.75" customHeight="1">
      <c r="A53" s="320"/>
      <c r="B53" s="577">
        <f>(B52/86.3)*10</f>
        <v>460222.01622247975</v>
      </c>
      <c r="C53" s="577">
        <f t="shared" ref="C53:I53" si="1">(C52/86.3)*10</f>
        <v>478454.46118192351</v>
      </c>
      <c r="D53" s="577">
        <f t="shared" si="1"/>
        <v>753.76593279258395</v>
      </c>
      <c r="E53" s="577">
        <f t="shared" si="1"/>
        <v>479208.22711471614</v>
      </c>
      <c r="F53" s="577">
        <f t="shared" si="1"/>
        <v>344133.83545770572</v>
      </c>
      <c r="G53" s="577"/>
      <c r="H53" s="577">
        <f t="shared" si="1"/>
        <v>116088.18076477404</v>
      </c>
      <c r="I53" s="577">
        <f t="shared" si="1"/>
        <v>135074.39165701045</v>
      </c>
      <c r="J53" s="577"/>
      <c r="K53" s="577">
        <f t="shared" si="0"/>
        <v>150079.82549227684</v>
      </c>
      <c r="L53" s="575"/>
      <c r="M53" s="575"/>
      <c r="N53" s="575"/>
      <c r="O53" s="575"/>
      <c r="P53" s="575"/>
      <c r="Q53" s="575"/>
      <c r="R53" s="575"/>
      <c r="S53" s="577">
        <v>2687</v>
      </c>
      <c r="T53" s="575"/>
      <c r="U53" s="575"/>
      <c r="V53" s="577">
        <f>(V52/86.3)</f>
        <v>2793.1286210892235</v>
      </c>
      <c r="W53" s="575"/>
      <c r="X53" s="1005"/>
    </row>
    <row r="54" spans="1:24" s="1006" customFormat="1" ht="9.75" customHeight="1">
      <c r="A54" s="247" t="s">
        <v>2088</v>
      </c>
      <c r="B54" s="573">
        <v>4490842</v>
      </c>
      <c r="C54" s="573">
        <v>4670080</v>
      </c>
      <c r="D54" s="573">
        <v>8743</v>
      </c>
      <c r="E54" s="573">
        <v>4678823</v>
      </c>
      <c r="F54" s="573">
        <v>3334023</v>
      </c>
      <c r="G54" s="250">
        <f>(F54/B54)*100</f>
        <v>74.2404876412931</v>
      </c>
      <c r="H54" s="573">
        <v>1156819</v>
      </c>
      <c r="I54" s="573">
        <v>1344801</v>
      </c>
      <c r="J54" s="250">
        <f>(I54/B54)*100</f>
        <v>29.945408901047955</v>
      </c>
      <c r="K54" s="573">
        <v>1389969</v>
      </c>
      <c r="L54" s="250">
        <f>(K54/B54)*100</f>
        <v>30.951189108857534</v>
      </c>
      <c r="M54" s="573">
        <v>3210433</v>
      </c>
      <c r="N54" s="573">
        <v>3338568</v>
      </c>
      <c r="O54" s="573">
        <v>13.07</v>
      </c>
      <c r="P54" s="250">
        <v>5.78</v>
      </c>
      <c r="Q54" s="376">
        <f>(B54/M54)*100</f>
        <v>139.88275101832056</v>
      </c>
      <c r="R54" s="250">
        <v>17.079999999999998</v>
      </c>
      <c r="S54" s="573">
        <v>262868</v>
      </c>
      <c r="T54" s="573"/>
      <c r="U54" s="376">
        <f>M54/R54</f>
        <v>187964.46135831383</v>
      </c>
      <c r="V54" s="573">
        <v>273360</v>
      </c>
      <c r="W54" s="376">
        <f>N54/R54</f>
        <v>195466.51053864171</v>
      </c>
      <c r="X54" s="1005"/>
    </row>
    <row r="55" spans="1:24" s="1006" customFormat="1" ht="9.75" customHeight="1">
      <c r="A55" s="320"/>
      <c r="B55" s="577">
        <f>(B54/99.46)*10</f>
        <v>451522.42107379856</v>
      </c>
      <c r="C55" s="577">
        <f t="shared" ref="C55:I55" si="2">(C54/99.46)*10</f>
        <v>469543.53508948325</v>
      </c>
      <c r="D55" s="577">
        <f t="shared" si="2"/>
        <v>879.04685300623373</v>
      </c>
      <c r="E55" s="577">
        <f t="shared" si="2"/>
        <v>470422.58194248949</v>
      </c>
      <c r="F55" s="577">
        <f t="shared" si="2"/>
        <v>335212.44721496076</v>
      </c>
      <c r="G55" s="577"/>
      <c r="H55" s="577">
        <f t="shared" si="2"/>
        <v>116309.97385883774</v>
      </c>
      <c r="I55" s="577">
        <f t="shared" si="2"/>
        <v>135210.23527046049</v>
      </c>
      <c r="J55" s="577"/>
      <c r="K55" s="577">
        <f t="shared" si="0"/>
        <v>163892.11177927128</v>
      </c>
      <c r="L55" s="575"/>
      <c r="M55" s="575"/>
      <c r="N55" s="575"/>
      <c r="O55" s="575"/>
      <c r="P55" s="575"/>
      <c r="Q55" s="575"/>
      <c r="R55" s="575"/>
      <c r="S55" s="577">
        <v>2643</v>
      </c>
      <c r="T55" s="575"/>
      <c r="U55" s="575"/>
      <c r="V55" s="577">
        <v>2749</v>
      </c>
      <c r="W55" s="575"/>
      <c r="X55" s="1005"/>
    </row>
    <row r="56" spans="1:24" s="1006" customFormat="1" ht="9.75" customHeight="1">
      <c r="A56" s="247" t="s">
        <v>2228</v>
      </c>
      <c r="B56" s="573">
        <v>5002654</v>
      </c>
      <c r="C56" s="573">
        <v>5218081</v>
      </c>
      <c r="D56" s="573">
        <v>7632</v>
      </c>
      <c r="E56" s="573">
        <v>5225713</v>
      </c>
      <c r="F56" s="573">
        <v>3804159</v>
      </c>
      <c r="G56" s="250">
        <f>(F56/B56)*100</f>
        <v>76.042816473016131</v>
      </c>
      <c r="H56" s="573">
        <v>1198495</v>
      </c>
      <c r="I56" s="573">
        <v>1421554</v>
      </c>
      <c r="J56" s="250">
        <f>(I56/B56)*100</f>
        <v>28.415996788904451</v>
      </c>
      <c r="K56" s="573">
        <v>1535839</v>
      </c>
      <c r="L56" s="250">
        <f>(K56/B56)*100</f>
        <v>30.700484182995663</v>
      </c>
      <c r="M56" s="573">
        <v>3346018</v>
      </c>
      <c r="N56" s="573">
        <v>3490106</v>
      </c>
      <c r="O56" s="250">
        <v>11.4</v>
      </c>
      <c r="P56" s="250">
        <v>4.22</v>
      </c>
      <c r="Q56" s="376">
        <f>(B56/M56)*100</f>
        <v>149.51067208843466</v>
      </c>
      <c r="R56" s="250">
        <v>17.158999999999999</v>
      </c>
      <c r="S56" s="573">
        <v>291547</v>
      </c>
      <c r="T56" s="573"/>
      <c r="U56" s="376">
        <f>M56/R56</f>
        <v>195000.75761990793</v>
      </c>
      <c r="V56" s="573">
        <v>304102</v>
      </c>
      <c r="W56" s="376">
        <f>N56/R56</f>
        <v>203397.98356547585</v>
      </c>
      <c r="X56" s="1005"/>
    </row>
    <row r="57" spans="1:24" s="1006" customFormat="1" ht="9.75" customHeight="1">
      <c r="A57" s="320"/>
      <c r="B57" s="577">
        <f>(B56/111.06)*10</f>
        <v>450446.06518998742</v>
      </c>
      <c r="C57" s="577">
        <f t="shared" ref="C57:K57" si="3">(C56/111.06)*10</f>
        <v>469843.4179722672</v>
      </c>
      <c r="D57" s="577">
        <f t="shared" si="3"/>
        <v>687.19611021069693</v>
      </c>
      <c r="E57" s="577">
        <f t="shared" si="3"/>
        <v>470530.61408247793</v>
      </c>
      <c r="F57" s="577">
        <f t="shared" si="3"/>
        <v>342531.87466234469</v>
      </c>
      <c r="G57" s="577"/>
      <c r="H57" s="577">
        <f t="shared" si="3"/>
        <v>107914.19052764271</v>
      </c>
      <c r="I57" s="577">
        <f t="shared" si="3"/>
        <v>127998.73942013326</v>
      </c>
      <c r="J57" s="577"/>
      <c r="K57" s="577">
        <f t="shared" si="3"/>
        <v>138289.12299657843</v>
      </c>
      <c r="L57" s="575"/>
      <c r="M57" s="575"/>
      <c r="N57" s="575"/>
      <c r="O57" s="575"/>
      <c r="P57" s="575"/>
      <c r="Q57" s="575"/>
      <c r="R57" s="575"/>
      <c r="S57" s="577">
        <v>2675</v>
      </c>
      <c r="T57" s="575"/>
      <c r="U57" s="575"/>
      <c r="V57" s="577">
        <v>2738</v>
      </c>
      <c r="W57" s="575"/>
      <c r="X57" s="1005"/>
    </row>
    <row r="58" spans="1:24" s="1006" customFormat="1" ht="11.25" customHeight="1">
      <c r="A58" s="247" t="s">
        <v>2501</v>
      </c>
      <c r="B58" s="573">
        <v>5515026</v>
      </c>
      <c r="C58" s="573">
        <v>5817835</v>
      </c>
      <c r="D58" s="573">
        <v>11049</v>
      </c>
      <c r="E58" s="573">
        <v>5828884</v>
      </c>
      <c r="F58" s="573">
        <v>4302924</v>
      </c>
      <c r="G58" s="250">
        <f>(F58/B58)*100</f>
        <v>78.021826189033376</v>
      </c>
      <c r="H58" s="573">
        <v>1212102</v>
      </c>
      <c r="I58" s="573">
        <v>1525960</v>
      </c>
      <c r="J58" s="250">
        <f>(I58/B58)*100</f>
        <v>27.669135195373514</v>
      </c>
      <c r="K58" s="573">
        <v>1574049</v>
      </c>
      <c r="L58" s="250">
        <f>(K58/B58)*100</f>
        <v>28.541098446317388</v>
      </c>
      <c r="M58" s="573">
        <v>3462791</v>
      </c>
      <c r="N58" s="573">
        <v>3652919</v>
      </c>
      <c r="O58" s="250">
        <v>10.24</v>
      </c>
      <c r="P58" s="250">
        <v>3.49</v>
      </c>
      <c r="Q58" s="376">
        <f>(B58/M58)*100</f>
        <v>159.26534405339507</v>
      </c>
      <c r="R58" s="250">
        <v>17.391999999999999</v>
      </c>
      <c r="S58" s="573">
        <v>31710</v>
      </c>
      <c r="T58" s="573"/>
      <c r="U58" s="376">
        <f>M58/R58</f>
        <v>199102.51839926402</v>
      </c>
      <c r="V58" s="573">
        <v>33451</v>
      </c>
      <c r="W58" s="376">
        <f>N58/R58</f>
        <v>210034.44112235511</v>
      </c>
      <c r="X58" s="1005"/>
    </row>
    <row r="59" spans="1:24" s="1006" customFormat="1" ht="9.75" customHeight="1" thickBot="1">
      <c r="A59" s="829"/>
      <c r="B59" s="578">
        <f>(B58/120.29)*10</f>
        <v>458477.51267769554</v>
      </c>
      <c r="C59" s="578">
        <f t="shared" ref="C59:F59" si="4">(C58/120.29)*10</f>
        <v>483650.76066173409</v>
      </c>
      <c r="D59" s="578">
        <f t="shared" si="4"/>
        <v>918.53021863829076</v>
      </c>
      <c r="E59" s="578">
        <f t="shared" si="4"/>
        <v>484569.2908803724</v>
      </c>
      <c r="F59" s="578">
        <f t="shared" si="4"/>
        <v>357712.52805719507</v>
      </c>
      <c r="G59" s="578"/>
      <c r="H59" s="578">
        <f t="shared" ref="H59:I59" si="5">(H58/120.29)*10</f>
        <v>100764.98462050046</v>
      </c>
      <c r="I59" s="578">
        <f t="shared" si="5"/>
        <v>126856.76282317733</v>
      </c>
      <c r="J59" s="578"/>
      <c r="K59" s="578">
        <f t="shared" ref="K59" si="6">(K58/120.29)*10</f>
        <v>130854.51824756837</v>
      </c>
      <c r="L59" s="579"/>
      <c r="M59" s="579"/>
      <c r="N59" s="579"/>
      <c r="O59" s="579"/>
      <c r="P59" s="579"/>
      <c r="Q59" s="579"/>
      <c r="R59" s="579"/>
      <c r="S59" s="578">
        <v>2625</v>
      </c>
      <c r="T59" s="579"/>
      <c r="U59" s="579"/>
      <c r="V59" s="578">
        <v>2769</v>
      </c>
      <c r="W59" s="579"/>
      <c r="X59" s="1005"/>
    </row>
    <row r="60" spans="1:24" ht="12" customHeight="1">
      <c r="A60" s="2385" t="s">
        <v>1296</v>
      </c>
      <c r="B60" s="2385"/>
      <c r="C60" s="2385"/>
      <c r="D60" s="2385"/>
      <c r="E60" s="2385"/>
      <c r="F60" s="2385"/>
      <c r="G60" s="9"/>
      <c r="I60" s="47" t="s">
        <v>1559</v>
      </c>
      <c r="J60" s="47"/>
      <c r="K60" s="47"/>
      <c r="L60" s="2386" t="s">
        <v>1226</v>
      </c>
      <c r="M60" s="2386"/>
      <c r="N60" s="2386"/>
      <c r="O60" s="2386"/>
      <c r="P60" s="1357"/>
      <c r="Q60" s="2387" t="s">
        <v>1963</v>
      </c>
      <c r="R60" s="2387"/>
      <c r="S60" s="1357"/>
      <c r="T60" s="47"/>
      <c r="U60" s="30"/>
      <c r="V60" s="13"/>
      <c r="W60" s="47"/>
      <c r="X60" s="49"/>
    </row>
    <row r="61" spans="1:24" ht="9.75" customHeight="1">
      <c r="A61" s="2388"/>
      <c r="B61" s="2388"/>
      <c r="C61" s="2388"/>
      <c r="D61" s="2388"/>
      <c r="E61" s="2389"/>
      <c r="F61" s="2354"/>
      <c r="G61" s="2354"/>
      <c r="H61" s="742"/>
      <c r="I61" s="47"/>
      <c r="J61" s="47"/>
      <c r="K61" s="47"/>
      <c r="L61" s="2390"/>
      <c r="M61" s="2390"/>
      <c r="N61" s="2390"/>
      <c r="O61" s="47"/>
      <c r="P61" s="47"/>
      <c r="Q61" s="47"/>
      <c r="R61" s="47"/>
      <c r="S61" s="28"/>
      <c r="T61" s="47"/>
      <c r="U61" s="47"/>
      <c r="V61" s="47"/>
      <c r="W61" s="47"/>
      <c r="X61" s="49"/>
    </row>
    <row r="64" spans="1:24">
      <c r="M64" s="49"/>
    </row>
    <row r="65" spans="13:18">
      <c r="M65" s="49"/>
      <c r="P65" s="49"/>
      <c r="Q65" s="49"/>
      <c r="R65" s="49"/>
    </row>
    <row r="66" spans="13:18">
      <c r="M66" s="49"/>
      <c r="N66" s="49"/>
    </row>
    <row r="67" spans="13:18">
      <c r="M67" s="49"/>
    </row>
    <row r="68" spans="13:18">
      <c r="M68" s="49"/>
      <c r="N68" s="49"/>
    </row>
    <row r="69" spans="13:18">
      <c r="M69" s="49"/>
    </row>
    <row r="70" spans="13:18">
      <c r="M70" s="49"/>
      <c r="N70" s="49"/>
    </row>
    <row r="71" spans="13:18">
      <c r="M71" s="49"/>
      <c r="N71" s="49"/>
    </row>
    <row r="72" spans="13:18">
      <c r="M72" s="49"/>
      <c r="N72" s="49"/>
    </row>
    <row r="73" spans="13:18">
      <c r="M73" s="49"/>
      <c r="N73" s="49"/>
    </row>
    <row r="74" spans="13:18">
      <c r="M74" s="49"/>
      <c r="N74" s="49"/>
    </row>
    <row r="75" spans="13:18">
      <c r="N75" s="49"/>
    </row>
    <row r="76" spans="13:18">
      <c r="N76" s="49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60:F60"/>
    <mergeCell ref="L60:O60"/>
    <mergeCell ref="Q60:R60"/>
    <mergeCell ref="A61:E61"/>
    <mergeCell ref="F61:G61"/>
    <mergeCell ref="L61:N6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8"/>
  <sheetViews>
    <sheetView zoomScale="140" zoomScaleNormal="140" workbookViewId="0">
      <pane xSplit="1" ySplit="3" topLeftCell="B40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D56" sqref="D56"/>
    </sheetView>
  </sheetViews>
  <sheetFormatPr defaultColWidth="9.140625" defaultRowHeight="12.75"/>
  <cols>
    <col min="1" max="1" width="10.140625" style="2" customWidth="1"/>
    <col min="2" max="3" width="15.7109375" style="91" customWidth="1"/>
    <col min="4" max="4" width="17.42578125" style="91" customWidth="1"/>
    <col min="5" max="5" width="15.42578125" style="91" customWidth="1"/>
    <col min="6" max="6" width="13.28515625" style="1396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406" t="s">
        <v>2455</v>
      </c>
      <c r="B1" s="2407"/>
      <c r="C1" s="2407"/>
      <c r="D1" s="2407"/>
      <c r="E1" s="2407"/>
      <c r="F1" s="2408" t="s">
        <v>1337</v>
      </c>
      <c r="G1" s="2409"/>
      <c r="H1" s="2409"/>
      <c r="I1" s="2409"/>
      <c r="J1" s="1905" t="s">
        <v>269</v>
      </c>
    </row>
    <row r="2" spans="1:10" s="5" customFormat="1" ht="11.1" customHeight="1">
      <c r="A2" s="1544"/>
      <c r="B2" s="1544"/>
      <c r="C2" s="1544"/>
      <c r="D2" s="1544"/>
      <c r="F2" s="1392"/>
      <c r="G2" s="66"/>
      <c r="H2" s="86"/>
      <c r="I2" s="86"/>
      <c r="J2" s="92"/>
    </row>
    <row r="3" spans="1:10" s="103" customFormat="1" ht="26.45" customHeight="1">
      <c r="A3" s="1254" t="s">
        <v>922</v>
      </c>
      <c r="B3" s="665" t="s">
        <v>1322</v>
      </c>
      <c r="C3" s="1896" t="s">
        <v>1359</v>
      </c>
      <c r="D3" s="1896" t="s">
        <v>1323</v>
      </c>
      <c r="E3" s="1896" t="s">
        <v>1325</v>
      </c>
      <c r="F3" s="1393" t="s">
        <v>923</v>
      </c>
      <c r="G3" s="1896" t="s">
        <v>996</v>
      </c>
      <c r="H3" s="1896" t="s">
        <v>1324</v>
      </c>
      <c r="I3" s="1254" t="s">
        <v>1323</v>
      </c>
      <c r="J3" s="1254" t="s">
        <v>1326</v>
      </c>
    </row>
    <row r="4" spans="1:10" s="543" customFormat="1" ht="12" customHeight="1">
      <c r="A4" s="392" t="s">
        <v>705</v>
      </c>
      <c r="B4" s="289">
        <v>4572.88</v>
      </c>
      <c r="C4" s="289">
        <v>117145.07</v>
      </c>
      <c r="D4" s="289">
        <v>38410.899999999994</v>
      </c>
      <c r="E4" s="288">
        <v>279</v>
      </c>
      <c r="F4" s="788">
        <v>46082</v>
      </c>
      <c r="G4" s="294">
        <v>546.16999999999996</v>
      </c>
      <c r="H4" s="875">
        <v>775.57</v>
      </c>
      <c r="I4" s="294">
        <v>103258.2</v>
      </c>
      <c r="J4" s="288">
        <v>412</v>
      </c>
    </row>
    <row r="5" spans="1:10" s="620" customFormat="1" ht="12" customHeight="1">
      <c r="A5" s="1900" t="s">
        <v>814</v>
      </c>
      <c r="B5" s="250">
        <v>4385.7700000000004</v>
      </c>
      <c r="C5" s="250">
        <v>85716.56</v>
      </c>
      <c r="D5" s="250">
        <v>43407.3</v>
      </c>
      <c r="E5" s="249">
        <v>296</v>
      </c>
      <c r="F5" s="1403">
        <v>46083</v>
      </c>
      <c r="G5" s="330">
        <v>553.4</v>
      </c>
      <c r="H5" s="357">
        <v>779.96</v>
      </c>
      <c r="I5" s="330">
        <v>103258.2</v>
      </c>
      <c r="J5" s="249">
        <v>412</v>
      </c>
    </row>
    <row r="6" spans="1:10" s="70" customFormat="1" ht="12" customHeight="1">
      <c r="A6" s="306" t="s">
        <v>991</v>
      </c>
      <c r="B6" s="294">
        <v>4480.5200000000004</v>
      </c>
      <c r="C6" s="294">
        <v>112539.85800000001</v>
      </c>
      <c r="D6" s="294">
        <v>48255.5</v>
      </c>
      <c r="E6" s="292">
        <v>307</v>
      </c>
      <c r="F6" s="788">
        <v>46056</v>
      </c>
      <c r="G6" s="1463">
        <v>532.51</v>
      </c>
      <c r="H6" s="371">
        <v>885.12</v>
      </c>
      <c r="I6" s="1463">
        <v>103258.2</v>
      </c>
      <c r="J6" s="288">
        <v>412</v>
      </c>
    </row>
    <row r="7" spans="1:10" s="469" customFormat="1" ht="12" customHeight="1">
      <c r="A7" s="1900" t="s">
        <v>1042</v>
      </c>
      <c r="B7" s="250">
        <v>4583.1099999999997</v>
      </c>
      <c r="C7" s="250">
        <v>112351.91100000001</v>
      </c>
      <c r="D7" s="250">
        <v>54300.800000000003</v>
      </c>
      <c r="E7" s="249">
        <v>326</v>
      </c>
      <c r="F7" s="1403">
        <v>46085</v>
      </c>
      <c r="G7" s="330">
        <v>532.29999999999995</v>
      </c>
      <c r="H7" s="357">
        <v>582.38</v>
      </c>
      <c r="I7" s="330">
        <v>103258.2</v>
      </c>
      <c r="J7" s="249">
        <v>412</v>
      </c>
    </row>
    <row r="8" spans="1:10" s="70" customFormat="1" ht="12" customHeight="1">
      <c r="A8" s="392" t="s">
        <v>1163</v>
      </c>
      <c r="B8" s="289">
        <v>4507.58</v>
      </c>
      <c r="C8" s="289">
        <v>107246.07099999998</v>
      </c>
      <c r="D8" s="289">
        <v>57846.400000000001</v>
      </c>
      <c r="E8" s="288">
        <v>330</v>
      </c>
      <c r="F8" s="788">
        <v>46086</v>
      </c>
      <c r="G8" s="1463">
        <v>524.1</v>
      </c>
      <c r="H8" s="371">
        <v>459.42</v>
      </c>
      <c r="I8" s="1463">
        <v>103258.2</v>
      </c>
      <c r="J8" s="288">
        <v>412</v>
      </c>
    </row>
    <row r="9" spans="1:10" s="469" customFormat="1" ht="12" customHeight="1">
      <c r="A9" s="1900" t="s">
        <v>1187</v>
      </c>
      <c r="B9" s="250">
        <v>5656.05</v>
      </c>
      <c r="C9" s="250">
        <v>180522.2</v>
      </c>
      <c r="D9" s="250">
        <v>61656.5</v>
      </c>
      <c r="E9" s="249">
        <v>334</v>
      </c>
      <c r="F9" s="1403">
        <v>46089</v>
      </c>
      <c r="G9" s="330">
        <v>500.9</v>
      </c>
      <c r="H9" s="357">
        <v>531.88</v>
      </c>
      <c r="I9" s="330">
        <v>103258.2</v>
      </c>
      <c r="J9" s="249">
        <v>412</v>
      </c>
    </row>
    <row r="10" spans="1:10" s="469" customFormat="1" ht="12" customHeight="1">
      <c r="A10" s="392" t="s">
        <v>1311</v>
      </c>
      <c r="B10" s="289">
        <v>5405.46</v>
      </c>
      <c r="C10" s="289">
        <v>159085.19200000001</v>
      </c>
      <c r="D10" s="289">
        <v>67071.899999999994</v>
      </c>
      <c r="E10" s="288">
        <v>343</v>
      </c>
      <c r="F10" s="788">
        <v>46090</v>
      </c>
      <c r="G10" s="1463">
        <v>514.14</v>
      </c>
      <c r="H10" s="371">
        <v>416.05</v>
      </c>
      <c r="I10" s="1463">
        <v>103258.2</v>
      </c>
      <c r="J10" s="288">
        <v>412</v>
      </c>
    </row>
    <row r="11" spans="1:10" s="469" customFormat="1" ht="12" customHeight="1">
      <c r="A11" s="1900" t="s">
        <v>1420</v>
      </c>
      <c r="B11" s="250">
        <v>5421.62</v>
      </c>
      <c r="C11" s="250">
        <v>145965.53900000002</v>
      </c>
      <c r="D11" s="250">
        <v>71962.899999999994</v>
      </c>
      <c r="E11" s="249">
        <v>355</v>
      </c>
      <c r="F11" s="1403">
        <v>46091</v>
      </c>
      <c r="G11" s="330">
        <v>529</v>
      </c>
      <c r="H11" s="357">
        <v>593.73</v>
      </c>
      <c r="I11" s="330">
        <v>103258.2</v>
      </c>
      <c r="J11" s="249">
        <v>412</v>
      </c>
    </row>
    <row r="12" spans="1:10" s="469" customFormat="1" ht="12" customHeight="1">
      <c r="A12" s="563" t="s">
        <v>1502</v>
      </c>
      <c r="B12" s="289">
        <v>3989.09</v>
      </c>
      <c r="C12" s="289">
        <v>78042.763000000006</v>
      </c>
      <c r="D12" s="289">
        <v>75486.8</v>
      </c>
      <c r="E12" s="288">
        <v>362</v>
      </c>
      <c r="F12" s="788">
        <v>46092</v>
      </c>
      <c r="G12" s="1463">
        <v>529.22</v>
      </c>
      <c r="H12" s="371">
        <v>523.6</v>
      </c>
      <c r="I12" s="1463">
        <v>103258.2</v>
      </c>
      <c r="J12" s="288">
        <v>412</v>
      </c>
    </row>
    <row r="13" spans="1:10" s="469" customFormat="1" ht="12" customHeight="1">
      <c r="A13" s="523" t="s">
        <v>1555</v>
      </c>
      <c r="B13" s="250">
        <v>6150.48</v>
      </c>
      <c r="C13" s="250">
        <v>254697.05800000005</v>
      </c>
      <c r="D13" s="250">
        <v>85204.7</v>
      </c>
      <c r="E13" s="249">
        <v>382</v>
      </c>
      <c r="F13" s="1403">
        <v>46093</v>
      </c>
      <c r="G13" s="330">
        <v>536.84</v>
      </c>
      <c r="H13" s="357">
        <v>591.57000000000005</v>
      </c>
      <c r="I13" s="330">
        <v>103258.2</v>
      </c>
      <c r="J13" s="249">
        <v>412</v>
      </c>
    </row>
    <row r="14" spans="1:10" s="469" customFormat="1" ht="12" customHeight="1">
      <c r="A14" s="563" t="s">
        <v>1836</v>
      </c>
      <c r="B14" s="289">
        <v>6376.94</v>
      </c>
      <c r="C14" s="289">
        <v>318607.01500000001</v>
      </c>
      <c r="D14" s="289">
        <v>92764.687000000005</v>
      </c>
      <c r="E14" s="288">
        <v>395</v>
      </c>
      <c r="F14" s="788">
        <v>46096</v>
      </c>
      <c r="G14" s="1463">
        <v>531.91</v>
      </c>
      <c r="H14" s="875">
        <v>523.54</v>
      </c>
      <c r="I14" s="1463">
        <v>103258.2</v>
      </c>
      <c r="J14" s="288">
        <v>412</v>
      </c>
    </row>
    <row r="15" spans="1:10" s="469" customFormat="1" ht="12" customHeight="1">
      <c r="A15" s="548" t="s">
        <v>2088</v>
      </c>
      <c r="B15" s="339">
        <v>6344.09</v>
      </c>
      <c r="C15" s="339">
        <v>191087.26499999996</v>
      </c>
      <c r="D15" s="339">
        <v>96843.1</v>
      </c>
      <c r="E15" s="481">
        <v>403</v>
      </c>
      <c r="F15" s="1403">
        <v>46097</v>
      </c>
      <c r="G15" s="330">
        <v>535.39</v>
      </c>
      <c r="H15" s="526">
        <v>460.31</v>
      </c>
      <c r="I15" s="330">
        <v>103258.2</v>
      </c>
      <c r="J15" s="249">
        <v>412</v>
      </c>
    </row>
    <row r="16" spans="1:10" s="469" customFormat="1" ht="12" customHeight="1">
      <c r="A16" s="598" t="s">
        <v>2228</v>
      </c>
      <c r="B16" s="332">
        <f>B28</f>
        <v>5328.4</v>
      </c>
      <c r="C16" s="332">
        <f>SUM(C17:C28)</f>
        <v>149992.62400000001</v>
      </c>
      <c r="D16" s="332">
        <f>D28</f>
        <v>106586.40000000001</v>
      </c>
      <c r="E16" s="522">
        <f>E28</f>
        <v>427</v>
      </c>
      <c r="F16" s="788">
        <v>46105</v>
      </c>
      <c r="G16" s="1463">
        <v>528.5</v>
      </c>
      <c r="H16" s="875">
        <v>492.48</v>
      </c>
      <c r="I16" s="1463">
        <v>103258.2</v>
      </c>
      <c r="J16" s="288">
        <v>412</v>
      </c>
    </row>
    <row r="17" spans="1:10" s="469" customFormat="1" ht="12" customHeight="1">
      <c r="A17" s="523" t="s">
        <v>559</v>
      </c>
      <c r="B17" s="250">
        <v>6324.81</v>
      </c>
      <c r="C17" s="250">
        <v>17127.598000000002</v>
      </c>
      <c r="D17" s="250">
        <v>97106</v>
      </c>
      <c r="E17" s="249">
        <f>392+11</f>
        <v>403</v>
      </c>
      <c r="F17" s="1403">
        <v>46106</v>
      </c>
      <c r="G17" s="27">
        <v>531.62</v>
      </c>
      <c r="H17" s="205">
        <v>603.80999999999995</v>
      </c>
      <c r="I17" s="27">
        <v>103258.2</v>
      </c>
      <c r="J17" s="26">
        <v>412</v>
      </c>
    </row>
    <row r="18" spans="1:10" s="469" customFormat="1" ht="12" customHeight="1">
      <c r="A18" s="563" t="s">
        <v>560</v>
      </c>
      <c r="B18" s="289">
        <v>6299.5</v>
      </c>
      <c r="C18" s="289">
        <v>9652.4330000000009</v>
      </c>
      <c r="D18" s="289">
        <f>97241.5+4471</f>
        <v>101712.5</v>
      </c>
      <c r="E18" s="288">
        <f>403+11</f>
        <v>414</v>
      </c>
      <c r="F18" s="788">
        <v>46110</v>
      </c>
      <c r="G18" s="1463">
        <v>527.21</v>
      </c>
      <c r="H18" s="875">
        <v>646.41999999999996</v>
      </c>
      <c r="I18" s="1463">
        <v>103258.2</v>
      </c>
      <c r="J18" s="288">
        <v>412</v>
      </c>
    </row>
    <row r="19" spans="1:10" s="469" customFormat="1" ht="12" customHeight="1">
      <c r="A19" s="523" t="s">
        <v>554</v>
      </c>
      <c r="B19" s="250">
        <v>6284.63</v>
      </c>
      <c r="C19" s="250">
        <v>11306.359</v>
      </c>
      <c r="D19" s="250">
        <f>97277.5+4471</f>
        <v>101748.5</v>
      </c>
      <c r="E19" s="249">
        <f>403+11</f>
        <v>414</v>
      </c>
      <c r="F19" s="1403">
        <v>46111</v>
      </c>
      <c r="G19" s="27">
        <v>523.07000000000005</v>
      </c>
      <c r="H19" s="205">
        <v>663.87</v>
      </c>
      <c r="I19" s="27">
        <v>103258.2</v>
      </c>
      <c r="J19" s="26">
        <v>412</v>
      </c>
    </row>
    <row r="20" spans="1:10" s="469" customFormat="1" ht="12" customHeight="1" thickBot="1">
      <c r="A20" s="563" t="s">
        <v>561</v>
      </c>
      <c r="B20" s="289">
        <v>6278.66</v>
      </c>
      <c r="C20" s="289">
        <v>10068.748</v>
      </c>
      <c r="D20" s="289">
        <f>92875.5+4471</f>
        <v>97346.5</v>
      </c>
      <c r="E20" s="288">
        <f>392+11</f>
        <v>403</v>
      </c>
      <c r="F20" s="1800">
        <v>46112</v>
      </c>
      <c r="G20" s="1801">
        <v>517.83000000000004</v>
      </c>
      <c r="H20" s="1754">
        <v>685.61</v>
      </c>
      <c r="I20" s="1801">
        <v>103258.2</v>
      </c>
      <c r="J20" s="753">
        <v>412</v>
      </c>
    </row>
    <row r="21" spans="1:10" s="469" customFormat="1" ht="12" customHeight="1">
      <c r="A21" s="523" t="s">
        <v>562</v>
      </c>
      <c r="B21" s="250">
        <v>6223.03</v>
      </c>
      <c r="C21" s="250">
        <v>9498.1970000000001</v>
      </c>
      <c r="D21" s="250">
        <f>92876.4+4521</f>
        <v>97397.4</v>
      </c>
      <c r="E21" s="249">
        <f>392+12</f>
        <v>404</v>
      </c>
      <c r="F21" s="1394"/>
      <c r="G21" s="26"/>
      <c r="H21" s="205"/>
      <c r="I21" s="27"/>
      <c r="J21" s="1394"/>
    </row>
    <row r="22" spans="1:10" s="469" customFormat="1" ht="12" customHeight="1">
      <c r="A22" s="563" t="s">
        <v>555</v>
      </c>
      <c r="B22" s="289">
        <v>6246.5</v>
      </c>
      <c r="C22" s="289">
        <v>10206.054</v>
      </c>
      <c r="D22" s="289">
        <f>92814.8+4900.6</f>
        <v>97715.400000000009</v>
      </c>
      <c r="E22" s="288">
        <f>392+13</f>
        <v>405</v>
      </c>
      <c r="F22" s="26"/>
      <c r="G22" s="26"/>
      <c r="H22" s="26"/>
      <c r="I22" s="26"/>
      <c r="J22" s="26"/>
    </row>
    <row r="23" spans="1:10" s="469" customFormat="1" ht="12" customHeight="1">
      <c r="A23" s="523" t="s">
        <v>563</v>
      </c>
      <c r="B23" s="250">
        <v>6153.34</v>
      </c>
      <c r="C23" s="250">
        <v>15747.22</v>
      </c>
      <c r="D23" s="250">
        <v>98895.8</v>
      </c>
      <c r="E23" s="249">
        <v>408</v>
      </c>
      <c r="F23" s="26"/>
      <c r="G23" s="26"/>
      <c r="H23" s="26"/>
      <c r="I23" s="26"/>
      <c r="J23" s="26"/>
    </row>
    <row r="24" spans="1:10" s="469" customFormat="1" ht="12" customHeight="1">
      <c r="A24" s="563" t="s">
        <v>564</v>
      </c>
      <c r="B24" s="289">
        <v>6254.54</v>
      </c>
      <c r="C24" s="289">
        <v>23916.23</v>
      </c>
      <c r="D24" s="289">
        <v>99658.5</v>
      </c>
      <c r="E24" s="288">
        <v>410</v>
      </c>
      <c r="F24" s="26"/>
      <c r="G24" s="26"/>
      <c r="H24" s="26"/>
      <c r="I24" s="26"/>
      <c r="J24" s="26"/>
    </row>
    <row r="25" spans="1:10" s="469" customFormat="1" ht="12" customHeight="1">
      <c r="A25" s="523" t="s">
        <v>556</v>
      </c>
      <c r="B25" s="250">
        <v>5829.7</v>
      </c>
      <c r="C25" s="250">
        <v>11402.554</v>
      </c>
      <c r="D25" s="250">
        <f>5014.6+99870.3</f>
        <v>104884.90000000001</v>
      </c>
      <c r="E25" s="249">
        <f>412+15</f>
        <v>427</v>
      </c>
      <c r="F25" s="26"/>
      <c r="G25" s="26"/>
      <c r="H25" s="26"/>
      <c r="I25" s="26"/>
      <c r="J25" s="26"/>
    </row>
    <row r="26" spans="1:10" s="469" customFormat="1" ht="12" customHeight="1">
      <c r="A26" s="563" t="s">
        <v>565</v>
      </c>
      <c r="B26" s="289">
        <v>5584.65</v>
      </c>
      <c r="C26" s="289">
        <v>9357.1859999999997</v>
      </c>
      <c r="D26" s="289">
        <f>108005.2+5014.6</f>
        <v>113019.8</v>
      </c>
      <c r="E26" s="288">
        <f>412+15</f>
        <v>427</v>
      </c>
      <c r="F26" s="1776"/>
      <c r="G26" s="1776"/>
      <c r="H26" s="1776"/>
      <c r="I26" s="1776"/>
      <c r="J26" s="1776"/>
    </row>
    <row r="27" spans="1:10" s="469" customFormat="1" ht="12" customHeight="1">
      <c r="A27" s="523" t="s">
        <v>566</v>
      </c>
      <c r="B27" s="250">
        <v>5251.96</v>
      </c>
      <c r="C27" s="250">
        <v>13355.540999999999</v>
      </c>
      <c r="D27" s="250">
        <f>101272.3+5014.6</f>
        <v>106286.90000000001</v>
      </c>
      <c r="E27" s="249">
        <f>412+15</f>
        <v>427</v>
      </c>
      <c r="F27" s="1394"/>
      <c r="G27" s="26"/>
      <c r="H27" s="205"/>
      <c r="I27" s="27"/>
      <c r="J27" s="26"/>
    </row>
    <row r="28" spans="1:10" s="469" customFormat="1" ht="12" customHeight="1">
      <c r="A28" s="563" t="s">
        <v>557</v>
      </c>
      <c r="B28" s="289">
        <v>5328.4</v>
      </c>
      <c r="C28" s="289">
        <v>8354.5040000000008</v>
      </c>
      <c r="D28" s="289">
        <f>101571.8+5014.6</f>
        <v>106586.40000000001</v>
      </c>
      <c r="E28" s="288">
        <f>412+15</f>
        <v>427</v>
      </c>
      <c r="F28" s="1394"/>
      <c r="G28" s="26"/>
      <c r="H28" s="205"/>
      <c r="I28" s="27"/>
      <c r="J28" s="26"/>
    </row>
    <row r="29" spans="1:10" s="469" customFormat="1" ht="12" customHeight="1">
      <c r="A29" s="548" t="s">
        <v>2501</v>
      </c>
      <c r="B29" s="339">
        <f>B41</f>
        <v>4838.3900000000003</v>
      </c>
      <c r="C29" s="339">
        <f>SUM(C30:C41)</f>
        <v>111035.72</v>
      </c>
      <c r="D29" s="339">
        <f>D41</f>
        <v>103245.09999999999</v>
      </c>
      <c r="E29" s="481">
        <f>E41</f>
        <v>413</v>
      </c>
      <c r="F29" s="1394"/>
      <c r="G29" s="26"/>
      <c r="H29" s="205"/>
      <c r="I29" s="27"/>
      <c r="J29" s="26"/>
    </row>
    <row r="30" spans="1:10" s="469" customFormat="1" ht="12" customHeight="1">
      <c r="A30" s="563" t="s">
        <v>559</v>
      </c>
      <c r="B30" s="289">
        <v>5280.47</v>
      </c>
      <c r="C30" s="289">
        <v>10917.593999999999</v>
      </c>
      <c r="D30" s="289">
        <f>101703.8+5014.6</f>
        <v>106718.40000000001</v>
      </c>
      <c r="E30" s="288">
        <f>413+15</f>
        <v>428</v>
      </c>
      <c r="F30" s="1394"/>
      <c r="G30" s="26"/>
      <c r="H30" s="205"/>
      <c r="I30" s="27"/>
      <c r="J30" s="26"/>
    </row>
    <row r="31" spans="1:10" s="469" customFormat="1" ht="12" customHeight="1">
      <c r="A31" s="523" t="s">
        <v>560</v>
      </c>
      <c r="B31" s="250">
        <v>5804.42</v>
      </c>
      <c r="C31" s="250">
        <v>16595.981</v>
      </c>
      <c r="D31" s="250">
        <f>96689.2+5014.6</f>
        <v>101703.8</v>
      </c>
      <c r="E31" s="249">
        <f>397+16</f>
        <v>413</v>
      </c>
      <c r="F31" s="1394"/>
      <c r="G31" s="26"/>
      <c r="H31" s="205"/>
      <c r="I31" s="27"/>
      <c r="J31" s="26"/>
    </row>
    <row r="32" spans="1:10" s="469" customFormat="1" ht="12" customHeight="1">
      <c r="A32" s="563" t="s">
        <v>554</v>
      </c>
      <c r="B32" s="289">
        <v>5624.5</v>
      </c>
      <c r="C32" s="289">
        <v>14049.625</v>
      </c>
      <c r="D32" s="289">
        <f>101725+5014.6</f>
        <v>106739.6</v>
      </c>
      <c r="E32" s="288">
        <f>413+16</f>
        <v>429</v>
      </c>
      <c r="F32" s="1394"/>
      <c r="G32" s="249"/>
      <c r="H32" s="205"/>
      <c r="I32" s="27"/>
      <c r="J32" s="26"/>
    </row>
    <row r="33" spans="1:10" s="469" customFormat="1" ht="12" customHeight="1">
      <c r="A33" s="523" t="s">
        <v>561</v>
      </c>
      <c r="B33" s="250">
        <v>5199.3999999999996</v>
      </c>
      <c r="C33" s="250">
        <v>7661.3140000000003</v>
      </c>
      <c r="D33" s="250">
        <f>101731.8+5014.6</f>
        <v>106746.40000000001</v>
      </c>
      <c r="E33" s="249">
        <f>413+16</f>
        <v>429</v>
      </c>
      <c r="F33" s="1394"/>
      <c r="G33" s="26"/>
      <c r="H33" s="205"/>
      <c r="I33" s="27"/>
      <c r="J33" s="26"/>
    </row>
    <row r="34" spans="1:10" s="469" customFormat="1" ht="12" customHeight="1">
      <c r="A34" s="563" t="s">
        <v>562</v>
      </c>
      <c r="B34" s="289">
        <v>5192.59</v>
      </c>
      <c r="C34" s="289">
        <v>10034.755999999999</v>
      </c>
      <c r="D34" s="289">
        <f>96818+5014.6</f>
        <v>101832.6</v>
      </c>
      <c r="E34" s="288">
        <f>397+16</f>
        <v>413</v>
      </c>
      <c r="F34" s="1394"/>
      <c r="G34" s="26"/>
      <c r="H34" s="205"/>
      <c r="I34" s="27"/>
      <c r="J34" s="26"/>
    </row>
    <row r="35" spans="1:10" s="469" customFormat="1" ht="12" customHeight="1">
      <c r="A35" s="523" t="s">
        <v>555</v>
      </c>
      <c r="B35" s="250">
        <v>5216.4399999999996</v>
      </c>
      <c r="C35" s="250">
        <v>7247.3490000000002</v>
      </c>
      <c r="D35" s="250">
        <f>96821.7+5014.4</f>
        <v>101836.09999999999</v>
      </c>
      <c r="E35" s="249">
        <f>397+15</f>
        <v>412</v>
      </c>
      <c r="F35" s="1394"/>
      <c r="G35" s="26"/>
      <c r="H35" s="205"/>
      <c r="I35" s="27"/>
      <c r="J35" s="26"/>
    </row>
    <row r="36" spans="1:10" s="469" customFormat="1" ht="12" customHeight="1">
      <c r="A36" s="563" t="s">
        <v>563</v>
      </c>
      <c r="B36" s="289">
        <v>5112.8999999999996</v>
      </c>
      <c r="C36" s="289">
        <v>8025.8990000000003</v>
      </c>
      <c r="D36" s="289">
        <f>101786.8+4964.4</f>
        <v>106751.2</v>
      </c>
      <c r="E36" s="288">
        <f>413+16</f>
        <v>429</v>
      </c>
      <c r="F36" s="1394"/>
      <c r="G36" s="26"/>
      <c r="H36" s="205"/>
      <c r="I36" s="27"/>
      <c r="J36" s="26"/>
    </row>
    <row r="37" spans="1:10" s="469" customFormat="1" ht="12" customHeight="1">
      <c r="A37" s="523" t="s">
        <v>564</v>
      </c>
      <c r="B37" s="250">
        <v>5247.3</v>
      </c>
      <c r="C37" s="250">
        <v>9182.25</v>
      </c>
      <c r="D37" s="250">
        <f>96827.7+4964.4</f>
        <v>101792.09999999999</v>
      </c>
      <c r="E37" s="249">
        <f>397+16</f>
        <v>413</v>
      </c>
      <c r="F37" s="1394"/>
      <c r="G37" s="26"/>
      <c r="H37" s="205"/>
      <c r="I37" s="27"/>
      <c r="J37" s="26"/>
    </row>
    <row r="38" spans="1:10" s="469" customFormat="1" ht="12" customHeight="1">
      <c r="A38" s="563" t="s">
        <v>556</v>
      </c>
      <c r="B38" s="289">
        <v>5219.16</v>
      </c>
      <c r="C38" s="289">
        <v>7779.6329999999998</v>
      </c>
      <c r="D38" s="289">
        <f>96827.7+4964.4</f>
        <v>101792.09999999999</v>
      </c>
      <c r="E38" s="288">
        <f>397+16</f>
        <v>413</v>
      </c>
      <c r="F38" s="1394"/>
      <c r="G38" s="26"/>
      <c r="H38" s="205"/>
      <c r="I38" s="27"/>
      <c r="J38" s="26"/>
    </row>
    <row r="39" spans="1:10" s="469" customFormat="1" ht="12" customHeight="1">
      <c r="A39" s="523" t="s">
        <v>565</v>
      </c>
      <c r="B39" s="250">
        <v>4917.99</v>
      </c>
      <c r="C39" s="250">
        <v>7160.8729999999996</v>
      </c>
      <c r="D39" s="250">
        <f>97238.2+4964.4</f>
        <v>102202.59999999999</v>
      </c>
      <c r="E39" s="249">
        <f>397+16</f>
        <v>413</v>
      </c>
      <c r="F39" s="1394"/>
      <c r="G39" s="26"/>
      <c r="H39" s="205"/>
      <c r="I39" s="27"/>
      <c r="J39" s="26"/>
    </row>
    <row r="40" spans="1:10" s="469" customFormat="1" ht="12" customHeight="1">
      <c r="A40" s="563" t="s">
        <v>566</v>
      </c>
      <c r="B40" s="289">
        <v>4637.92</v>
      </c>
      <c r="C40" s="289">
        <v>7017.8130000000001</v>
      </c>
      <c r="D40" s="289">
        <f>98273.7+4964.4</f>
        <v>103238.09999999999</v>
      </c>
      <c r="E40" s="288">
        <f>397+16</f>
        <v>413</v>
      </c>
      <c r="F40" s="1394"/>
      <c r="G40" s="26"/>
      <c r="H40" s="205"/>
      <c r="I40" s="27"/>
      <c r="J40" s="26"/>
    </row>
    <row r="41" spans="1:10" s="469" customFormat="1" ht="12" customHeight="1">
      <c r="A41" s="523" t="s">
        <v>557</v>
      </c>
      <c r="B41" s="250">
        <v>4838.3900000000003</v>
      </c>
      <c r="C41" s="250">
        <v>5362.6329999999998</v>
      </c>
      <c r="D41" s="250">
        <f>98280.7+4964.4</f>
        <v>103245.09999999999</v>
      </c>
      <c r="E41" s="249">
        <f>397+16</f>
        <v>413</v>
      </c>
      <c r="F41" s="1394"/>
      <c r="G41" s="26"/>
      <c r="H41" s="205"/>
      <c r="I41" s="27"/>
      <c r="J41" s="26"/>
    </row>
    <row r="42" spans="1:10" s="469" customFormat="1" ht="12" customHeight="1">
      <c r="A42" s="598" t="s">
        <v>2755</v>
      </c>
      <c r="B42" s="289"/>
      <c r="C42" s="289"/>
      <c r="D42" s="289"/>
      <c r="E42" s="288"/>
      <c r="F42" s="1394"/>
      <c r="G42" s="26"/>
      <c r="H42" s="205"/>
      <c r="I42" s="27"/>
      <c r="J42" s="26"/>
    </row>
    <row r="43" spans="1:10" s="469" customFormat="1" ht="12" customHeight="1">
      <c r="A43" s="523" t="s">
        <v>559</v>
      </c>
      <c r="B43" s="250">
        <v>5443.42</v>
      </c>
      <c r="C43" s="250">
        <v>15430.24</v>
      </c>
      <c r="D43" s="250">
        <f>98332.9+4964.4</f>
        <v>103297.29999999999</v>
      </c>
      <c r="E43" s="249">
        <f>397+16</f>
        <v>413</v>
      </c>
      <c r="F43" s="1394"/>
      <c r="G43" s="26"/>
      <c r="H43" s="205"/>
      <c r="I43" s="27"/>
      <c r="J43" s="26"/>
    </row>
    <row r="44" spans="1:10" s="469" customFormat="1" ht="12" customHeight="1">
      <c r="A44" s="563" t="s">
        <v>560</v>
      </c>
      <c r="B44" s="289">
        <v>5594.39</v>
      </c>
      <c r="C44" s="289">
        <v>18653.123</v>
      </c>
      <c r="D44" s="289">
        <f>98283.5+4964.4</f>
        <v>103247.9</v>
      </c>
      <c r="E44" s="288">
        <f>397+16</f>
        <v>413</v>
      </c>
      <c r="F44" s="1394"/>
      <c r="G44" s="26"/>
      <c r="H44" s="205"/>
      <c r="I44" s="27"/>
      <c r="J44" s="26"/>
    </row>
    <row r="45" spans="1:10" s="469" customFormat="1" ht="12" customHeight="1">
      <c r="A45" s="523" t="s">
        <v>554</v>
      </c>
      <c r="B45" s="250">
        <v>5415.79</v>
      </c>
      <c r="C45" s="250">
        <v>19228.092000000001</v>
      </c>
      <c r="D45" s="250">
        <f>98325.5+4964.4</f>
        <v>103289.9</v>
      </c>
      <c r="E45" s="249">
        <f>397+16</f>
        <v>413</v>
      </c>
      <c r="F45" s="1394"/>
      <c r="G45" s="26"/>
      <c r="H45" s="205"/>
      <c r="I45" s="27"/>
      <c r="J45" s="26"/>
    </row>
    <row r="46" spans="1:10" s="469" customFormat="1" ht="12" customHeight="1">
      <c r="A46" s="563" t="s">
        <v>561</v>
      </c>
      <c r="B46" s="289">
        <v>5122.22</v>
      </c>
      <c r="C46" s="289">
        <v>10322.328</v>
      </c>
      <c r="D46" s="289">
        <f>98348.2+4964.4</f>
        <v>103312.59999999999</v>
      </c>
      <c r="E46" s="288">
        <f>397+16</f>
        <v>413</v>
      </c>
      <c r="F46" s="1394"/>
      <c r="G46" s="26"/>
      <c r="H46" s="205"/>
      <c r="I46" s="27"/>
      <c r="J46" s="26"/>
    </row>
    <row r="47" spans="1:10" s="469" customFormat="1" ht="12" customHeight="1">
      <c r="A47" s="523" t="s">
        <v>562</v>
      </c>
      <c r="B47" s="250">
        <v>4978.7700000000004</v>
      </c>
      <c r="C47" s="250">
        <v>9299.8050000000003</v>
      </c>
      <c r="D47" s="250">
        <f>98364+4964.4</f>
        <v>103328.4</v>
      </c>
      <c r="E47" s="249">
        <f>397+16</f>
        <v>413</v>
      </c>
      <c r="F47" s="1394"/>
      <c r="G47" s="26"/>
      <c r="H47" s="205"/>
      <c r="I47" s="27"/>
      <c r="J47" s="26"/>
    </row>
    <row r="48" spans="1:10" s="469" customFormat="1" ht="12" customHeight="1">
      <c r="A48" s="563" t="s">
        <v>555</v>
      </c>
      <c r="B48" s="289">
        <v>4865.34</v>
      </c>
      <c r="C48" s="289">
        <v>7686.0720000000001</v>
      </c>
      <c r="D48" s="289">
        <v>148014.31</v>
      </c>
      <c r="E48" s="288">
        <v>413</v>
      </c>
      <c r="F48" s="1394"/>
      <c r="G48" s="26"/>
      <c r="H48" s="205"/>
      <c r="I48" s="27"/>
      <c r="J48" s="26"/>
    </row>
    <row r="49" spans="1:10" s="469" customFormat="1" ht="12" customHeight="1">
      <c r="A49" s="523" t="s">
        <v>563</v>
      </c>
      <c r="B49" s="250">
        <v>5154.3100000000004</v>
      </c>
      <c r="C49" s="250">
        <v>10417.695</v>
      </c>
      <c r="D49" s="250">
        <v>103320</v>
      </c>
      <c r="E49" s="249">
        <v>413</v>
      </c>
      <c r="F49" s="1394"/>
      <c r="G49" s="26"/>
      <c r="H49" s="205"/>
      <c r="I49" s="27"/>
      <c r="J49" s="26"/>
    </row>
    <row r="50" spans="1:10" s="469" customFormat="1" ht="12" customHeight="1">
      <c r="A50" s="563" t="s">
        <v>564</v>
      </c>
      <c r="B50" s="289">
        <v>5600.27</v>
      </c>
      <c r="C50" s="289">
        <v>13495.955</v>
      </c>
      <c r="D50" s="289">
        <v>103320</v>
      </c>
      <c r="E50" s="288">
        <v>413</v>
      </c>
      <c r="F50" s="1394"/>
      <c r="G50" s="26"/>
      <c r="H50" s="205"/>
      <c r="I50" s="27"/>
      <c r="J50" s="26"/>
    </row>
    <row r="51" spans="1:10" s="469" customFormat="1" ht="12" customHeight="1" thickBot="1">
      <c r="A51" s="1704" t="s">
        <v>556</v>
      </c>
      <c r="B51" s="684">
        <v>5178.3100000000004</v>
      </c>
      <c r="C51" s="684">
        <v>10215.32</v>
      </c>
      <c r="D51" s="684">
        <v>103258.2</v>
      </c>
      <c r="E51" s="1914">
        <v>412</v>
      </c>
      <c r="F51" s="1394"/>
      <c r="G51" s="26"/>
      <c r="H51" s="205"/>
      <c r="I51" s="27"/>
      <c r="J51" s="26"/>
    </row>
    <row r="52" spans="1:10" s="469" customFormat="1" ht="12" customHeight="1">
      <c r="A52" s="233" t="s">
        <v>1846</v>
      </c>
      <c r="B52" s="863"/>
      <c r="C52" s="863"/>
      <c r="D52" s="863"/>
      <c r="E52" s="863"/>
      <c r="F52" s="1394"/>
      <c r="G52" s="26"/>
      <c r="H52" s="205"/>
      <c r="I52" s="27"/>
      <c r="J52" s="26"/>
    </row>
    <row r="53" spans="1:10" s="469" customFormat="1" ht="10.7" customHeight="1">
      <c r="A53" s="101" t="s">
        <v>1845</v>
      </c>
      <c r="B53" s="25"/>
      <c r="C53" s="27"/>
      <c r="D53" s="215" t="s">
        <v>1553</v>
      </c>
      <c r="E53" s="170"/>
      <c r="F53" s="1394"/>
      <c r="G53" s="26"/>
      <c r="H53" s="205"/>
      <c r="I53" s="27"/>
      <c r="J53" s="26"/>
    </row>
    <row r="54" spans="1:10" s="469" customFormat="1" ht="10.7" customHeight="1">
      <c r="F54" s="1394"/>
      <c r="G54" s="26"/>
      <c r="H54" s="205"/>
      <c r="I54" s="27"/>
      <c r="J54" s="26"/>
    </row>
    <row r="55" spans="1:10" s="469" customFormat="1" ht="10.7" customHeight="1">
      <c r="F55" s="1394"/>
      <c r="G55" s="26"/>
      <c r="H55" s="205"/>
      <c r="I55" s="27"/>
      <c r="J55" s="26"/>
    </row>
    <row r="56" spans="1:10" s="469" customFormat="1" ht="10.7" customHeight="1">
      <c r="F56" s="1394"/>
      <c r="G56" s="26"/>
      <c r="H56" s="205"/>
      <c r="I56" s="27"/>
      <c r="J56" s="26"/>
    </row>
    <row r="57" spans="1:10" s="469" customFormat="1" ht="10.7" customHeight="1">
      <c r="F57" s="1394"/>
      <c r="G57" s="26"/>
      <c r="H57" s="205"/>
      <c r="I57" s="27"/>
      <c r="J57" s="26"/>
    </row>
    <row r="58" spans="1:10" s="469" customFormat="1" ht="10.7" customHeight="1">
      <c r="F58" s="1394"/>
      <c r="G58" s="26"/>
      <c r="H58" s="205"/>
      <c r="I58" s="27"/>
      <c r="J58" s="26"/>
    </row>
    <row r="59" spans="1:10" s="469" customFormat="1" ht="10.7" customHeight="1">
      <c r="F59" s="1394"/>
      <c r="G59" s="26"/>
      <c r="H59" s="205"/>
      <c r="I59" s="27"/>
      <c r="J59" s="26"/>
    </row>
    <row r="60" spans="1:10" s="469" customFormat="1" ht="10.7" customHeight="1">
      <c r="F60" s="1394"/>
      <c r="G60" s="26"/>
      <c r="H60" s="205"/>
      <c r="I60" s="27"/>
      <c r="J60" s="26"/>
    </row>
    <row r="61" spans="1:10" s="469" customFormat="1" ht="10.7" customHeight="1">
      <c r="F61" s="1394"/>
      <c r="G61" s="26"/>
      <c r="H61" s="205"/>
      <c r="I61" s="27"/>
      <c r="J61" s="26"/>
    </row>
    <row r="62" spans="1:10" s="469" customFormat="1" ht="11.25" customHeight="1">
      <c r="F62" s="1394"/>
      <c r="G62" s="26"/>
      <c r="H62" s="205"/>
      <c r="I62" s="27"/>
      <c r="J62" s="26"/>
    </row>
    <row r="63" spans="1:10" s="469" customFormat="1" ht="11.25" customHeight="1">
      <c r="F63" s="1394"/>
      <c r="G63" s="26"/>
      <c r="H63" s="205"/>
      <c r="I63" s="27"/>
      <c r="J63" s="26"/>
    </row>
    <row r="64" spans="1:10" s="469" customFormat="1" ht="11.1" customHeight="1">
      <c r="F64" s="1394"/>
      <c r="G64" s="26"/>
      <c r="H64" s="205"/>
      <c r="I64" s="27"/>
      <c r="J64" s="26"/>
    </row>
    <row r="65" spans="1:10" s="469" customFormat="1" ht="11.1" customHeight="1">
      <c r="C65" s="249"/>
      <c r="F65" s="1394"/>
      <c r="G65" s="26"/>
      <c r="H65" s="205"/>
      <c r="I65" s="27"/>
      <c r="J65" s="26"/>
    </row>
    <row r="66" spans="1:10" s="469" customFormat="1" ht="11.1" customHeight="1">
      <c r="E66" s="876"/>
      <c r="F66" s="1394"/>
      <c r="G66" s="26"/>
      <c r="H66" s="205"/>
      <c r="I66" s="27"/>
      <c r="J66" s="26"/>
    </row>
    <row r="67" spans="1:10" s="469" customFormat="1" ht="11.1" customHeight="1">
      <c r="D67" s="877"/>
      <c r="E67" s="878"/>
      <c r="F67" s="1394"/>
      <c r="G67" s="26"/>
      <c r="H67" s="205"/>
      <c r="I67" s="27"/>
      <c r="J67" s="26"/>
    </row>
    <row r="68" spans="1:10" s="469" customFormat="1" ht="11.1" customHeight="1">
      <c r="F68" s="1394"/>
      <c r="G68" s="26"/>
      <c r="H68" s="205"/>
      <c r="I68" s="27"/>
      <c r="J68" s="26"/>
    </row>
    <row r="69" spans="1:10" s="469" customFormat="1" ht="11.1" customHeight="1">
      <c r="F69" s="1394"/>
      <c r="G69" s="26"/>
      <c r="H69" s="205"/>
      <c r="I69" s="27"/>
      <c r="J69" s="26"/>
    </row>
    <row r="70" spans="1:10" s="469" customFormat="1" ht="11.1" customHeight="1">
      <c r="F70" s="1394"/>
      <c r="G70" s="26"/>
      <c r="H70" s="205"/>
      <c r="I70" s="27"/>
      <c r="J70" s="26"/>
    </row>
    <row r="71" spans="1:10" s="469" customFormat="1" ht="11.1" customHeight="1">
      <c r="F71" s="1394"/>
      <c r="G71" s="26"/>
      <c r="H71" s="205"/>
      <c r="I71" s="27"/>
      <c r="J71" s="26"/>
    </row>
    <row r="72" spans="1:10" s="469" customFormat="1" ht="11.1" customHeight="1">
      <c r="F72" s="1394"/>
      <c r="G72" s="26"/>
      <c r="H72" s="205"/>
      <c r="I72" s="27"/>
      <c r="J72" s="26"/>
    </row>
    <row r="73" spans="1:10" s="469" customFormat="1" ht="11.1" customHeight="1">
      <c r="F73" s="1394"/>
      <c r="G73" s="26"/>
      <c r="H73" s="205"/>
      <c r="I73" s="27"/>
      <c r="J73" s="26"/>
    </row>
    <row r="74" spans="1:10" s="469" customFormat="1" ht="11.1" customHeight="1">
      <c r="F74" s="1394"/>
      <c r="G74" s="26"/>
      <c r="H74" s="205"/>
      <c r="I74" s="27"/>
      <c r="J74" s="26"/>
    </row>
    <row r="75" spans="1:10" s="469" customFormat="1" ht="11.1" customHeight="1">
      <c r="F75" s="1394"/>
      <c r="G75" s="26"/>
      <c r="H75" s="205"/>
      <c r="I75" s="27"/>
      <c r="J75" s="26"/>
    </row>
    <row r="76" spans="1:10" s="469" customFormat="1" ht="11.1" customHeight="1">
      <c r="A76" s="70"/>
      <c r="B76" s="70"/>
      <c r="C76" s="70"/>
      <c r="D76" s="70"/>
      <c r="E76" s="70"/>
      <c r="F76" s="1394"/>
      <c r="G76" s="26"/>
      <c r="H76" s="205"/>
      <c r="I76" s="27"/>
      <c r="J76" s="26"/>
    </row>
    <row r="77" spans="1:10" s="469" customFormat="1" ht="11.1" customHeight="1">
      <c r="A77" s="70"/>
      <c r="B77" s="70"/>
      <c r="C77" s="70"/>
      <c r="D77" s="70"/>
      <c r="E77" s="70"/>
      <c r="F77" s="1394"/>
      <c r="G77" s="26"/>
      <c r="H77" s="205"/>
      <c r="I77" s="27"/>
      <c r="J77" s="26"/>
    </row>
    <row r="78" spans="1:10" s="469" customFormat="1" ht="11.1" customHeight="1">
      <c r="A78" s="70"/>
      <c r="B78" s="70"/>
      <c r="C78" s="70"/>
      <c r="D78" s="70"/>
      <c r="E78" s="70"/>
      <c r="F78" s="1394"/>
      <c r="G78" s="26"/>
      <c r="H78" s="205"/>
      <c r="I78" s="27"/>
      <c r="J78" s="26"/>
    </row>
    <row r="79" spans="1:10" s="469" customFormat="1" ht="11.1" customHeight="1">
      <c r="A79" s="70"/>
      <c r="B79" s="70"/>
      <c r="C79" s="70"/>
      <c r="D79" s="70"/>
      <c r="E79" s="70"/>
      <c r="F79" s="1394"/>
      <c r="G79" s="26"/>
      <c r="H79" s="205"/>
      <c r="I79" s="27"/>
      <c r="J79" s="26"/>
    </row>
    <row r="80" spans="1:10" s="469" customFormat="1" ht="11.1" customHeight="1">
      <c r="A80" s="70"/>
      <c r="B80" s="70"/>
      <c r="C80" s="70"/>
      <c r="D80" s="70"/>
      <c r="E80" s="70"/>
      <c r="F80" s="1394"/>
      <c r="G80" s="26"/>
      <c r="H80" s="205"/>
      <c r="I80" s="27"/>
      <c r="J80" s="26"/>
    </row>
    <row r="81" spans="1:10" s="469" customFormat="1" ht="11.1" customHeight="1">
      <c r="A81" s="70"/>
      <c r="B81" s="70"/>
      <c r="C81" s="70"/>
      <c r="D81" s="70"/>
      <c r="E81" s="70"/>
      <c r="F81" s="1394"/>
      <c r="G81" s="26"/>
      <c r="H81" s="205"/>
      <c r="I81" s="27"/>
      <c r="J81" s="26"/>
    </row>
    <row r="82" spans="1:10" s="469" customFormat="1" ht="11.1" customHeight="1">
      <c r="A82" s="70"/>
      <c r="B82" s="70"/>
      <c r="C82" s="70"/>
      <c r="D82" s="70"/>
      <c r="E82" s="70"/>
      <c r="F82" s="1394"/>
      <c r="G82" s="26"/>
      <c r="H82" s="205"/>
      <c r="I82" s="27"/>
      <c r="J82" s="26"/>
    </row>
    <row r="83" spans="1:10" s="469" customFormat="1" ht="11.1" customHeight="1">
      <c r="A83" s="70"/>
      <c r="B83" s="70"/>
      <c r="C83" s="70"/>
      <c r="D83" s="70"/>
      <c r="E83" s="70"/>
      <c r="F83" s="1394"/>
      <c r="G83" s="26"/>
      <c r="H83" s="205"/>
      <c r="I83" s="27"/>
      <c r="J83" s="26"/>
    </row>
    <row r="84" spans="1:10" s="469" customFormat="1" ht="11.1" customHeight="1">
      <c r="A84" s="70"/>
      <c r="B84" s="70"/>
      <c r="C84" s="70"/>
      <c r="D84" s="70"/>
      <c r="E84" s="70"/>
      <c r="F84" s="1394"/>
      <c r="G84" s="26"/>
      <c r="H84" s="205"/>
      <c r="I84" s="27"/>
      <c r="J84" s="26"/>
    </row>
    <row r="85" spans="1:10" s="469" customFormat="1" ht="11.1" customHeight="1">
      <c r="A85" s="70"/>
      <c r="B85" s="70"/>
      <c r="C85" s="70"/>
      <c r="D85" s="70"/>
      <c r="E85" s="70"/>
      <c r="F85" s="1394"/>
      <c r="G85" s="26"/>
      <c r="H85" s="205"/>
      <c r="I85" s="27"/>
      <c r="J85" s="26"/>
    </row>
    <row r="86" spans="1:10" s="469" customFormat="1" ht="11.1" customHeight="1">
      <c r="A86" s="70"/>
      <c r="B86" s="70"/>
      <c r="C86" s="70"/>
      <c r="D86" s="70"/>
      <c r="E86" s="70"/>
      <c r="F86" s="1394"/>
      <c r="G86" s="26"/>
      <c r="H86" s="205"/>
      <c r="I86" s="27"/>
      <c r="J86" s="26"/>
    </row>
    <row r="87" spans="1:10" s="469" customFormat="1" ht="11.1" customHeight="1">
      <c r="A87" s="70"/>
      <c r="B87" s="70"/>
      <c r="C87" s="70"/>
      <c r="D87" s="70"/>
      <c r="E87" s="70"/>
      <c r="F87" s="1394"/>
      <c r="G87" s="26"/>
      <c r="H87" s="205"/>
      <c r="I87" s="27"/>
      <c r="J87" s="26"/>
    </row>
    <row r="88" spans="1:10" s="469" customFormat="1" ht="11.1" customHeight="1">
      <c r="A88" s="70"/>
      <c r="B88" s="70"/>
      <c r="C88" s="70"/>
      <c r="D88" s="70"/>
      <c r="E88" s="70"/>
      <c r="F88" s="1394"/>
      <c r="G88" s="26"/>
      <c r="H88" s="205"/>
      <c r="I88" s="27"/>
      <c r="J88" s="26"/>
    </row>
    <row r="89" spans="1:10" s="469" customFormat="1" ht="11.1" customHeight="1">
      <c r="A89" s="70"/>
      <c r="B89" s="70"/>
      <c r="C89" s="70"/>
      <c r="D89" s="70"/>
      <c r="E89" s="70"/>
      <c r="F89" s="1394"/>
      <c r="G89" s="26"/>
      <c r="H89" s="205"/>
      <c r="I89" s="27"/>
      <c r="J89" s="26"/>
    </row>
    <row r="90" spans="1:10" s="469" customFormat="1" ht="11.1" customHeight="1">
      <c r="A90" s="70"/>
      <c r="B90" s="70"/>
      <c r="C90" s="70"/>
      <c r="D90" s="70"/>
      <c r="E90" s="70"/>
      <c r="F90" s="1394"/>
      <c r="G90" s="26"/>
      <c r="H90" s="205"/>
      <c r="I90" s="27"/>
      <c r="J90" s="26"/>
    </row>
    <row r="91" spans="1:10" s="469" customFormat="1" ht="11.1" customHeight="1">
      <c r="A91" s="70"/>
      <c r="B91" s="70"/>
      <c r="C91" s="70"/>
      <c r="D91" s="70"/>
      <c r="E91" s="70"/>
      <c r="F91" s="1394"/>
      <c r="G91" s="26"/>
      <c r="H91" s="205"/>
      <c r="I91" s="27"/>
      <c r="J91" s="26"/>
    </row>
    <row r="92" spans="1:10" s="469" customFormat="1" ht="11.1" customHeight="1">
      <c r="A92" s="70"/>
      <c r="B92" s="70"/>
      <c r="C92" s="70"/>
      <c r="D92" s="70"/>
      <c r="E92" s="70"/>
      <c r="F92" s="1394"/>
      <c r="G92" s="26"/>
      <c r="H92" s="205"/>
      <c r="I92" s="27"/>
      <c r="J92" s="26"/>
    </row>
    <row r="93" spans="1:10" s="469" customFormat="1" ht="11.1" customHeight="1">
      <c r="F93" s="1394"/>
      <c r="G93" s="26"/>
      <c r="H93" s="205"/>
      <c r="I93" s="27"/>
      <c r="J93" s="26"/>
    </row>
    <row r="94" spans="1:10" s="469" customFormat="1" ht="11.1" customHeight="1">
      <c r="A94" s="2"/>
      <c r="B94" s="2"/>
      <c r="C94" s="2"/>
      <c r="D94" s="2"/>
      <c r="E94" s="2"/>
      <c r="F94" s="1394"/>
      <c r="G94" s="26"/>
      <c r="H94" s="205"/>
      <c r="I94" s="27"/>
      <c r="J94" s="26"/>
    </row>
    <row r="95" spans="1:10" s="469" customFormat="1" ht="11.1" customHeight="1">
      <c r="A95" s="2"/>
      <c r="B95" s="2"/>
      <c r="C95" s="2"/>
      <c r="D95" s="2"/>
      <c r="E95" s="2"/>
      <c r="F95" s="1394"/>
      <c r="G95" s="26"/>
      <c r="H95" s="205"/>
      <c r="I95" s="27"/>
      <c r="J95" s="26"/>
    </row>
    <row r="96" spans="1:10" s="469" customFormat="1" ht="11.1" customHeight="1">
      <c r="A96" s="95"/>
      <c r="B96" s="96"/>
      <c r="C96" s="96"/>
      <c r="D96" s="100"/>
      <c r="E96" s="885"/>
      <c r="F96" s="1394"/>
      <c r="G96" s="26"/>
      <c r="H96" s="205"/>
      <c r="I96" s="27"/>
      <c r="J96" s="26"/>
    </row>
    <row r="97" spans="1:10" s="469" customFormat="1" ht="11.1" customHeight="1">
      <c r="A97" s="98"/>
      <c r="B97" s="99"/>
      <c r="C97" s="99"/>
      <c r="D97" s="100"/>
      <c r="E97" s="82"/>
      <c r="F97" s="1394"/>
      <c r="G97" s="26"/>
      <c r="H97" s="205"/>
      <c r="I97" s="27"/>
      <c r="J97" s="26"/>
    </row>
    <row r="98" spans="1:10" s="469" customFormat="1" ht="11.25" customHeight="1">
      <c r="A98" s="98"/>
      <c r="B98" s="99"/>
      <c r="C98" s="99"/>
      <c r="D98" s="100"/>
      <c r="E98" s="82"/>
      <c r="F98" s="1394"/>
      <c r="G98" s="26"/>
      <c r="H98" s="205"/>
      <c r="I98" s="27"/>
      <c r="J98" s="26"/>
    </row>
    <row r="99" spans="1:10" s="70" customFormat="1" ht="9.9499999999999993" customHeight="1">
      <c r="A99" s="98"/>
      <c r="B99" s="99"/>
      <c r="C99" s="99"/>
      <c r="D99" s="100"/>
      <c r="E99" s="82"/>
      <c r="F99" s="1394"/>
      <c r="G99" s="26"/>
      <c r="H99" s="205"/>
      <c r="I99" s="27"/>
      <c r="J99" s="26"/>
    </row>
    <row r="100" spans="1:10" s="70" customFormat="1" ht="10.5" customHeight="1">
      <c r="A100" s="98"/>
      <c r="B100" s="99"/>
      <c r="C100" s="99"/>
      <c r="D100" s="100"/>
      <c r="E100" s="82"/>
      <c r="F100" s="1394"/>
      <c r="G100" s="26"/>
      <c r="H100" s="205"/>
      <c r="I100" s="27"/>
      <c r="J100" s="26"/>
    </row>
    <row r="101" spans="1:10" s="70" customFormat="1" ht="15.75" customHeight="1">
      <c r="A101" s="98"/>
      <c r="B101" s="99"/>
      <c r="C101" s="99"/>
      <c r="D101" s="100"/>
      <c r="E101" s="82"/>
      <c r="F101" s="1394"/>
      <c r="G101" s="330"/>
      <c r="H101" s="330"/>
      <c r="I101" s="27"/>
      <c r="J101" s="26"/>
    </row>
    <row r="102" spans="1:10" s="70" customFormat="1" ht="13.5" customHeight="1">
      <c r="A102" s="98"/>
      <c r="B102" s="99"/>
      <c r="C102" s="99"/>
      <c r="D102" s="100"/>
      <c r="E102" s="82"/>
      <c r="F102" s="1394"/>
      <c r="G102" s="330"/>
      <c r="H102" s="330"/>
      <c r="I102" s="27"/>
      <c r="J102" s="26"/>
    </row>
    <row r="103" spans="1:10" s="70" customFormat="1" ht="9" customHeight="1">
      <c r="A103" s="98"/>
      <c r="B103" s="99"/>
      <c r="C103" s="99"/>
      <c r="D103" s="100"/>
      <c r="E103" s="82"/>
      <c r="F103" s="1394"/>
      <c r="G103" s="330"/>
      <c r="H103" s="330"/>
      <c r="I103" s="27"/>
      <c r="J103" s="26"/>
    </row>
    <row r="104" spans="1:10" s="70" customFormat="1" ht="8.85" customHeight="1">
      <c r="A104" s="98"/>
      <c r="B104" s="99"/>
      <c r="C104" s="99"/>
      <c r="D104" s="100"/>
      <c r="E104" s="82"/>
      <c r="F104" s="1394"/>
      <c r="G104" s="330"/>
      <c r="H104" s="330"/>
      <c r="I104" s="27"/>
      <c r="J104" s="26"/>
    </row>
    <row r="105" spans="1:10" s="70" customFormat="1" ht="8.85" customHeight="1">
      <c r="A105" s="98"/>
      <c r="B105" s="99"/>
      <c r="C105" s="99"/>
      <c r="D105" s="100"/>
      <c r="E105" s="82"/>
      <c r="F105" s="1394"/>
      <c r="G105" s="330"/>
      <c r="H105" s="330"/>
      <c r="I105" s="27"/>
      <c r="J105" s="26"/>
    </row>
    <row r="106" spans="1:10" s="70" customFormat="1" ht="8.85" customHeight="1">
      <c r="A106" s="98"/>
      <c r="B106" s="99"/>
      <c r="C106" s="99"/>
      <c r="D106" s="100"/>
      <c r="E106" s="82"/>
      <c r="F106" s="1394"/>
      <c r="G106" s="330"/>
      <c r="H106" s="330"/>
      <c r="I106" s="27"/>
      <c r="J106" s="26"/>
    </row>
    <row r="107" spans="1:10" s="70" customFormat="1" ht="8.85" customHeight="1">
      <c r="A107" s="98"/>
      <c r="B107" s="99"/>
      <c r="C107" s="99"/>
      <c r="D107" s="100"/>
      <c r="E107" s="82"/>
      <c r="F107" s="1394"/>
      <c r="G107" s="330"/>
      <c r="H107" s="330"/>
      <c r="I107" s="27"/>
      <c r="J107" s="26"/>
    </row>
    <row r="108" spans="1:10" s="70" customFormat="1" ht="8.85" customHeight="1">
      <c r="A108" s="2"/>
      <c r="B108" s="91"/>
      <c r="C108" s="91"/>
      <c r="D108" s="91"/>
      <c r="E108" s="91"/>
      <c r="F108" s="1394"/>
      <c r="G108" s="330"/>
      <c r="H108" s="330"/>
      <c r="I108" s="27"/>
      <c r="J108" s="26"/>
    </row>
    <row r="109" spans="1:10" s="70" customFormat="1" ht="8.85" customHeight="1">
      <c r="A109" s="2"/>
      <c r="B109" s="91"/>
      <c r="C109" s="91"/>
      <c r="D109" s="91"/>
      <c r="E109" s="91"/>
      <c r="F109" s="1394"/>
      <c r="G109" s="330"/>
      <c r="H109" s="330"/>
      <c r="I109" s="27"/>
      <c r="J109" s="26"/>
    </row>
    <row r="110" spans="1:10" s="70" customFormat="1" ht="9.9499999999999993" customHeight="1">
      <c r="A110" s="2"/>
      <c r="B110" s="91"/>
      <c r="C110" s="91"/>
      <c r="D110" s="91"/>
      <c r="E110" s="91"/>
      <c r="F110" s="1395"/>
      <c r="G110" s="469"/>
      <c r="H110" s="469"/>
      <c r="I110" s="469"/>
      <c r="J110" s="469"/>
    </row>
    <row r="111" spans="1:10" s="70" customFormat="1" ht="9.9499999999999993" customHeight="1">
      <c r="A111" s="2"/>
      <c r="B111" s="91"/>
      <c r="C111" s="91"/>
      <c r="D111" s="91"/>
      <c r="E111" s="91"/>
      <c r="F111" s="1395"/>
      <c r="G111" s="469"/>
      <c r="H111" s="469"/>
      <c r="I111" s="469"/>
      <c r="J111" s="469"/>
    </row>
    <row r="112" spans="1:10" s="70" customFormat="1" ht="9.9499999999999993" customHeight="1">
      <c r="A112" s="98"/>
      <c r="B112" s="96"/>
      <c r="C112" s="99"/>
      <c r="D112" s="100"/>
      <c r="E112" s="82"/>
      <c r="F112" s="1395"/>
      <c r="G112" s="469"/>
      <c r="H112" s="469"/>
      <c r="I112" s="469"/>
      <c r="J112" s="469"/>
    </row>
    <row r="113" spans="1:10" s="70" customFormat="1" ht="11.1" customHeight="1">
      <c r="A113" s="98"/>
      <c r="B113" s="96"/>
      <c r="C113" s="99"/>
      <c r="D113" s="100"/>
      <c r="E113" s="82"/>
      <c r="F113" s="1395"/>
      <c r="G113" s="469"/>
      <c r="H113" s="469"/>
      <c r="I113" s="469"/>
      <c r="J113" s="469"/>
    </row>
    <row r="114" spans="1:10" s="70" customFormat="1" ht="11.1" customHeight="1">
      <c r="A114" s="98"/>
      <c r="B114" s="99"/>
      <c r="C114" s="96"/>
      <c r="D114" s="100"/>
      <c r="E114" s="82"/>
      <c r="F114" s="1395"/>
      <c r="G114" s="469"/>
      <c r="H114" s="469"/>
      <c r="I114" s="469"/>
      <c r="J114" s="469"/>
    </row>
    <row r="115" spans="1:10" s="70" customFormat="1" ht="11.1" customHeight="1">
      <c r="A115" s="98"/>
      <c r="B115" s="99"/>
      <c r="C115" s="99"/>
      <c r="D115" s="100"/>
      <c r="E115" s="82"/>
      <c r="F115" s="1395"/>
      <c r="G115" s="469"/>
      <c r="H115" s="469"/>
      <c r="I115" s="469"/>
      <c r="J115" s="469"/>
    </row>
    <row r="116" spans="1:10" s="70" customFormat="1" ht="11.1" customHeight="1">
      <c r="A116" s="98"/>
      <c r="B116" s="96"/>
      <c r="C116" s="99"/>
      <c r="D116" s="100"/>
      <c r="E116" s="82"/>
      <c r="F116" s="1395"/>
      <c r="G116" s="469"/>
      <c r="H116" s="469"/>
      <c r="I116" s="469"/>
      <c r="J116" s="469"/>
    </row>
    <row r="117" spans="1:10" s="469" customFormat="1" ht="11.1" customHeight="1">
      <c r="A117" s="98"/>
      <c r="B117" s="82"/>
      <c r="C117" s="99"/>
      <c r="D117" s="100"/>
      <c r="E117" s="82"/>
      <c r="F117" s="1395"/>
    </row>
    <row r="118" spans="1:10" ht="11.1" customHeight="1">
      <c r="A118" s="98"/>
      <c r="B118" s="885"/>
      <c r="C118" s="96"/>
      <c r="D118" s="100"/>
      <c r="E118" s="82"/>
      <c r="F118" s="1395"/>
      <c r="G118" s="469"/>
      <c r="H118" s="469"/>
      <c r="I118" s="469"/>
      <c r="J118" s="469"/>
    </row>
    <row r="119" spans="1:10" ht="11.1" customHeight="1">
      <c r="F119" s="1395"/>
      <c r="G119" s="469"/>
      <c r="H119" s="469"/>
      <c r="I119" s="469"/>
      <c r="J119" s="469"/>
    </row>
    <row r="120" spans="1:10">
      <c r="A120" s="98"/>
      <c r="B120" s="100"/>
      <c r="C120" s="100"/>
      <c r="D120" s="100"/>
      <c r="E120" s="82"/>
      <c r="F120" s="1395"/>
      <c r="G120" s="469"/>
      <c r="H120" s="469"/>
      <c r="I120" s="469"/>
      <c r="J120" s="469"/>
    </row>
    <row r="121" spans="1:10">
      <c r="A121" s="98"/>
      <c r="B121" s="100"/>
      <c r="C121" s="100"/>
      <c r="D121" s="100"/>
      <c r="E121" s="82"/>
      <c r="F121" s="1395"/>
      <c r="G121" s="469"/>
      <c r="H121" s="469"/>
      <c r="I121" s="469"/>
      <c r="J121" s="469"/>
    </row>
    <row r="122" spans="1:10">
      <c r="F122" s="1395"/>
      <c r="G122" s="469"/>
      <c r="H122" s="469"/>
      <c r="I122" s="469"/>
      <c r="J122" s="469"/>
    </row>
    <row r="123" spans="1:10">
      <c r="A123" s="98"/>
      <c r="B123" s="2"/>
      <c r="C123" s="2"/>
      <c r="D123" s="100"/>
      <c r="E123" s="82"/>
      <c r="G123" s="469"/>
      <c r="H123" s="469"/>
      <c r="I123" s="469"/>
      <c r="J123" s="469"/>
    </row>
    <row r="124" spans="1:10">
      <c r="A124" s="98"/>
      <c r="B124" s="82"/>
      <c r="C124" s="82"/>
      <c r="D124" s="100"/>
      <c r="E124" s="82"/>
      <c r="G124" s="469"/>
      <c r="H124" s="469"/>
      <c r="I124" s="469"/>
      <c r="J124" s="469"/>
    </row>
    <row r="125" spans="1:10">
      <c r="G125" s="469"/>
      <c r="H125" s="469"/>
      <c r="I125" s="469"/>
      <c r="J125" s="469"/>
    </row>
    <row r="126" spans="1:10">
      <c r="A126" s="98"/>
      <c r="B126" s="82"/>
      <c r="C126" s="82"/>
      <c r="D126" s="100"/>
      <c r="E126" s="82"/>
      <c r="G126" s="469"/>
      <c r="H126" s="469"/>
      <c r="I126" s="469"/>
      <c r="J126" s="469"/>
    </row>
    <row r="127" spans="1:10">
      <c r="A127" s="98"/>
      <c r="B127" s="82"/>
      <c r="C127" s="82"/>
      <c r="D127" s="100"/>
      <c r="E127" s="82"/>
      <c r="G127" s="469"/>
      <c r="H127" s="469"/>
      <c r="I127" s="469"/>
      <c r="J127" s="469"/>
    </row>
    <row r="128" spans="1:10">
      <c r="G128" s="469"/>
      <c r="H128" s="469"/>
      <c r="I128" s="469"/>
      <c r="J128" s="469"/>
    </row>
    <row r="129" spans="1:10">
      <c r="A129" s="98"/>
      <c r="B129" s="82"/>
      <c r="C129" s="99"/>
      <c r="D129" s="100"/>
      <c r="E129" s="82"/>
      <c r="G129" s="469"/>
      <c r="H129" s="469"/>
      <c r="I129" s="469"/>
      <c r="J129" s="469"/>
    </row>
    <row r="130" spans="1:10">
      <c r="A130" s="98"/>
      <c r="B130" s="96"/>
      <c r="C130" s="885"/>
      <c r="D130" s="100"/>
      <c r="E130" s="82"/>
      <c r="G130" s="469"/>
      <c r="H130" s="469"/>
      <c r="I130" s="469"/>
      <c r="J130" s="469"/>
    </row>
    <row r="131" spans="1:10">
      <c r="A131" s="8"/>
      <c r="B131" s="25"/>
      <c r="C131" s="25"/>
      <c r="D131" s="25"/>
      <c r="E131" s="25"/>
      <c r="G131" s="469"/>
      <c r="H131" s="469"/>
      <c r="I131" s="469"/>
      <c r="J131" s="469"/>
    </row>
    <row r="132" spans="1:10">
      <c r="A132" s="8"/>
      <c r="B132" s="25"/>
      <c r="C132" s="25"/>
      <c r="D132" s="25"/>
      <c r="E132" s="25"/>
      <c r="G132" s="469"/>
      <c r="H132" s="469"/>
      <c r="I132" s="469"/>
      <c r="J132" s="469"/>
    </row>
    <row r="133" spans="1:10">
      <c r="C133" s="25"/>
      <c r="D133" s="25"/>
      <c r="E133" s="25"/>
      <c r="G133" s="469"/>
      <c r="H133" s="469"/>
      <c r="I133" s="469"/>
      <c r="J133" s="469"/>
    </row>
    <row r="134" spans="1:10">
      <c r="A134" s="8"/>
      <c r="B134" s="25"/>
      <c r="C134" s="25"/>
      <c r="D134" s="25"/>
      <c r="E134" s="25"/>
      <c r="G134" s="469"/>
      <c r="H134" s="469"/>
      <c r="I134" s="469"/>
      <c r="J134" s="469"/>
    </row>
    <row r="135" spans="1:10">
      <c r="A135" s="8"/>
      <c r="B135" s="25"/>
      <c r="C135" s="25"/>
      <c r="D135" s="25"/>
      <c r="E135" s="25"/>
      <c r="G135" s="469"/>
      <c r="H135" s="469"/>
      <c r="I135" s="469"/>
      <c r="J135" s="469"/>
    </row>
    <row r="136" spans="1:10">
      <c r="A136" s="8"/>
      <c r="B136" s="25"/>
      <c r="C136" s="25"/>
      <c r="D136" s="25"/>
      <c r="E136" s="25"/>
      <c r="G136" s="469"/>
      <c r="H136" s="469"/>
      <c r="I136" s="469"/>
      <c r="J136" s="469"/>
    </row>
    <row r="137" spans="1:10">
      <c r="G137" s="469"/>
      <c r="H137" s="469"/>
      <c r="I137" s="469"/>
      <c r="J137" s="469"/>
    </row>
    <row r="138" spans="1:10">
      <c r="G138" s="469"/>
      <c r="H138" s="469"/>
      <c r="I138" s="469"/>
      <c r="J138" s="469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9"/>
  <sheetViews>
    <sheetView zoomScale="164" zoomScaleNormal="164" workbookViewId="0">
      <pane xSplit="1" ySplit="4" topLeftCell="B4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54" sqref="A5:XFD54"/>
    </sheetView>
  </sheetViews>
  <sheetFormatPr defaultColWidth="9.140625" defaultRowHeight="11.25"/>
  <cols>
    <col min="1" max="1" width="8.28515625" style="16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2" customFormat="1" ht="12.75" customHeight="1">
      <c r="A1" s="2412" t="s">
        <v>631</v>
      </c>
      <c r="B1" s="2412"/>
      <c r="C1" s="2412"/>
      <c r="D1" s="2412"/>
      <c r="E1" s="2412"/>
      <c r="F1" s="2412"/>
      <c r="G1" s="2412"/>
      <c r="H1" s="2412"/>
      <c r="I1" s="2412"/>
      <c r="J1" s="2411" t="s">
        <v>1327</v>
      </c>
      <c r="K1" s="2411"/>
      <c r="L1" s="2411"/>
      <c r="M1" s="2411"/>
      <c r="N1" s="2411"/>
      <c r="O1" s="2411"/>
      <c r="P1" s="2411"/>
      <c r="Q1" s="2413" t="s">
        <v>1078</v>
      </c>
      <c r="R1" s="2413"/>
    </row>
    <row r="2" spans="1:18" s="20" customFormat="1" ht="10.5" customHeight="1">
      <c r="B2" s="1545"/>
      <c r="C2" s="1545"/>
      <c r="D2" s="1545"/>
      <c r="E2" s="1545"/>
      <c r="F2" s="1545"/>
      <c r="G2" s="1545"/>
      <c r="J2" s="1545"/>
      <c r="K2" s="1545"/>
      <c r="L2" s="1545"/>
      <c r="M2" s="1545"/>
      <c r="N2" s="1545"/>
      <c r="O2" s="1545"/>
      <c r="P2" s="1545"/>
      <c r="Q2" s="2417" t="s">
        <v>24</v>
      </c>
      <c r="R2" s="2417"/>
    </row>
    <row r="3" spans="1:18" s="104" customFormat="1" ht="12.75" customHeight="1">
      <c r="A3" s="2418" t="s">
        <v>475</v>
      </c>
      <c r="B3" s="2414" t="s">
        <v>1199</v>
      </c>
      <c r="C3" s="2415"/>
      <c r="D3" s="2415"/>
      <c r="E3" s="2415"/>
      <c r="F3" s="2415"/>
      <c r="G3" s="2415"/>
      <c r="H3" s="2415"/>
      <c r="I3" s="2415"/>
      <c r="J3" s="2415"/>
      <c r="K3" s="2415"/>
      <c r="L3" s="2415"/>
      <c r="M3" s="2415"/>
      <c r="N3" s="2415"/>
      <c r="O3" s="2415"/>
      <c r="P3" s="2415"/>
      <c r="Q3" s="2416"/>
      <c r="R3" s="2418" t="s">
        <v>921</v>
      </c>
    </row>
    <row r="4" spans="1:18" s="71" customFormat="1" ht="39.75" customHeight="1">
      <c r="A4" s="2300"/>
      <c r="B4" s="1904" t="s">
        <v>476</v>
      </c>
      <c r="C4" s="1904" t="s">
        <v>225</v>
      </c>
      <c r="D4" s="1904" t="s">
        <v>226</v>
      </c>
      <c r="E4" s="1904" t="s">
        <v>86</v>
      </c>
      <c r="F4" s="1904" t="s">
        <v>1237</v>
      </c>
      <c r="G4" s="1904" t="s">
        <v>1236</v>
      </c>
      <c r="H4" s="1904" t="s">
        <v>87</v>
      </c>
      <c r="I4" s="1904" t="s">
        <v>504</v>
      </c>
      <c r="J4" s="1904" t="s">
        <v>1235</v>
      </c>
      <c r="K4" s="1904" t="s">
        <v>1238</v>
      </c>
      <c r="L4" s="1904" t="s">
        <v>1239</v>
      </c>
      <c r="M4" s="1904" t="s">
        <v>89</v>
      </c>
      <c r="N4" s="1904" t="s">
        <v>505</v>
      </c>
      <c r="O4" s="1904" t="s">
        <v>231</v>
      </c>
      <c r="P4" s="1904" t="s">
        <v>275</v>
      </c>
      <c r="Q4" s="1904" t="s">
        <v>90</v>
      </c>
      <c r="R4" s="2300"/>
    </row>
    <row r="5" spans="1:18" s="244" customFormat="1" ht="12" customHeight="1">
      <c r="A5" s="559" t="s">
        <v>189</v>
      </c>
      <c r="B5" s="250">
        <v>68061.899999999994</v>
      </c>
      <c r="C5" s="560">
        <v>28715.5</v>
      </c>
      <c r="D5" s="250">
        <v>3595.5</v>
      </c>
      <c r="E5" s="250">
        <v>12054.8</v>
      </c>
      <c r="F5" s="250">
        <v>5342</v>
      </c>
      <c r="G5" s="250">
        <v>28931.4</v>
      </c>
      <c r="H5" s="250">
        <v>79</v>
      </c>
      <c r="I5" s="250">
        <v>8229.2000000000007</v>
      </c>
      <c r="J5" s="250">
        <v>18080.8</v>
      </c>
      <c r="K5" s="250">
        <v>90.6</v>
      </c>
      <c r="L5" s="250">
        <v>1871.8</v>
      </c>
      <c r="M5" s="250">
        <v>7703</v>
      </c>
      <c r="N5" s="250">
        <v>14010.4</v>
      </c>
      <c r="O5" s="250">
        <v>22131.4</v>
      </c>
      <c r="P5" s="250">
        <v>13804.3</v>
      </c>
      <c r="Q5" s="250">
        <v>232701.59999999998</v>
      </c>
      <c r="R5" s="561" t="s">
        <v>189</v>
      </c>
    </row>
    <row r="6" spans="1:18" s="94" customFormat="1" ht="12" customHeight="1">
      <c r="A6" s="434" t="s">
        <v>705</v>
      </c>
      <c r="B6" s="289">
        <v>51238.6</v>
      </c>
      <c r="C6" s="435">
        <v>18987.8</v>
      </c>
      <c r="D6" s="289">
        <v>3588.1</v>
      </c>
      <c r="E6" s="289">
        <v>8631.4</v>
      </c>
      <c r="F6" s="289">
        <v>5117.6000000000004</v>
      </c>
      <c r="G6" s="289">
        <v>24813</v>
      </c>
      <c r="H6" s="289">
        <v>49.8</v>
      </c>
      <c r="I6" s="289">
        <v>4585</v>
      </c>
      <c r="J6" s="289">
        <v>16465.8</v>
      </c>
      <c r="K6" s="289">
        <v>48.8</v>
      </c>
      <c r="L6" s="289">
        <v>1187.3</v>
      </c>
      <c r="M6" s="289">
        <v>8386.2999999999993</v>
      </c>
      <c r="N6" s="289">
        <v>10716.9</v>
      </c>
      <c r="O6" s="289">
        <v>28924.3</v>
      </c>
      <c r="P6" s="289">
        <v>10503.380000000001</v>
      </c>
      <c r="Q6" s="289">
        <v>193244.07999999996</v>
      </c>
      <c r="R6" s="436" t="s">
        <v>705</v>
      </c>
    </row>
    <row r="7" spans="1:18" s="244" customFormat="1" ht="12" customHeight="1">
      <c r="A7" s="559" t="s">
        <v>814</v>
      </c>
      <c r="B7" s="250">
        <v>41710.1</v>
      </c>
      <c r="C7" s="560">
        <v>16994.599999999999</v>
      </c>
      <c r="D7" s="250">
        <v>4130.8</v>
      </c>
      <c r="E7" s="250">
        <v>9567</v>
      </c>
      <c r="F7" s="250">
        <v>8581.6</v>
      </c>
      <c r="G7" s="250">
        <v>29036.7</v>
      </c>
      <c r="H7" s="250">
        <v>49.5</v>
      </c>
      <c r="I7" s="250">
        <v>6418.5</v>
      </c>
      <c r="J7" s="250">
        <v>19754.099999999999</v>
      </c>
      <c r="K7" s="250">
        <v>32.9</v>
      </c>
      <c r="L7" s="250">
        <v>954.1</v>
      </c>
      <c r="M7" s="250">
        <v>9156.1</v>
      </c>
      <c r="N7" s="250">
        <v>10675.2</v>
      </c>
      <c r="O7" s="250">
        <v>27168.2</v>
      </c>
      <c r="P7" s="250">
        <v>13513.613000000001</v>
      </c>
      <c r="Q7" s="250">
        <v>197743.01300000004</v>
      </c>
      <c r="R7" s="561" t="s">
        <v>814</v>
      </c>
    </row>
    <row r="8" spans="1:18" s="159" customFormat="1" ht="12" customHeight="1">
      <c r="A8" s="631" t="s">
        <v>991</v>
      </c>
      <c r="B8" s="294">
        <v>39281.1</v>
      </c>
      <c r="C8" s="294">
        <v>15318.1</v>
      </c>
      <c r="D8" s="294">
        <v>3431.1</v>
      </c>
      <c r="E8" s="294">
        <v>9860.7000000000007</v>
      </c>
      <c r="F8" s="294">
        <v>18418.5</v>
      </c>
      <c r="G8" s="294">
        <v>29365.5</v>
      </c>
      <c r="H8" s="294">
        <v>66.900000000000006</v>
      </c>
      <c r="I8" s="294">
        <v>8245.7999999999993</v>
      </c>
      <c r="J8" s="294">
        <v>30676.799999999999</v>
      </c>
      <c r="K8" s="294">
        <v>50.9</v>
      </c>
      <c r="L8" s="294">
        <v>1002.3</v>
      </c>
      <c r="M8" s="294">
        <v>15672.4</v>
      </c>
      <c r="N8" s="294">
        <v>9972.4</v>
      </c>
      <c r="O8" s="294">
        <v>43364.9</v>
      </c>
      <c r="P8" s="294">
        <v>13898.900999999998</v>
      </c>
      <c r="Q8" s="294">
        <v>238626.30099999998</v>
      </c>
      <c r="R8" s="632" t="s">
        <v>991</v>
      </c>
    </row>
    <row r="9" spans="1:18" s="159" customFormat="1" ht="12" customHeight="1">
      <c r="A9" s="527" t="s">
        <v>1042</v>
      </c>
      <c r="B9" s="250">
        <v>36607.300000000003</v>
      </c>
      <c r="C9" s="250">
        <v>15119.2</v>
      </c>
      <c r="D9" s="250">
        <v>2884.8</v>
      </c>
      <c r="E9" s="250">
        <v>13566.4</v>
      </c>
      <c r="F9" s="250">
        <v>23673.8</v>
      </c>
      <c r="G9" s="250">
        <v>38616.1</v>
      </c>
      <c r="H9" s="250">
        <v>71.099999999999994</v>
      </c>
      <c r="I9" s="250">
        <v>9181.1</v>
      </c>
      <c r="J9" s="250">
        <v>38646.1</v>
      </c>
      <c r="K9" s="250">
        <v>256.60000000000002</v>
      </c>
      <c r="L9" s="250">
        <v>2095.3000000000002</v>
      </c>
      <c r="M9" s="250">
        <v>19413.8</v>
      </c>
      <c r="N9" s="250">
        <v>7528.3</v>
      </c>
      <c r="O9" s="250">
        <v>46505.8</v>
      </c>
      <c r="P9" s="250">
        <v>16021.86</v>
      </c>
      <c r="Q9" s="250">
        <v>270187.56</v>
      </c>
      <c r="R9" s="524" t="s">
        <v>1042</v>
      </c>
    </row>
    <row r="10" spans="1:18" s="449" customFormat="1" ht="12" customHeight="1">
      <c r="A10" s="534" t="s">
        <v>1163</v>
      </c>
      <c r="B10" s="289">
        <v>39555.603000000003</v>
      </c>
      <c r="C10" s="289">
        <v>14567.243</v>
      </c>
      <c r="D10" s="289">
        <v>3028.4430000000002</v>
      </c>
      <c r="E10" s="289">
        <v>15529.823</v>
      </c>
      <c r="F10" s="289">
        <v>24410.638999999999</v>
      </c>
      <c r="G10" s="289">
        <v>35133.678</v>
      </c>
      <c r="H10" s="289">
        <v>79.346999999999994</v>
      </c>
      <c r="I10" s="289">
        <v>8184.8909999999996</v>
      </c>
      <c r="J10" s="289">
        <v>43424.767999999996</v>
      </c>
      <c r="K10" s="289">
        <v>150.286</v>
      </c>
      <c r="L10" s="289">
        <v>1834.0039999999999</v>
      </c>
      <c r="M10" s="289">
        <v>14872.710999999999</v>
      </c>
      <c r="N10" s="289">
        <v>7141.9579999999996</v>
      </c>
      <c r="O10" s="289">
        <v>36209.4</v>
      </c>
      <c r="P10" s="289">
        <v>17324.168000000005</v>
      </c>
      <c r="Q10" s="289">
        <v>261446.962</v>
      </c>
      <c r="R10" s="535" t="s">
        <v>1163</v>
      </c>
    </row>
    <row r="11" spans="1:18" s="159" customFormat="1" ht="12" customHeight="1">
      <c r="A11" s="527" t="s">
        <v>1187</v>
      </c>
      <c r="B11" s="250">
        <v>56058.838000000003</v>
      </c>
      <c r="C11" s="250">
        <v>23379.762999999999</v>
      </c>
      <c r="D11" s="250">
        <v>4250.0659999999998</v>
      </c>
      <c r="E11" s="250">
        <v>19062.416000000001</v>
      </c>
      <c r="F11" s="250">
        <v>24719.441999999999</v>
      </c>
      <c r="G11" s="250">
        <v>40486.985999999997</v>
      </c>
      <c r="H11" s="250">
        <v>154.69</v>
      </c>
      <c r="I11" s="250">
        <v>12634.067999999999</v>
      </c>
      <c r="J11" s="250">
        <v>50185.283000000003</v>
      </c>
      <c r="K11" s="250">
        <v>192.57</v>
      </c>
      <c r="L11" s="250">
        <v>2533.12</v>
      </c>
      <c r="M11" s="250">
        <v>13144.56</v>
      </c>
      <c r="N11" s="250">
        <v>8648.9599999999991</v>
      </c>
      <c r="O11" s="250">
        <v>48484.847999999998</v>
      </c>
      <c r="P11" s="250">
        <v>20005.729999999996</v>
      </c>
      <c r="Q11" s="250">
        <v>323941.33999999997</v>
      </c>
      <c r="R11" s="524" t="s">
        <v>1187</v>
      </c>
    </row>
    <row r="12" spans="1:18" s="159" customFormat="1" ht="12" customHeight="1">
      <c r="A12" s="534" t="s">
        <v>1311</v>
      </c>
      <c r="B12" s="289">
        <v>56693.462</v>
      </c>
      <c r="C12" s="289">
        <v>21015.174999999999</v>
      </c>
      <c r="D12" s="289">
        <v>4080.9349999999999</v>
      </c>
      <c r="E12" s="289">
        <v>19059.028999999999</v>
      </c>
      <c r="F12" s="289">
        <v>27614.215</v>
      </c>
      <c r="G12" s="289">
        <v>39752.845000000001</v>
      </c>
      <c r="H12" s="289">
        <v>194.55099999999999</v>
      </c>
      <c r="I12" s="289">
        <v>11658.181</v>
      </c>
      <c r="J12" s="289">
        <v>52211.76</v>
      </c>
      <c r="K12" s="289">
        <v>215.678</v>
      </c>
      <c r="L12" s="289">
        <v>1912.181</v>
      </c>
      <c r="M12" s="289">
        <v>11754.666999999999</v>
      </c>
      <c r="N12" s="289">
        <v>8559.2569999999996</v>
      </c>
      <c r="O12" s="289">
        <v>54210.046000000002</v>
      </c>
      <c r="P12" s="289">
        <v>17379.812999999998</v>
      </c>
      <c r="Q12" s="289">
        <v>326311.7950000001</v>
      </c>
      <c r="R12" s="535" t="s">
        <v>1311</v>
      </c>
    </row>
    <row r="13" spans="1:18" s="159" customFormat="1" ht="12" customHeight="1">
      <c r="A13" s="527" t="s">
        <v>1420</v>
      </c>
      <c r="B13" s="250">
        <v>59295.131999999998</v>
      </c>
      <c r="C13" s="250">
        <v>18180.312000000002</v>
      </c>
      <c r="D13" s="250">
        <v>3559.5810000000001</v>
      </c>
      <c r="E13" s="250">
        <v>20264.021000000001</v>
      </c>
      <c r="F13" s="250">
        <v>31438.42</v>
      </c>
      <c r="G13" s="250">
        <v>48004.101000000002</v>
      </c>
      <c r="H13" s="250">
        <v>399.38499999999999</v>
      </c>
      <c r="I13" s="250">
        <v>14014.406999999999</v>
      </c>
      <c r="J13" s="250">
        <v>52831.345999999998</v>
      </c>
      <c r="K13" s="250">
        <v>1446.3230000000001</v>
      </c>
      <c r="L13" s="250">
        <v>1783.4949999999999</v>
      </c>
      <c r="M13" s="250">
        <v>9048.1380000000008</v>
      </c>
      <c r="N13" s="250">
        <v>10918.987999999999</v>
      </c>
      <c r="O13" s="250">
        <v>51422.195</v>
      </c>
      <c r="P13" s="250">
        <v>21009.715</v>
      </c>
      <c r="Q13" s="250">
        <v>343615.55900000007</v>
      </c>
      <c r="R13" s="524" t="s">
        <v>1420</v>
      </c>
    </row>
    <row r="14" spans="1:18" s="159" customFormat="1" ht="12" customHeight="1">
      <c r="A14" s="563" t="s">
        <v>1502</v>
      </c>
      <c r="B14" s="289">
        <v>44910.99</v>
      </c>
      <c r="C14" s="289">
        <v>12542.67</v>
      </c>
      <c r="D14" s="289">
        <v>2950.95</v>
      </c>
      <c r="E14" s="289">
        <v>13189.19</v>
      </c>
      <c r="F14" s="289">
        <v>20835.34</v>
      </c>
      <c r="G14" s="289">
        <v>36533.269999999997</v>
      </c>
      <c r="H14" s="289">
        <v>179.79</v>
      </c>
      <c r="I14" s="289">
        <v>9589.89</v>
      </c>
      <c r="J14" s="289">
        <v>46746.83</v>
      </c>
      <c r="K14" s="289">
        <v>962.58</v>
      </c>
      <c r="L14" s="289">
        <v>1304.19</v>
      </c>
      <c r="M14" s="289">
        <v>7189.48</v>
      </c>
      <c r="N14" s="289">
        <v>9150.66</v>
      </c>
      <c r="O14" s="289">
        <v>33674.9</v>
      </c>
      <c r="P14" s="289">
        <v>17815.13</v>
      </c>
      <c r="Q14" s="289">
        <v>257575.86</v>
      </c>
      <c r="R14" s="535" t="s">
        <v>1502</v>
      </c>
    </row>
    <row r="15" spans="1:18" s="160" customFormat="1" ht="12" customHeight="1">
      <c r="A15" s="523" t="s">
        <v>1555</v>
      </c>
      <c r="B15" s="250">
        <v>67962.134999999995</v>
      </c>
      <c r="C15" s="250">
        <v>21199.138999999999</v>
      </c>
      <c r="D15" s="250">
        <v>4620.3789999999999</v>
      </c>
      <c r="E15" s="250">
        <v>60387.34</v>
      </c>
      <c r="F15" s="250">
        <v>38572.572</v>
      </c>
      <c r="G15" s="250">
        <v>46586.7</v>
      </c>
      <c r="H15" s="250">
        <v>198.36600000000001</v>
      </c>
      <c r="I15" s="250">
        <v>14741.874</v>
      </c>
      <c r="J15" s="250">
        <v>63825.078000000001</v>
      </c>
      <c r="K15" s="250">
        <v>1509.154</v>
      </c>
      <c r="L15" s="250">
        <v>2085.1729999999998</v>
      </c>
      <c r="M15" s="250">
        <v>11936.501</v>
      </c>
      <c r="N15" s="250">
        <v>22274.534</v>
      </c>
      <c r="O15" s="250">
        <v>73061.112999999998</v>
      </c>
      <c r="P15" s="250">
        <v>29821.007999999998</v>
      </c>
      <c r="Q15" s="250">
        <v>458781.06599999999</v>
      </c>
      <c r="R15" s="524" t="s">
        <v>1555</v>
      </c>
    </row>
    <row r="16" spans="1:18" s="160" customFormat="1" ht="12" customHeight="1">
      <c r="A16" s="563" t="s">
        <v>1836</v>
      </c>
      <c r="B16" s="289">
        <v>68002.862999999998</v>
      </c>
      <c r="C16" s="289">
        <v>19726.462</v>
      </c>
      <c r="D16" s="289">
        <v>3910.991</v>
      </c>
      <c r="E16" s="289">
        <v>55260.614000000001</v>
      </c>
      <c r="F16" s="289">
        <v>39234.875</v>
      </c>
      <c r="G16" s="289">
        <v>47496.468999999997</v>
      </c>
      <c r="H16" s="289">
        <v>197.02600000000001</v>
      </c>
      <c r="I16" s="289">
        <v>17301.597000000002</v>
      </c>
      <c r="J16" s="289">
        <v>71054.562000000005</v>
      </c>
      <c r="K16" s="289">
        <v>2750.3130000000001</v>
      </c>
      <c r="L16" s="289">
        <v>2611.3119999999999</v>
      </c>
      <c r="M16" s="289">
        <v>11890.557000000001</v>
      </c>
      <c r="N16" s="289">
        <v>16599.167000000001</v>
      </c>
      <c r="O16" s="289">
        <v>59091.580999999998</v>
      </c>
      <c r="P16" s="289">
        <v>41452.983999999997</v>
      </c>
      <c r="Q16" s="289">
        <v>456581.37300000008</v>
      </c>
      <c r="R16" s="535" t="s">
        <v>1836</v>
      </c>
    </row>
    <row r="17" spans="1:18" s="160" customFormat="1" ht="12" customHeight="1">
      <c r="A17" s="548" t="s">
        <v>2088</v>
      </c>
      <c r="B17" s="339">
        <v>67510.316000000006</v>
      </c>
      <c r="C17" s="339">
        <v>18741.575000000001</v>
      </c>
      <c r="D17" s="339">
        <v>3764.1147000000001</v>
      </c>
      <c r="E17" s="339">
        <v>53031.377999999997</v>
      </c>
      <c r="F17" s="339">
        <v>39991.436999999998</v>
      </c>
      <c r="G17" s="339">
        <v>45011.857000000004</v>
      </c>
      <c r="H17" s="339">
        <v>371.97899999999998</v>
      </c>
      <c r="I17" s="339">
        <v>17226.175999999999</v>
      </c>
      <c r="J17" s="339">
        <v>72004.596999999994</v>
      </c>
      <c r="K17" s="339">
        <v>4232.2730000000001</v>
      </c>
      <c r="L17" s="339">
        <v>2931.1860000000001</v>
      </c>
      <c r="M17" s="339">
        <v>12316.058000000001</v>
      </c>
      <c r="N17" s="339">
        <v>18425.573</v>
      </c>
      <c r="O17" s="339">
        <v>58023.178999999996</v>
      </c>
      <c r="P17" s="339">
        <v>42995.048000000003</v>
      </c>
      <c r="Q17" s="339">
        <v>456576.74669999996</v>
      </c>
      <c r="R17" s="549" t="s">
        <v>2088</v>
      </c>
    </row>
    <row r="18" spans="1:18" s="160" customFormat="1" ht="12" customHeight="1">
      <c r="A18" s="598" t="s">
        <v>2228</v>
      </c>
      <c r="B18" s="332">
        <f>B30</f>
        <v>61502.328999999998</v>
      </c>
      <c r="C18" s="332">
        <f>C30</f>
        <v>10941.03</v>
      </c>
      <c r="D18" s="332">
        <f t="shared" ref="D18:Q18" si="0">D30</f>
        <v>3123.9810000000002</v>
      </c>
      <c r="E18" s="332">
        <f t="shared" si="0"/>
        <v>35219.608999999997</v>
      </c>
      <c r="F18" s="332">
        <f t="shared" si="0"/>
        <v>29567.940999999999</v>
      </c>
      <c r="G18" s="332">
        <f t="shared" si="0"/>
        <v>32888.892</v>
      </c>
      <c r="H18" s="332">
        <f t="shared" si="0"/>
        <v>362.428</v>
      </c>
      <c r="I18" s="332">
        <f t="shared" si="0"/>
        <v>12582.056</v>
      </c>
      <c r="J18" s="332">
        <f t="shared" si="0"/>
        <v>60783.798999999999</v>
      </c>
      <c r="K18" s="332">
        <f t="shared" si="0"/>
        <v>3146.34</v>
      </c>
      <c r="L18" s="332">
        <f t="shared" si="0"/>
        <v>2338.8629999999998</v>
      </c>
      <c r="M18" s="332">
        <f t="shared" si="0"/>
        <v>11085.117</v>
      </c>
      <c r="N18" s="332">
        <f t="shared" si="0"/>
        <v>14177.669</v>
      </c>
      <c r="O18" s="332">
        <f t="shared" si="0"/>
        <v>47687.898000000001</v>
      </c>
      <c r="P18" s="332">
        <f t="shared" si="0"/>
        <v>41411.814000000006</v>
      </c>
      <c r="Q18" s="332">
        <f t="shared" si="0"/>
        <v>366819.766</v>
      </c>
      <c r="R18" s="528" t="s">
        <v>2228</v>
      </c>
    </row>
    <row r="19" spans="1:18" s="160" customFormat="1" ht="12" customHeight="1">
      <c r="A19" s="523" t="s">
        <v>559</v>
      </c>
      <c r="B19" s="584">
        <v>68558.23</v>
      </c>
      <c r="C19" s="584">
        <v>18692.868999999999</v>
      </c>
      <c r="D19" s="584">
        <v>3760.645</v>
      </c>
      <c r="E19" s="584">
        <v>52893.324000000001</v>
      </c>
      <c r="F19" s="584">
        <v>39755.911999999997</v>
      </c>
      <c r="G19" s="584">
        <v>44783.572999999997</v>
      </c>
      <c r="H19" s="584">
        <v>397.05700000000002</v>
      </c>
      <c r="I19" s="584">
        <v>17216.076000000001</v>
      </c>
      <c r="J19" s="584">
        <v>71831.267999999996</v>
      </c>
      <c r="K19" s="584">
        <v>4101.0129999999999</v>
      </c>
      <c r="L19" s="584">
        <v>2781.27</v>
      </c>
      <c r="M19" s="584">
        <v>12326.138000000001</v>
      </c>
      <c r="N19" s="584">
        <v>18567.451000000001</v>
      </c>
      <c r="O19" s="584">
        <v>58023.178999999996</v>
      </c>
      <c r="P19" s="250">
        <f>3159.836+3422.68+4119.144+4946.04+22838.594+4088.319</f>
        <v>42574.613000000005</v>
      </c>
      <c r="Q19" s="250">
        <f t="shared" ref="Q19:Q38" si="1">SUM(B19:P19)</f>
        <v>456262.61799999996</v>
      </c>
      <c r="R19" s="524" t="s">
        <v>559</v>
      </c>
    </row>
    <row r="20" spans="1:18" s="160" customFormat="1" ht="12" customHeight="1">
      <c r="A20" s="563" t="s">
        <v>560</v>
      </c>
      <c r="B20" s="583">
        <v>68493.937999999995</v>
      </c>
      <c r="C20" s="583">
        <v>18671.004000000001</v>
      </c>
      <c r="D20" s="583">
        <v>3746.0749999999998</v>
      </c>
      <c r="E20" s="583">
        <v>52781.805</v>
      </c>
      <c r="F20" s="583">
        <v>40086.315999999999</v>
      </c>
      <c r="G20" s="583">
        <v>44893.849000000002</v>
      </c>
      <c r="H20" s="583">
        <v>394.91899999999998</v>
      </c>
      <c r="I20" s="583">
        <v>17091.196</v>
      </c>
      <c r="J20" s="583">
        <v>72311.37</v>
      </c>
      <c r="K20" s="583">
        <v>4233.058</v>
      </c>
      <c r="L20" s="583">
        <v>2806.2779999999998</v>
      </c>
      <c r="M20" s="583">
        <v>12398.548000000001</v>
      </c>
      <c r="N20" s="583">
        <v>17446.334999999999</v>
      </c>
      <c r="O20" s="583">
        <v>58023.178999999996</v>
      </c>
      <c r="P20" s="289">
        <f>3144.596+3405.184+4148.163+4465.432+23044.062+4087.799</f>
        <v>42295.236000000004</v>
      </c>
      <c r="Q20" s="289">
        <f t="shared" si="1"/>
        <v>455673.10600000003</v>
      </c>
      <c r="R20" s="535" t="s">
        <v>560</v>
      </c>
    </row>
    <row r="21" spans="1:18" s="160" customFormat="1" ht="12" customHeight="1">
      <c r="A21" s="523" t="s">
        <v>554</v>
      </c>
      <c r="B21" s="584">
        <v>68069.134999999995</v>
      </c>
      <c r="C21" s="584">
        <v>18652.02</v>
      </c>
      <c r="D21" s="584">
        <v>3740.2579999999998</v>
      </c>
      <c r="E21" s="584">
        <v>52625.231</v>
      </c>
      <c r="F21" s="584">
        <v>39780.33</v>
      </c>
      <c r="G21" s="584">
        <v>44781.463000000003</v>
      </c>
      <c r="H21" s="584">
        <v>390.28100000000001</v>
      </c>
      <c r="I21" s="584">
        <v>16893.114000000001</v>
      </c>
      <c r="J21" s="584">
        <v>71773.731</v>
      </c>
      <c r="K21" s="584">
        <v>3970.431</v>
      </c>
      <c r="L21" s="584">
        <v>2851.0010000000002</v>
      </c>
      <c r="M21" s="584">
        <v>12272.478999999999</v>
      </c>
      <c r="N21" s="584">
        <v>18806.151000000002</v>
      </c>
      <c r="O21" s="584">
        <v>58023.178999999996</v>
      </c>
      <c r="P21" s="250">
        <f>3144.596+3597.07+4113.995+4655.642+22500.39+4087.599</f>
        <v>42099.292000000001</v>
      </c>
      <c r="Q21" s="250">
        <f t="shared" si="1"/>
        <v>454728.09599999996</v>
      </c>
      <c r="R21" s="524" t="s">
        <v>554</v>
      </c>
    </row>
    <row r="22" spans="1:18" s="160" customFormat="1" ht="12" customHeight="1">
      <c r="A22" s="563" t="s">
        <v>561</v>
      </c>
      <c r="B22" s="583">
        <v>68412.78</v>
      </c>
      <c r="C22" s="583">
        <v>18652.02</v>
      </c>
      <c r="D22" s="583">
        <v>4156.5060000000003</v>
      </c>
      <c r="E22" s="583">
        <v>52734.328000000001</v>
      </c>
      <c r="F22" s="583">
        <v>39762.521000000001</v>
      </c>
      <c r="G22" s="583">
        <v>44841.031999999999</v>
      </c>
      <c r="H22" s="583">
        <v>472.39499999999998</v>
      </c>
      <c r="I22" s="583">
        <v>16749.076000000001</v>
      </c>
      <c r="J22" s="583">
        <v>72060.051000000007</v>
      </c>
      <c r="K22" s="583">
        <v>3816.4659999999999</v>
      </c>
      <c r="L22" s="583">
        <v>2818.308</v>
      </c>
      <c r="M22" s="583">
        <v>12312.032999999999</v>
      </c>
      <c r="N22" s="583">
        <v>18030.512999999999</v>
      </c>
      <c r="O22" s="583">
        <v>58023.178999999996</v>
      </c>
      <c r="P22" s="289">
        <f>3144.596+3551.703+3889.352+4584.273+22596.734+4088.309</f>
        <v>41854.966999999997</v>
      </c>
      <c r="Q22" s="289">
        <f t="shared" si="1"/>
        <v>454696.17500000005</v>
      </c>
      <c r="R22" s="535" t="s">
        <v>561</v>
      </c>
    </row>
    <row r="23" spans="1:18" s="160" customFormat="1" ht="12" customHeight="1">
      <c r="A23" s="523" t="s">
        <v>562</v>
      </c>
      <c r="B23" s="584">
        <v>67952.573999999993</v>
      </c>
      <c r="C23" s="584">
        <v>18657.198</v>
      </c>
      <c r="D23" s="584">
        <v>3907.6260000000002</v>
      </c>
      <c r="E23" s="584">
        <v>52896.678</v>
      </c>
      <c r="F23" s="584">
        <v>39161.250999999997</v>
      </c>
      <c r="G23" s="584">
        <v>44787.432000000001</v>
      </c>
      <c r="H23" s="584">
        <v>439.06</v>
      </c>
      <c r="I23" s="584">
        <v>17276.647000000001</v>
      </c>
      <c r="J23" s="584">
        <v>71815.494999999995</v>
      </c>
      <c r="K23" s="584">
        <v>3922.0720000000001</v>
      </c>
      <c r="L23" s="584">
        <v>2745.8449999999998</v>
      </c>
      <c r="M23" s="584">
        <v>12040.441000000001</v>
      </c>
      <c r="N23" s="584">
        <v>17132.940999999999</v>
      </c>
      <c r="O23" s="584">
        <v>58023.178999999996</v>
      </c>
      <c r="P23" s="250">
        <f>3215.45+3492.616+3715.431+4259.053+22681.461+4138.309</f>
        <v>41502.32</v>
      </c>
      <c r="Q23" s="250">
        <f t="shared" si="1"/>
        <v>452260.75899999996</v>
      </c>
      <c r="R23" s="524" t="s">
        <v>562</v>
      </c>
    </row>
    <row r="24" spans="1:18" s="160" customFormat="1" ht="12" customHeight="1">
      <c r="A24" s="563" t="s">
        <v>555</v>
      </c>
      <c r="B24" s="583">
        <v>68651.072</v>
      </c>
      <c r="C24" s="583">
        <v>18694.316999999999</v>
      </c>
      <c r="D24" s="583">
        <v>4147.3810000000003</v>
      </c>
      <c r="E24" s="583">
        <v>53188.73</v>
      </c>
      <c r="F24" s="583">
        <v>39192.516000000003</v>
      </c>
      <c r="G24" s="583">
        <v>44645.279999999999</v>
      </c>
      <c r="H24" s="583">
        <v>402.577</v>
      </c>
      <c r="I24" s="583">
        <v>17172.57</v>
      </c>
      <c r="J24" s="583">
        <v>72148.035000000003</v>
      </c>
      <c r="K24" s="583">
        <v>3888.9949999999999</v>
      </c>
      <c r="L24" s="583">
        <v>2750.5160000000001</v>
      </c>
      <c r="M24" s="583">
        <v>12140.829</v>
      </c>
      <c r="N24" s="583">
        <v>17567.964</v>
      </c>
      <c r="O24" s="583">
        <v>58023.178999999996</v>
      </c>
      <c r="P24" s="289">
        <f>3212.365+3480.697+3804.317+3249.123+23250.796+4520.129</f>
        <v>41517.426999999996</v>
      </c>
      <c r="Q24" s="289">
        <f t="shared" si="1"/>
        <v>454131.38800000004</v>
      </c>
      <c r="R24" s="535" t="s">
        <v>555</v>
      </c>
    </row>
    <row r="25" spans="1:18" s="160" customFormat="1" ht="12" customHeight="1">
      <c r="A25" s="523" t="s">
        <v>563</v>
      </c>
      <c r="B25" s="584">
        <v>66732</v>
      </c>
      <c r="C25" s="584">
        <v>13949.92</v>
      </c>
      <c r="D25" s="584">
        <v>3625.89</v>
      </c>
      <c r="E25" s="584">
        <v>41866.589999999997</v>
      </c>
      <c r="F25" s="584">
        <v>39274.379999999997</v>
      </c>
      <c r="G25" s="584">
        <v>36961.82</v>
      </c>
      <c r="H25" s="584">
        <v>383.29</v>
      </c>
      <c r="I25" s="584">
        <v>13896.84</v>
      </c>
      <c r="J25" s="584">
        <v>71031.899999999994</v>
      </c>
      <c r="K25" s="584">
        <v>3624.61</v>
      </c>
      <c r="L25" s="584">
        <v>2499.04</v>
      </c>
      <c r="M25" s="584">
        <v>12569.16</v>
      </c>
      <c r="N25" s="584">
        <v>17143.59</v>
      </c>
      <c r="O25" s="584">
        <v>57060.13</v>
      </c>
      <c r="P25" s="250">
        <f>3114.2+3893.99+3354.96+2518.15+25041.51+4342.27</f>
        <v>42265.08</v>
      </c>
      <c r="Q25" s="250">
        <f>SUM(B25:P25)</f>
        <v>422884.24</v>
      </c>
      <c r="R25" s="524" t="s">
        <v>563</v>
      </c>
    </row>
    <row r="26" spans="1:18" s="160" customFormat="1" ht="12" customHeight="1">
      <c r="A26" s="563" t="s">
        <v>564</v>
      </c>
      <c r="B26" s="583">
        <v>70136.12</v>
      </c>
      <c r="C26" s="583">
        <v>14281.82</v>
      </c>
      <c r="D26" s="583">
        <v>3679.44</v>
      </c>
      <c r="E26" s="583">
        <v>42012.19</v>
      </c>
      <c r="F26" s="583">
        <v>39871.82</v>
      </c>
      <c r="G26" s="583">
        <v>36556.339999999997</v>
      </c>
      <c r="H26" s="583">
        <v>432.07</v>
      </c>
      <c r="I26" s="583">
        <v>15524.35</v>
      </c>
      <c r="J26" s="583">
        <v>68605.72</v>
      </c>
      <c r="K26" s="583">
        <v>4675.16</v>
      </c>
      <c r="L26" s="583">
        <v>2665.69</v>
      </c>
      <c r="M26" s="583">
        <v>12937.87</v>
      </c>
      <c r="N26" s="583">
        <v>17519.29</v>
      </c>
      <c r="O26" s="583">
        <v>56896.87</v>
      </c>
      <c r="P26" s="289">
        <f>2943.62+3154.07+3991.33+7390.49+24911.17+4344.73</f>
        <v>46735.41</v>
      </c>
      <c r="Q26" s="289">
        <f t="shared" si="1"/>
        <v>432530.15999999992</v>
      </c>
      <c r="R26" s="535" t="s">
        <v>564</v>
      </c>
    </row>
    <row r="27" spans="1:18" s="160" customFormat="1" ht="12" customHeight="1">
      <c r="A27" s="523" t="s">
        <v>556</v>
      </c>
      <c r="B27" s="584">
        <v>67789.17</v>
      </c>
      <c r="C27" s="584">
        <v>12519.24</v>
      </c>
      <c r="D27" s="584">
        <v>3394.39</v>
      </c>
      <c r="E27" s="584">
        <v>37908.33</v>
      </c>
      <c r="F27" s="584">
        <v>33052.050000000003</v>
      </c>
      <c r="G27" s="584">
        <v>33893.370000000003</v>
      </c>
      <c r="H27" s="584">
        <v>417</v>
      </c>
      <c r="I27" s="584">
        <v>14219.49</v>
      </c>
      <c r="J27" s="584">
        <v>63661.14</v>
      </c>
      <c r="K27" s="584">
        <v>4129.49</v>
      </c>
      <c r="L27" s="584">
        <v>2414.02</v>
      </c>
      <c r="M27" s="584">
        <v>11774.28</v>
      </c>
      <c r="N27" s="584">
        <v>15687.23</v>
      </c>
      <c r="O27" s="584">
        <v>48817.79</v>
      </c>
      <c r="P27" s="250">
        <f>2763.975+2936.603+3823.74+7038.679+24302.145+4308.454</f>
        <v>45173.595999999998</v>
      </c>
      <c r="Q27" s="250">
        <f t="shared" si="1"/>
        <v>394850.58600000001</v>
      </c>
      <c r="R27" s="524" t="s">
        <v>556</v>
      </c>
    </row>
    <row r="28" spans="1:18" s="160" customFormat="1" ht="12" customHeight="1">
      <c r="A28" s="563" t="s">
        <v>565</v>
      </c>
      <c r="B28" s="583">
        <v>65740.97</v>
      </c>
      <c r="C28" s="583">
        <v>10791.044</v>
      </c>
      <c r="D28" s="583">
        <v>3186.0169999999998</v>
      </c>
      <c r="E28" s="583">
        <v>35691.875</v>
      </c>
      <c r="F28" s="583">
        <v>30773.7</v>
      </c>
      <c r="G28" s="583">
        <v>64116.934000000001</v>
      </c>
      <c r="H28" s="583">
        <v>414.24</v>
      </c>
      <c r="I28" s="583">
        <v>13685.728999999999</v>
      </c>
      <c r="J28" s="583">
        <v>62542.012000000002</v>
      </c>
      <c r="K28" s="583">
        <v>3760.3780000000002</v>
      </c>
      <c r="L28" s="583">
        <v>2222.0830000000001</v>
      </c>
      <c r="M28" s="583">
        <v>11370.233</v>
      </c>
      <c r="N28" s="583">
        <v>14494.8</v>
      </c>
      <c r="O28" s="583">
        <v>46805.237999999998</v>
      </c>
      <c r="P28" s="289">
        <f>2514.703+2744.472+3760.499+6800.924+23506.337+4311.919</f>
        <v>43638.853999999999</v>
      </c>
      <c r="Q28" s="289">
        <f t="shared" si="1"/>
        <v>409234.10700000002</v>
      </c>
      <c r="R28" s="1409" t="s">
        <v>565</v>
      </c>
    </row>
    <row r="29" spans="1:18" s="159" customFormat="1" ht="12" customHeight="1">
      <c r="A29" s="523" t="s">
        <v>566</v>
      </c>
      <c r="B29" s="584">
        <v>62392.298000000003</v>
      </c>
      <c r="C29" s="584">
        <v>10570.156000000001</v>
      </c>
      <c r="D29" s="584">
        <v>3250.1439999999998</v>
      </c>
      <c r="E29" s="584">
        <v>31467.956999999999</v>
      </c>
      <c r="F29" s="584">
        <v>28385.133999999998</v>
      </c>
      <c r="G29" s="584">
        <v>31517.954000000002</v>
      </c>
      <c r="H29" s="584">
        <v>368.54300000000001</v>
      </c>
      <c r="I29" s="584">
        <v>13157.212</v>
      </c>
      <c r="J29" s="584">
        <v>57728.514000000003</v>
      </c>
      <c r="K29" s="584">
        <v>3111.3389999999999</v>
      </c>
      <c r="L29" s="584">
        <v>2241.7190000000001</v>
      </c>
      <c r="M29" s="584">
        <v>10280.204</v>
      </c>
      <c r="N29" s="584">
        <v>13839.726000000001</v>
      </c>
      <c r="O29" s="584">
        <v>43569.866000000002</v>
      </c>
      <c r="P29" s="250">
        <f>2242.421+2521.348+3220.347+6423.324+22936.463+4308.146</f>
        <v>41652.048999999999</v>
      </c>
      <c r="Q29" s="250">
        <f t="shared" si="1"/>
        <v>353532.815</v>
      </c>
      <c r="R29" s="1432" t="s">
        <v>566</v>
      </c>
    </row>
    <row r="30" spans="1:18" s="159" customFormat="1" ht="12" customHeight="1">
      <c r="A30" s="563" t="s">
        <v>557</v>
      </c>
      <c r="B30" s="583">
        <v>61502.328999999998</v>
      </c>
      <c r="C30" s="583">
        <v>10941.03</v>
      </c>
      <c r="D30" s="583">
        <v>3123.9810000000002</v>
      </c>
      <c r="E30" s="583">
        <v>35219.608999999997</v>
      </c>
      <c r="F30" s="583">
        <v>29567.940999999999</v>
      </c>
      <c r="G30" s="583">
        <v>32888.892</v>
      </c>
      <c r="H30" s="583">
        <v>362.428</v>
      </c>
      <c r="I30" s="583">
        <v>12582.056</v>
      </c>
      <c r="J30" s="583">
        <v>60783.798999999999</v>
      </c>
      <c r="K30" s="583">
        <v>3146.34</v>
      </c>
      <c r="L30" s="583">
        <v>2338.8629999999998</v>
      </c>
      <c r="M30" s="583">
        <v>11085.117</v>
      </c>
      <c r="N30" s="583">
        <v>14177.669</v>
      </c>
      <c r="O30" s="583">
        <v>47687.898000000001</v>
      </c>
      <c r="P30" s="289">
        <f>2204.188+2661.643+3307.592+5913.513+23093.895+4230.983</f>
        <v>41411.814000000006</v>
      </c>
      <c r="Q30" s="289">
        <f t="shared" si="1"/>
        <v>366819.766</v>
      </c>
      <c r="R30" s="1409" t="s">
        <v>557</v>
      </c>
    </row>
    <row r="31" spans="1:18" s="159" customFormat="1" ht="12" customHeight="1">
      <c r="A31" s="548" t="s">
        <v>2501</v>
      </c>
      <c r="B31" s="339">
        <f>B43</f>
        <v>63348.118000000002</v>
      </c>
      <c r="C31" s="339">
        <f>C43</f>
        <v>8960.7900000000009</v>
      </c>
      <c r="D31" s="339">
        <f t="shared" ref="D31:Q31" si="2">D43</f>
        <v>2827.2130000000002</v>
      </c>
      <c r="E31" s="339">
        <f t="shared" si="2"/>
        <v>25413.777999999998</v>
      </c>
      <c r="F31" s="339">
        <f t="shared" si="2"/>
        <v>26251.279999999999</v>
      </c>
      <c r="G31" s="339">
        <f t="shared" si="2"/>
        <v>28385.826000000001</v>
      </c>
      <c r="H31" s="339">
        <f t="shared" si="2"/>
        <v>235.09299999999999</v>
      </c>
      <c r="I31" s="339">
        <f t="shared" si="2"/>
        <v>10505.183000000001</v>
      </c>
      <c r="J31" s="339">
        <f t="shared" si="2"/>
        <v>52305.732000000004</v>
      </c>
      <c r="K31" s="339">
        <f t="shared" si="2"/>
        <v>1783.6010000000001</v>
      </c>
      <c r="L31" s="339">
        <f t="shared" si="2"/>
        <v>1575.7809999999999</v>
      </c>
      <c r="M31" s="339">
        <f t="shared" si="2"/>
        <v>1649.4880000000001</v>
      </c>
      <c r="N31" s="339">
        <f t="shared" si="2"/>
        <v>11115.54</v>
      </c>
      <c r="O31" s="339">
        <f t="shared" si="2"/>
        <v>56251.911999999997</v>
      </c>
      <c r="P31" s="339">
        <f t="shared" si="2"/>
        <v>41801.317999999999</v>
      </c>
      <c r="Q31" s="339">
        <f t="shared" si="2"/>
        <v>332410.65299999993</v>
      </c>
      <c r="R31" s="549" t="s">
        <v>2501</v>
      </c>
    </row>
    <row r="32" spans="1:18" s="159" customFormat="1" ht="12" customHeight="1">
      <c r="A32" s="563" t="s">
        <v>559</v>
      </c>
      <c r="B32" s="583">
        <v>64135.667999999998</v>
      </c>
      <c r="C32" s="583">
        <v>10559.447</v>
      </c>
      <c r="D32" s="583">
        <v>2951.9490000000001</v>
      </c>
      <c r="E32" s="583">
        <v>33818.101999999999</v>
      </c>
      <c r="F32" s="583">
        <v>29224.21</v>
      </c>
      <c r="G32" s="583">
        <v>31235.287</v>
      </c>
      <c r="H32" s="583">
        <v>377.96199999999999</v>
      </c>
      <c r="I32" s="583">
        <v>12121.950999999999</v>
      </c>
      <c r="J32" s="583">
        <v>60123.77</v>
      </c>
      <c r="K32" s="583">
        <v>2920.0059999999999</v>
      </c>
      <c r="L32" s="583">
        <v>2155.3110000000001</v>
      </c>
      <c r="M32" s="583">
        <v>10557.96</v>
      </c>
      <c r="N32" s="583">
        <v>13810.766</v>
      </c>
      <c r="O32" s="583">
        <v>48404.218999999997</v>
      </c>
      <c r="P32" s="289">
        <f>2089.01+2558.936+3259.767+5334.087+23007.252+4144.825</f>
        <v>40393.876999999993</v>
      </c>
      <c r="Q32" s="289">
        <f t="shared" si="1"/>
        <v>362790.48499999993</v>
      </c>
      <c r="R32" s="1409" t="s">
        <v>559</v>
      </c>
    </row>
    <row r="33" spans="1:18" s="159" customFormat="1" ht="12" customHeight="1">
      <c r="A33" s="523" t="s">
        <v>560</v>
      </c>
      <c r="B33" s="584">
        <v>75073.558000000005</v>
      </c>
      <c r="C33" s="584">
        <v>13598.210999999999</v>
      </c>
      <c r="D33" s="584">
        <v>3306.5329999999999</v>
      </c>
      <c r="E33" s="584">
        <v>38306.201000000001</v>
      </c>
      <c r="F33" s="584">
        <v>36200.235000000001</v>
      </c>
      <c r="G33" s="584">
        <v>34767.072999999997</v>
      </c>
      <c r="H33" s="584">
        <v>357.35500000000002</v>
      </c>
      <c r="I33" s="584">
        <v>13703.477000000001</v>
      </c>
      <c r="J33" s="584">
        <v>60795.749000000003</v>
      </c>
      <c r="K33" s="584">
        <v>2526.6669999999999</v>
      </c>
      <c r="L33" s="584">
        <v>2185.2629999999999</v>
      </c>
      <c r="M33" s="584">
        <v>12158.49</v>
      </c>
      <c r="N33" s="584">
        <v>15263.13</v>
      </c>
      <c r="O33" s="584">
        <v>64845.267</v>
      </c>
      <c r="P33" s="250">
        <f>2202.77+2560.252+3368.986+5257.213+22746.555+3492.612</f>
        <v>39628.387999999999</v>
      </c>
      <c r="Q33" s="250">
        <f t="shared" si="1"/>
        <v>412715.59700000001</v>
      </c>
      <c r="R33" s="1432" t="s">
        <v>560</v>
      </c>
    </row>
    <row r="34" spans="1:18" s="159" customFormat="1" ht="12" customHeight="1">
      <c r="A34" s="563" t="s">
        <v>554</v>
      </c>
      <c r="B34" s="583">
        <v>75819.95</v>
      </c>
      <c r="C34" s="583">
        <v>11915.909</v>
      </c>
      <c r="D34" s="583">
        <v>2826.77</v>
      </c>
      <c r="E34" s="583">
        <v>32561.758999999998</v>
      </c>
      <c r="F34" s="583">
        <v>33891.19</v>
      </c>
      <c r="G34" s="583">
        <v>31394.887999999999</v>
      </c>
      <c r="H34" s="583">
        <v>414.84100000000001</v>
      </c>
      <c r="I34" s="583">
        <v>12021.911</v>
      </c>
      <c r="J34" s="583">
        <v>58318.669000000002</v>
      </c>
      <c r="K34" s="583">
        <v>2283.913</v>
      </c>
      <c r="L34" s="583">
        <v>1863.3340000000001</v>
      </c>
      <c r="M34" s="583">
        <v>11090.01</v>
      </c>
      <c r="N34" s="583">
        <v>13753.93</v>
      </c>
      <c r="O34" s="583">
        <v>64416.987000000001</v>
      </c>
      <c r="P34" s="289">
        <f>1761.706+2343.288+3038.138+4651.553+22918.89+3586.601</f>
        <v>38300.175999999999</v>
      </c>
      <c r="Q34" s="289">
        <f t="shared" si="1"/>
        <v>390874.23699999996</v>
      </c>
      <c r="R34" s="1409" t="s">
        <v>554</v>
      </c>
    </row>
    <row r="35" spans="1:18" s="159" customFormat="1" ht="12" customHeight="1">
      <c r="A35" s="523" t="s">
        <v>561</v>
      </c>
      <c r="B35" s="584">
        <v>69916.97</v>
      </c>
      <c r="C35" s="584">
        <v>12089.174000000001</v>
      </c>
      <c r="D35" s="584">
        <v>2878.3609999999999</v>
      </c>
      <c r="E35" s="584">
        <v>28873.510999999999</v>
      </c>
      <c r="F35" s="584">
        <v>31772.047999999999</v>
      </c>
      <c r="G35" s="584">
        <v>29152.66</v>
      </c>
      <c r="H35" s="584">
        <v>390.10399999999998</v>
      </c>
      <c r="I35" s="584">
        <v>11074.632</v>
      </c>
      <c r="J35" s="584">
        <v>55414.209000000003</v>
      </c>
      <c r="K35" s="584">
        <v>1834.7739999999999</v>
      </c>
      <c r="L35" s="584">
        <v>1640.9839999999999</v>
      </c>
      <c r="M35" s="584">
        <v>9837.4940000000006</v>
      </c>
      <c r="N35" s="584">
        <v>12452.406999999999</v>
      </c>
      <c r="O35" s="584">
        <v>59258.523000000001</v>
      </c>
      <c r="P35" s="250">
        <f>1576.202+2181.041+2774.039+4246.704+22613.722+3481.042</f>
        <v>36872.75</v>
      </c>
      <c r="Q35" s="250">
        <f t="shared" si="1"/>
        <v>363458.60100000002</v>
      </c>
      <c r="R35" s="1432" t="s">
        <v>561</v>
      </c>
    </row>
    <row r="36" spans="1:18" s="159" customFormat="1" ht="12" customHeight="1">
      <c r="A36" s="563" t="s">
        <v>562</v>
      </c>
      <c r="B36" s="583">
        <v>68672.650999999998</v>
      </c>
      <c r="C36" s="583">
        <v>12405.322</v>
      </c>
      <c r="D36" s="583">
        <v>2789.2910000000002</v>
      </c>
      <c r="E36" s="583">
        <v>28400.405999999999</v>
      </c>
      <c r="F36" s="583">
        <v>30829.15</v>
      </c>
      <c r="G36" s="583">
        <v>30550.804</v>
      </c>
      <c r="H36" s="583">
        <v>343.04</v>
      </c>
      <c r="I36" s="583">
        <v>11245.513000000001</v>
      </c>
      <c r="J36" s="583">
        <v>55351.864999999998</v>
      </c>
      <c r="K36" s="583">
        <v>1865.1420000000001</v>
      </c>
      <c r="L36" s="583">
        <v>1766.1790000000001</v>
      </c>
      <c r="M36" s="583">
        <v>9513.3919999999998</v>
      </c>
      <c r="N36" s="583">
        <v>13284.472</v>
      </c>
      <c r="O36" s="583">
        <v>59084.563000000002</v>
      </c>
      <c r="P36" s="289">
        <f>1634.529+2195.86+2741.339+4085.721+22793.37+3430.119</f>
        <v>36880.938000000002</v>
      </c>
      <c r="Q36" s="289">
        <f t="shared" si="1"/>
        <v>362982.72800000006</v>
      </c>
      <c r="R36" s="1409" t="s">
        <v>562</v>
      </c>
    </row>
    <row r="37" spans="1:18" s="159" customFormat="1" ht="12" customHeight="1">
      <c r="A37" s="523" t="s">
        <v>555</v>
      </c>
      <c r="B37" s="584">
        <v>67644.684999999998</v>
      </c>
      <c r="C37" s="584">
        <v>11322.665999999999</v>
      </c>
      <c r="D37" s="584">
        <v>2772.8560000000002</v>
      </c>
      <c r="E37" s="584">
        <v>28171.013999999999</v>
      </c>
      <c r="F37" s="584">
        <v>31430.341</v>
      </c>
      <c r="G37" s="584">
        <v>29367.057000000001</v>
      </c>
      <c r="H37" s="584">
        <v>318.202</v>
      </c>
      <c r="I37" s="584">
        <v>11386.762000000001</v>
      </c>
      <c r="J37" s="584">
        <v>56031.021000000001</v>
      </c>
      <c r="K37" s="584">
        <v>1806.32</v>
      </c>
      <c r="L37" s="584">
        <v>1747.6869999999999</v>
      </c>
      <c r="M37" s="584">
        <v>9327.5069999999996</v>
      </c>
      <c r="N37" s="584">
        <v>12775.6</v>
      </c>
      <c r="O37" s="584">
        <v>60810.103999999999</v>
      </c>
      <c r="P37" s="250">
        <f>1611.112+2250.94+2631.254+3827.06+23093.552+3406.46</f>
        <v>36820.377999999997</v>
      </c>
      <c r="Q37" s="250">
        <f t="shared" si="1"/>
        <v>361732.19999999995</v>
      </c>
      <c r="R37" s="1432" t="s">
        <v>555</v>
      </c>
    </row>
    <row r="38" spans="1:18" s="159" customFormat="1" ht="12" customHeight="1">
      <c r="A38" s="563" t="s">
        <v>563</v>
      </c>
      <c r="B38" s="583">
        <v>67007.115000000005</v>
      </c>
      <c r="C38" s="583">
        <v>10094.859</v>
      </c>
      <c r="D38" s="583">
        <v>2572.107</v>
      </c>
      <c r="E38" s="583">
        <v>27920.936000000002</v>
      </c>
      <c r="F38" s="583">
        <v>30389.521000000001</v>
      </c>
      <c r="G38" s="583">
        <v>28398.546999999999</v>
      </c>
      <c r="H38" s="583">
        <v>276.142</v>
      </c>
      <c r="I38" s="583">
        <v>11618.625</v>
      </c>
      <c r="J38" s="583">
        <v>53479.502999999997</v>
      </c>
      <c r="K38" s="583">
        <v>1824.6120000000001</v>
      </c>
      <c r="L38" s="583">
        <v>1742.6569999999999</v>
      </c>
      <c r="M38" s="583">
        <v>8642.7620000000006</v>
      </c>
      <c r="N38" s="583">
        <v>12081.218000000001</v>
      </c>
      <c r="O38" s="583">
        <v>62472.851000000002</v>
      </c>
      <c r="P38" s="289">
        <f>1630.134+2189.528+2608.119+3714.914+23314.66+3376.033</f>
        <v>36833.387999999999</v>
      </c>
      <c r="Q38" s="289">
        <f t="shared" si="1"/>
        <v>355354.84299999994</v>
      </c>
      <c r="R38" s="1409" t="s">
        <v>563</v>
      </c>
    </row>
    <row r="39" spans="1:18" s="159" customFormat="1" ht="12" customHeight="1">
      <c r="A39" s="523" t="s">
        <v>564</v>
      </c>
      <c r="B39" s="584">
        <v>68714.92</v>
      </c>
      <c r="C39" s="584">
        <v>10585.65</v>
      </c>
      <c r="D39" s="584">
        <v>2689.07</v>
      </c>
      <c r="E39" s="584">
        <v>28330.74</v>
      </c>
      <c r="F39" s="584">
        <v>29388.97</v>
      </c>
      <c r="G39" s="584">
        <v>29286.46</v>
      </c>
      <c r="H39" s="584">
        <v>281.44</v>
      </c>
      <c r="I39" s="584">
        <v>12438.77</v>
      </c>
      <c r="J39" s="584">
        <v>54384.47</v>
      </c>
      <c r="K39" s="584">
        <v>2197.7199999999998</v>
      </c>
      <c r="L39" s="584">
        <v>1809.31</v>
      </c>
      <c r="M39" s="584">
        <v>8843.49</v>
      </c>
      <c r="N39" s="584">
        <v>12151.17</v>
      </c>
      <c r="O39" s="584">
        <v>61663.37</v>
      </c>
      <c r="P39" s="250">
        <f>1819.19+2201.11+2760.07+3908.74+23194.48+3288.08</f>
        <v>37171.67</v>
      </c>
      <c r="Q39" s="250">
        <f t="shared" ref="Q39" si="3">SUM(B39:P39)</f>
        <v>359937.22</v>
      </c>
      <c r="R39" s="1432" t="s">
        <v>564</v>
      </c>
    </row>
    <row r="40" spans="1:18" s="159" customFormat="1" ht="12" customHeight="1">
      <c r="A40" s="563" t="s">
        <v>556</v>
      </c>
      <c r="B40" s="583">
        <v>67562.947</v>
      </c>
      <c r="C40" s="583">
        <v>10407.355</v>
      </c>
      <c r="D40" s="583">
        <v>2875.33</v>
      </c>
      <c r="E40" s="583">
        <v>27923.345000000001</v>
      </c>
      <c r="F40" s="583">
        <v>28862.963</v>
      </c>
      <c r="G40" s="583">
        <v>28758.235000000001</v>
      </c>
      <c r="H40" s="583">
        <v>265.24799999999999</v>
      </c>
      <c r="I40" s="583">
        <v>11824.209000000001</v>
      </c>
      <c r="J40" s="583">
        <v>55337.750999999997</v>
      </c>
      <c r="K40" s="583">
        <v>2097.2469999999998</v>
      </c>
      <c r="L40" s="583">
        <v>1831.836</v>
      </c>
      <c r="M40" s="583">
        <v>8488.8539999999994</v>
      </c>
      <c r="N40" s="583">
        <v>12156.999</v>
      </c>
      <c r="O40" s="583">
        <v>59445.222000000002</v>
      </c>
      <c r="P40" s="289">
        <f>23074.84+2593.363+2182.046+1919.75+3780.436+3308.283</f>
        <v>36858.718000000001</v>
      </c>
      <c r="Q40" s="289">
        <f t="shared" ref="Q40" si="4">SUM(B40:P40)</f>
        <v>354696.25899999996</v>
      </c>
      <c r="R40" s="1409" t="s">
        <v>556</v>
      </c>
    </row>
    <row r="41" spans="1:18" s="159" customFormat="1" ht="12" customHeight="1">
      <c r="A41" s="523" t="s">
        <v>565</v>
      </c>
      <c r="B41" s="584">
        <v>62308.63</v>
      </c>
      <c r="C41" s="584">
        <v>9168.3189999999995</v>
      </c>
      <c r="D41" s="584">
        <v>2803.1570000000002</v>
      </c>
      <c r="E41" s="584">
        <v>26556.98</v>
      </c>
      <c r="F41" s="584">
        <v>27481.580999999998</v>
      </c>
      <c r="G41" s="584">
        <v>27914.659</v>
      </c>
      <c r="H41" s="584">
        <v>233.023</v>
      </c>
      <c r="I41" s="584">
        <v>10710.51</v>
      </c>
      <c r="J41" s="584">
        <v>53865.341999999997</v>
      </c>
      <c r="K41" s="584">
        <v>1887.595</v>
      </c>
      <c r="L41" s="584">
        <v>1687.3330000000001</v>
      </c>
      <c r="M41" s="584">
        <v>8324.7749999999996</v>
      </c>
      <c r="N41" s="584">
        <v>11284.93</v>
      </c>
      <c r="O41" s="584">
        <v>55850.39</v>
      </c>
      <c r="P41" s="250">
        <f>1754.729+2036.162+2282.783+3431.085+22661.611+3353.492</f>
        <v>35519.862000000001</v>
      </c>
      <c r="Q41" s="250">
        <f t="shared" ref="Q41:Q42" si="5">SUM(B41:P41)</f>
        <v>335597.08600000001</v>
      </c>
      <c r="R41" s="1432" t="s">
        <v>565</v>
      </c>
    </row>
    <row r="42" spans="1:18" s="159" customFormat="1" ht="12" customHeight="1">
      <c r="A42" s="563" t="s">
        <v>566</v>
      </c>
      <c r="B42" s="583">
        <v>59944.561999999998</v>
      </c>
      <c r="C42" s="583">
        <v>8823.1010000000006</v>
      </c>
      <c r="D42" s="583">
        <v>2826.482</v>
      </c>
      <c r="E42" s="583">
        <v>24162.921999999999</v>
      </c>
      <c r="F42" s="583">
        <v>24538.946</v>
      </c>
      <c r="G42" s="583">
        <v>27158.440999999999</v>
      </c>
      <c r="H42" s="583">
        <v>203.00899999999999</v>
      </c>
      <c r="I42" s="583">
        <v>10105.888000000001</v>
      </c>
      <c r="J42" s="583">
        <v>50495.262999999999</v>
      </c>
      <c r="K42" s="583">
        <v>1737.597</v>
      </c>
      <c r="L42" s="583">
        <v>1558.502</v>
      </c>
      <c r="M42" s="583">
        <v>7945.3720000000003</v>
      </c>
      <c r="N42" s="583">
        <v>10583.242</v>
      </c>
      <c r="O42" s="583">
        <v>52714.499000000003</v>
      </c>
      <c r="P42" s="289">
        <f>1589.785+2030.964+2155.782+3230.79+22316.96+3330.44</f>
        <v>34654.720999999998</v>
      </c>
      <c r="Q42" s="289">
        <f t="shared" si="5"/>
        <v>317452.54700000002</v>
      </c>
      <c r="R42" s="1409" t="s">
        <v>566</v>
      </c>
    </row>
    <row r="43" spans="1:18" s="159" customFormat="1" ht="12" customHeight="1">
      <c r="A43" s="523" t="s">
        <v>557</v>
      </c>
      <c r="B43" s="584">
        <v>63348.118000000002</v>
      </c>
      <c r="C43" s="584">
        <v>8960.7900000000009</v>
      </c>
      <c r="D43" s="584">
        <v>2827.2130000000002</v>
      </c>
      <c r="E43" s="584">
        <v>25413.777999999998</v>
      </c>
      <c r="F43" s="584">
        <v>26251.279999999999</v>
      </c>
      <c r="G43" s="584">
        <v>28385.826000000001</v>
      </c>
      <c r="H43" s="584">
        <v>235.09299999999999</v>
      </c>
      <c r="I43" s="584">
        <v>10505.183000000001</v>
      </c>
      <c r="J43" s="584">
        <v>52305.732000000004</v>
      </c>
      <c r="K43" s="584">
        <v>1783.6010000000001</v>
      </c>
      <c r="L43" s="584">
        <v>1575.7809999999999</v>
      </c>
      <c r="M43" s="584">
        <v>1649.4880000000001</v>
      </c>
      <c r="N43" s="584">
        <v>11115.54</v>
      </c>
      <c r="O43" s="584">
        <v>56251.911999999997</v>
      </c>
      <c r="P43" s="250">
        <f>2076.878+8576.321+2255.429+3447.404+22111.656+3333.63</f>
        <v>41801.317999999999</v>
      </c>
      <c r="Q43" s="250">
        <f t="shared" ref="Q43" si="6">SUM(B43:P43)</f>
        <v>332410.65299999993</v>
      </c>
      <c r="R43" s="1432" t="s">
        <v>557</v>
      </c>
    </row>
    <row r="44" spans="1:18" s="159" customFormat="1" ht="12" customHeight="1">
      <c r="A44" s="598" t="s">
        <v>2755</v>
      </c>
      <c r="B44" s="916"/>
      <c r="C44" s="916"/>
      <c r="D44" s="916"/>
      <c r="E44" s="916"/>
      <c r="F44" s="916"/>
      <c r="G44" s="916"/>
      <c r="H44" s="916"/>
      <c r="I44" s="916"/>
      <c r="J44" s="916"/>
      <c r="K44" s="916"/>
      <c r="L44" s="916"/>
      <c r="M44" s="916"/>
      <c r="N44" s="916"/>
      <c r="O44" s="916"/>
      <c r="P44" s="332"/>
      <c r="Q44" s="332"/>
      <c r="R44" s="1593" t="s">
        <v>2755</v>
      </c>
    </row>
    <row r="45" spans="1:18" s="159" customFormat="1" ht="12" customHeight="1">
      <c r="A45" s="523" t="s">
        <v>559</v>
      </c>
      <c r="B45" s="584">
        <v>76262.61</v>
      </c>
      <c r="C45" s="584">
        <v>10535.084999999999</v>
      </c>
      <c r="D45" s="584">
        <v>2938.1010000000001</v>
      </c>
      <c r="E45" s="584">
        <v>28045.84</v>
      </c>
      <c r="F45" s="584">
        <v>28005.81</v>
      </c>
      <c r="G45" s="584">
        <v>30180.981</v>
      </c>
      <c r="H45" s="584">
        <v>256.91000000000003</v>
      </c>
      <c r="I45" s="584">
        <v>11593.308999999999</v>
      </c>
      <c r="J45" s="584">
        <v>58191.127</v>
      </c>
      <c r="K45" s="584">
        <v>1969.934</v>
      </c>
      <c r="L45" s="584">
        <v>1756.2750000000001</v>
      </c>
      <c r="M45" s="584">
        <v>10157.032999999999</v>
      </c>
      <c r="N45" s="584">
        <v>12694.57</v>
      </c>
      <c r="O45" s="584">
        <v>59216.175000000003</v>
      </c>
      <c r="P45" s="250">
        <f>1790.104+2248.789+2410.849+3663.357+22530.19+3295.987</f>
        <v>35939.275999999998</v>
      </c>
      <c r="Q45" s="250">
        <f t="shared" ref="Q45" si="7">SUM(B45:P45)</f>
        <v>367743.03600000002</v>
      </c>
      <c r="R45" s="1432" t="s">
        <v>559</v>
      </c>
    </row>
    <row r="46" spans="1:18" s="159" customFormat="1" ht="12" customHeight="1">
      <c r="A46" s="563" t="s">
        <v>560</v>
      </c>
      <c r="B46" s="583">
        <v>73399.903000000006</v>
      </c>
      <c r="C46" s="583">
        <v>10427.916999999999</v>
      </c>
      <c r="D46" s="583">
        <v>2711.355</v>
      </c>
      <c r="E46" s="583">
        <v>30294.401000000002</v>
      </c>
      <c r="F46" s="583">
        <v>28208.53</v>
      </c>
      <c r="G46" s="583">
        <v>32065.399000000001</v>
      </c>
      <c r="H46" s="583">
        <v>313.61500000000001</v>
      </c>
      <c r="I46" s="583">
        <v>12939.494000000001</v>
      </c>
      <c r="J46" s="583">
        <v>60902.580999999998</v>
      </c>
      <c r="K46" s="583">
        <v>2583.6970000000001</v>
      </c>
      <c r="L46" s="583">
        <v>1947.2950000000001</v>
      </c>
      <c r="M46" s="583">
        <v>10264.605</v>
      </c>
      <c r="N46" s="583">
        <v>14124.08</v>
      </c>
      <c r="O46" s="583">
        <v>59764.864000000001</v>
      </c>
      <c r="P46" s="289">
        <f>1942.781+2378.868+2789.586+4138.264+22491.504+3556.222</f>
        <v>37297.224999999999</v>
      </c>
      <c r="Q46" s="289">
        <f t="shared" ref="Q46:Q47" si="8">SUM(B46:P46)</f>
        <v>377244.96100000001</v>
      </c>
      <c r="R46" s="1409" t="s">
        <v>560</v>
      </c>
    </row>
    <row r="47" spans="1:18" s="159" customFormat="1" ht="12" customHeight="1">
      <c r="A47" s="523" t="s">
        <v>554</v>
      </c>
      <c r="B47" s="584">
        <v>70447.695000000007</v>
      </c>
      <c r="C47" s="584">
        <v>10461.393</v>
      </c>
      <c r="D47" s="584">
        <v>2648.2359999999999</v>
      </c>
      <c r="E47" s="584">
        <v>29060.361000000001</v>
      </c>
      <c r="F47" s="584">
        <v>26327.79</v>
      </c>
      <c r="G47" s="584">
        <v>30877.884999999998</v>
      </c>
      <c r="H47" s="584">
        <v>315.82499999999999</v>
      </c>
      <c r="I47" s="584">
        <v>12769.257</v>
      </c>
      <c r="J47" s="584">
        <v>57834.714999999997</v>
      </c>
      <c r="K47" s="584">
        <v>2507.6469999999999</v>
      </c>
      <c r="L47" s="584">
        <v>2221.748</v>
      </c>
      <c r="M47" s="584">
        <v>9833.8739999999998</v>
      </c>
      <c r="N47" s="584">
        <v>14049.424999999999</v>
      </c>
      <c r="O47" s="584">
        <v>58433.203000000001</v>
      </c>
      <c r="P47" s="250">
        <f>1927.245+2340.386+2757.747+3806.304+22757.574+3648.591</f>
        <v>37237.847000000002</v>
      </c>
      <c r="Q47" s="250">
        <f t="shared" si="8"/>
        <v>365026.90100000001</v>
      </c>
      <c r="R47" s="1432" t="s">
        <v>554</v>
      </c>
    </row>
    <row r="48" spans="1:18" s="159" customFormat="1" ht="12" customHeight="1">
      <c r="A48" s="563" t="s">
        <v>561</v>
      </c>
      <c r="B48" s="583">
        <v>66430.709000000003</v>
      </c>
      <c r="C48" s="583">
        <v>9439.3439999999991</v>
      </c>
      <c r="D48" s="583">
        <v>2557.8090000000002</v>
      </c>
      <c r="E48" s="583">
        <v>26654.064999999999</v>
      </c>
      <c r="F48" s="583">
        <v>25245.087</v>
      </c>
      <c r="G48" s="583">
        <v>28955.447</v>
      </c>
      <c r="H48" s="583">
        <v>278.61099999999999</v>
      </c>
      <c r="I48" s="583">
        <v>11562.067999999999</v>
      </c>
      <c r="J48" s="583">
        <v>56031.082999999999</v>
      </c>
      <c r="K48" s="583">
        <v>2158.9639999999999</v>
      </c>
      <c r="L48" s="583">
        <v>2136.0680000000002</v>
      </c>
      <c r="M48" s="583">
        <v>9366.3320000000003</v>
      </c>
      <c r="N48" s="583">
        <v>13987.852000000001</v>
      </c>
      <c r="O48" s="583">
        <v>56279.974999999999</v>
      </c>
      <c r="P48" s="289">
        <f>1757.679+2258.213+2456.335+3481.073+21892.004+3740.246</f>
        <v>35585.550000000003</v>
      </c>
      <c r="Q48" s="289">
        <f t="shared" ref="Q48:Q49" si="9">SUM(B48:P48)</f>
        <v>346668.96399999998</v>
      </c>
      <c r="R48" s="1409" t="s">
        <v>561</v>
      </c>
    </row>
    <row r="49" spans="1:18" s="159" customFormat="1" ht="12" customHeight="1">
      <c r="A49" s="523" t="s">
        <v>562</v>
      </c>
      <c r="B49" s="584">
        <v>65915.770999999993</v>
      </c>
      <c r="C49" s="584">
        <v>8670.6479999999992</v>
      </c>
      <c r="D49" s="584">
        <v>2357.0569999999998</v>
      </c>
      <c r="E49" s="584">
        <v>26203.120999999999</v>
      </c>
      <c r="F49" s="584">
        <v>24351.274000000001</v>
      </c>
      <c r="G49" s="584">
        <v>28027.168000000001</v>
      </c>
      <c r="H49" s="584">
        <v>270.34899999999999</v>
      </c>
      <c r="I49" s="584">
        <v>11040.745999999999</v>
      </c>
      <c r="J49" s="584">
        <v>53662.908000000003</v>
      </c>
      <c r="K49" s="584">
        <v>2176.0320000000002</v>
      </c>
      <c r="L49" s="584">
        <v>2109.91</v>
      </c>
      <c r="M49" s="584">
        <v>8864.3189999999995</v>
      </c>
      <c r="N49" s="584">
        <v>12609.831</v>
      </c>
      <c r="O49" s="584">
        <v>54934.008999999998</v>
      </c>
      <c r="P49" s="250">
        <f>1722.386+2174.851+2275.823+3349.893+21407.364+3707.288</f>
        <v>34637.605000000003</v>
      </c>
      <c r="Q49" s="250">
        <f t="shared" si="9"/>
        <v>335830.74799999996</v>
      </c>
      <c r="R49" s="1432" t="s">
        <v>562</v>
      </c>
    </row>
    <row r="50" spans="1:18" s="159" customFormat="1" ht="12" customHeight="1">
      <c r="A50" s="563" t="s">
        <v>555</v>
      </c>
      <c r="B50" s="583">
        <v>64690.082000000002</v>
      </c>
      <c r="C50" s="583">
        <v>8197.2530000000006</v>
      </c>
      <c r="D50" s="583">
        <v>2292.0790000000002</v>
      </c>
      <c r="E50" s="583">
        <v>25812.843000000001</v>
      </c>
      <c r="F50" s="583">
        <v>24038.882000000001</v>
      </c>
      <c r="G50" s="583">
        <v>26423.466</v>
      </c>
      <c r="H50" s="583">
        <v>259.86799999999999</v>
      </c>
      <c r="I50" s="583">
        <v>11083.453</v>
      </c>
      <c r="J50" s="583">
        <v>51824.724999999999</v>
      </c>
      <c r="K50" s="583">
        <v>2074.9720000000002</v>
      </c>
      <c r="L50" s="583">
        <v>2029.857</v>
      </c>
      <c r="M50" s="583">
        <v>8288.2199999999993</v>
      </c>
      <c r="N50" s="583">
        <v>12788.026</v>
      </c>
      <c r="O50" s="583">
        <v>51963.12</v>
      </c>
      <c r="P50" s="289">
        <f>1660.375+2090.837+2246.544+3222.833+21094.278+3660.975</f>
        <v>33975.841999999997</v>
      </c>
      <c r="Q50" s="289">
        <f t="shared" ref="Q50:Q51" si="10">SUM(B50:P50)</f>
        <v>325742.68800000002</v>
      </c>
      <c r="R50" s="1409" t="s">
        <v>555</v>
      </c>
    </row>
    <row r="51" spans="1:18" s="159" customFormat="1" ht="12" customHeight="1">
      <c r="A51" s="523" t="s">
        <v>563</v>
      </c>
      <c r="B51" s="584">
        <v>71814.216</v>
      </c>
      <c r="C51" s="584">
        <v>8486.3469999999998</v>
      </c>
      <c r="D51" s="584">
        <v>2281.489</v>
      </c>
      <c r="E51" s="584">
        <v>26265.24</v>
      </c>
      <c r="F51" s="584">
        <v>25122.243999999999</v>
      </c>
      <c r="G51" s="584">
        <v>27674.628000000001</v>
      </c>
      <c r="H51" s="584">
        <v>251.21</v>
      </c>
      <c r="I51" s="584">
        <v>10782.543</v>
      </c>
      <c r="J51" s="584">
        <v>55311.749000000003</v>
      </c>
      <c r="K51" s="584">
        <v>2011.5450000000001</v>
      </c>
      <c r="L51" s="584">
        <v>2119.4899999999998</v>
      </c>
      <c r="M51" s="584">
        <v>8851.8240000000005</v>
      </c>
      <c r="N51" s="584">
        <v>14458.736000000001</v>
      </c>
      <c r="O51" s="584">
        <v>54534.542999999998</v>
      </c>
      <c r="P51" s="250">
        <f>1705.462+2135.994+2288.35+3040.66+21290.772+3751.506</f>
        <v>34212.743999999999</v>
      </c>
      <c r="Q51" s="250">
        <f t="shared" si="10"/>
        <v>344178.54800000001</v>
      </c>
      <c r="R51" s="1432" t="s">
        <v>563</v>
      </c>
    </row>
    <row r="52" spans="1:18" s="159" customFormat="1" ht="12" customHeight="1">
      <c r="A52" s="563" t="s">
        <v>564</v>
      </c>
      <c r="B52" s="583">
        <v>80693.663</v>
      </c>
      <c r="C52" s="583">
        <v>9888.0419999999995</v>
      </c>
      <c r="D52" s="583">
        <v>2472.7179999999998</v>
      </c>
      <c r="E52" s="583">
        <v>28507.201000000001</v>
      </c>
      <c r="F52" s="583">
        <v>26160.023000000001</v>
      </c>
      <c r="G52" s="583">
        <v>28851.429</v>
      </c>
      <c r="H52" s="583">
        <v>256.702</v>
      </c>
      <c r="I52" s="583">
        <v>11891.669</v>
      </c>
      <c r="J52" s="583">
        <v>58439.858999999997</v>
      </c>
      <c r="K52" s="583">
        <v>2268.3890000000001</v>
      </c>
      <c r="L52" s="583">
        <v>2280.277</v>
      </c>
      <c r="M52" s="583">
        <v>9618.1090000000004</v>
      </c>
      <c r="N52" s="583">
        <v>14425.254999999999</v>
      </c>
      <c r="O52" s="583">
        <v>55354.93</v>
      </c>
      <c r="P52" s="289">
        <f>1841.557+2248.643+2536.165+3332.701+21696.257+3672.127</f>
        <v>35327.449999999997</v>
      </c>
      <c r="Q52" s="289">
        <f t="shared" ref="Q52" si="11">SUM(B52:P52)</f>
        <v>366435.71599999996</v>
      </c>
      <c r="R52" s="1409" t="s">
        <v>564</v>
      </c>
    </row>
    <row r="53" spans="1:18" s="159" customFormat="1" ht="12" customHeight="1">
      <c r="A53" s="523" t="s">
        <v>556</v>
      </c>
      <c r="B53" s="584">
        <v>71182.89</v>
      </c>
      <c r="C53" s="584">
        <v>9238.0300000000007</v>
      </c>
      <c r="D53" s="584">
        <v>2555.88</v>
      </c>
      <c r="E53" s="584">
        <v>27062</v>
      </c>
      <c r="F53" s="584">
        <v>22793.97</v>
      </c>
      <c r="G53" s="584">
        <v>27341.84</v>
      </c>
      <c r="H53" s="584">
        <v>232.99</v>
      </c>
      <c r="I53" s="584">
        <v>11663.99</v>
      </c>
      <c r="J53" s="584">
        <v>54948.25</v>
      </c>
      <c r="K53" s="584">
        <v>2137.61</v>
      </c>
      <c r="L53" s="584">
        <v>2278.0500000000002</v>
      </c>
      <c r="M53" s="584">
        <v>9071.9599999999991</v>
      </c>
      <c r="N53" s="584">
        <v>13801.51</v>
      </c>
      <c r="O53" s="584">
        <v>50718.46</v>
      </c>
      <c r="P53" s="250">
        <f>1781.886+2203.034+2485.668+3225.427+21228.023+3778.327</f>
        <v>34702.364999999998</v>
      </c>
      <c r="Q53" s="250">
        <f>SUM(B53:P53)</f>
        <v>339729.79499999998</v>
      </c>
      <c r="R53" s="1432" t="s">
        <v>556</v>
      </c>
    </row>
    <row r="54" spans="1:18" s="160" customFormat="1" ht="12" customHeight="1">
      <c r="A54" s="51" t="s">
        <v>1347</v>
      </c>
      <c r="B54" s="629" t="s">
        <v>1308</v>
      </c>
      <c r="C54" s="628"/>
      <c r="D54" s="628"/>
      <c r="E54" s="628"/>
      <c r="F54" s="628"/>
      <c r="G54" s="628"/>
      <c r="H54" s="96"/>
      <c r="I54" s="62"/>
      <c r="J54" s="2419" t="s">
        <v>2216</v>
      </c>
      <c r="K54" s="2419"/>
      <c r="L54" s="2419"/>
      <c r="M54" s="2419"/>
      <c r="N54" s="2419"/>
      <c r="O54" s="2419"/>
      <c r="P54" s="2419"/>
      <c r="Q54" s="2419"/>
      <c r="R54" s="2419"/>
    </row>
    <row r="55" spans="1:18" s="160" customFormat="1" ht="11.25" customHeight="1">
      <c r="A55" s="41"/>
      <c r="B55" s="2084"/>
      <c r="C55" s="2084"/>
      <c r="D55" s="172"/>
      <c r="E55" s="172"/>
      <c r="F55" s="172"/>
      <c r="G55" s="172"/>
      <c r="H55" s="15"/>
      <c r="I55" s="15"/>
      <c r="J55" s="2410" t="s">
        <v>2215</v>
      </c>
      <c r="K55" s="2410"/>
      <c r="L55" s="2410"/>
      <c r="M55" s="2410"/>
      <c r="N55" s="8"/>
      <c r="O55" s="15"/>
      <c r="P55" s="15"/>
      <c r="Q55" s="15"/>
      <c r="R55" s="68"/>
    </row>
    <row r="56" spans="1:18" s="160" customFormat="1" ht="11.1" customHeight="1">
      <c r="A56" s="542"/>
      <c r="D56" s="475"/>
      <c r="Q56" s="475"/>
      <c r="R56" s="503"/>
    </row>
    <row r="57" spans="1:18" s="160" customFormat="1" ht="11.1" customHeight="1">
      <c r="A57" s="537"/>
      <c r="Q57" s="752"/>
      <c r="R57" s="503"/>
    </row>
    <row r="58" spans="1:18" s="160" customFormat="1" ht="11.1" customHeight="1">
      <c r="A58" s="41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4"/>
      <c r="Q58" s="84"/>
      <c r="R58" s="16"/>
    </row>
    <row r="59" spans="1:18" s="160" customFormat="1" ht="11.1" customHeight="1">
      <c r="A59" s="41"/>
      <c r="B59" s="8"/>
      <c r="C59" s="8"/>
      <c r="D59" s="8"/>
      <c r="E59" s="84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6"/>
    </row>
    <row r="60" spans="1:18" s="160" customFormat="1" ht="11.1" customHeight="1">
      <c r="A60" s="1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6"/>
    </row>
    <row r="61" spans="1:18" s="160" customFormat="1" ht="11.1" customHeight="1">
      <c r="A61" s="1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6"/>
    </row>
    <row r="62" spans="1:18" s="160" customFormat="1" ht="11.1" customHeight="1">
      <c r="A62" s="1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6"/>
    </row>
    <row r="63" spans="1:18" s="160" customFormat="1" ht="11.1" customHeight="1">
      <c r="A63" s="1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6"/>
    </row>
    <row r="64" spans="1:18" s="160" customFormat="1" ht="11.1" customHeight="1">
      <c r="A64" s="1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16"/>
    </row>
    <row r="65" spans="1:18" ht="9.75" customHeight="1">
      <c r="R65" s="16"/>
    </row>
    <row r="66" spans="1:18" ht="9.75" customHeight="1">
      <c r="R66" s="16"/>
    </row>
    <row r="67" spans="1:18">
      <c r="R67" s="16"/>
    </row>
    <row r="68" spans="1:18" s="160" customFormat="1">
      <c r="A68" s="1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16"/>
    </row>
    <row r="69" spans="1:18" s="160" customFormat="1">
      <c r="A69" s="1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5:C55"/>
    <mergeCell ref="J55:M55"/>
    <mergeCell ref="J1:P1"/>
    <mergeCell ref="A1:I1"/>
    <mergeCell ref="Q1:R1"/>
    <mergeCell ref="B3:Q3"/>
    <mergeCell ref="Q2:R2"/>
    <mergeCell ref="R3:R4"/>
    <mergeCell ref="A3:A4"/>
    <mergeCell ref="J54:R5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34" zoomScale="140" zoomScaleNormal="140" zoomScaleSheetLayoutView="120" workbookViewId="0">
      <selection sqref="A1:XFD1048576"/>
    </sheetView>
  </sheetViews>
  <sheetFormatPr defaultColWidth="9.140625" defaultRowHeight="11.25"/>
  <cols>
    <col min="1" max="1" width="4.140625" style="8" customWidth="1"/>
    <col min="2" max="2" width="14" style="36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6" customWidth="1"/>
    <col min="9" max="9" width="14.28515625" style="8" customWidth="1"/>
    <col min="10" max="10" width="4.85546875" style="256" customWidth="1"/>
    <col min="11" max="11" width="13.42578125" style="160" customWidth="1"/>
    <col min="12" max="12" width="5.42578125" style="160" customWidth="1"/>
    <col min="13" max="13" width="9.7109375" style="160" customWidth="1"/>
    <col min="14" max="14" width="10.28515625" style="160" customWidth="1"/>
    <col min="15" max="15" width="6.85546875" style="257" customWidth="1"/>
    <col min="16" max="16" width="9" style="160" customWidth="1"/>
    <col min="17" max="17" width="7.7109375" style="160" customWidth="1"/>
    <col min="18" max="18" width="11.42578125" style="256" customWidth="1"/>
    <col min="19" max="19" width="4.28515625" style="160" customWidth="1"/>
    <col min="20" max="20" width="11.5703125" style="160" customWidth="1"/>
    <col min="21" max="21" width="5.5703125" style="160" customWidth="1"/>
    <col min="22" max="22" width="9.85546875" style="160" customWidth="1"/>
    <col min="23" max="23" width="10.140625" style="257" customWidth="1"/>
    <col min="24" max="24" width="6.85546875" style="160" customWidth="1"/>
    <col min="25" max="25" width="10.7109375" style="160" customWidth="1"/>
    <col min="26" max="26" width="8.42578125" style="258" customWidth="1"/>
    <col min="27" max="27" width="11.5703125" style="160" customWidth="1"/>
    <col min="28" max="28" width="3.85546875" style="160" customWidth="1"/>
    <col min="29" max="29" width="14" style="160" customWidth="1"/>
    <col min="30" max="30" width="4.5703125" style="160" customWidth="1"/>
    <col min="31" max="32" width="9.42578125" style="160" customWidth="1"/>
    <col min="33" max="33" width="6.140625" style="160" customWidth="1"/>
    <col min="34" max="34" width="8.85546875" style="160" customWidth="1"/>
    <col min="35" max="35" width="6" style="160" customWidth="1"/>
    <col min="36" max="36" width="13.7109375" style="160" customWidth="1"/>
    <col min="37" max="37" width="4.28515625" style="258" customWidth="1"/>
    <col min="38" max="38" width="12.7109375" style="160" customWidth="1"/>
    <col min="39" max="39" width="6.140625" style="160" customWidth="1"/>
    <col min="40" max="40" width="9.28515625" style="160" customWidth="1"/>
    <col min="41" max="41" width="10" style="160" customWidth="1"/>
    <col min="42" max="42" width="6.7109375" style="160" customWidth="1"/>
    <col min="43" max="43" width="9.140625" style="160"/>
    <col min="44" max="44" width="5.85546875" style="160" customWidth="1"/>
    <col min="45" max="45" width="15.140625" style="258" customWidth="1"/>
    <col min="46" max="46" width="4.42578125" style="160" customWidth="1"/>
    <col min="47" max="47" width="11.85546875" style="160" customWidth="1"/>
    <col min="48" max="48" width="4.5703125" style="160" customWidth="1"/>
    <col min="49" max="49" width="8.42578125" style="160" customWidth="1"/>
    <col min="50" max="50" width="9.5703125" style="160" customWidth="1"/>
    <col min="51" max="51" width="8.5703125" style="160" customWidth="1"/>
    <col min="52" max="52" width="9.28515625" style="160" customWidth="1"/>
    <col min="53" max="53" width="7.85546875" style="160" customWidth="1"/>
    <col min="54" max="54" width="14.7109375" style="258" customWidth="1"/>
    <col min="55" max="55" width="4.42578125" style="160" customWidth="1"/>
    <col min="56" max="56" width="14.5703125" style="160" customWidth="1"/>
    <col min="57" max="57" width="4.5703125" style="160" customWidth="1"/>
    <col min="58" max="58" width="8.28515625" style="160" customWidth="1"/>
    <col min="59" max="59" width="9.140625" style="160"/>
    <col min="60" max="60" width="9.7109375" style="160" customWidth="1"/>
    <col min="61" max="61" width="7.5703125" style="160" customWidth="1"/>
    <col min="62" max="62" width="9.7109375" style="160" customWidth="1"/>
    <col min="63" max="63" width="11" style="258" customWidth="1"/>
    <col min="64" max="64" width="3.140625" style="160" customWidth="1"/>
    <col min="65" max="65" width="14.140625" style="160" customWidth="1"/>
    <col min="66" max="66" width="6.140625" style="160" customWidth="1"/>
    <col min="67" max="67" width="8.7109375" style="160" customWidth="1"/>
    <col min="68" max="68" width="9.5703125" style="160" customWidth="1"/>
    <col min="69" max="69" width="8.28515625" style="160" customWidth="1"/>
    <col min="70" max="70" width="7" style="8" customWidth="1"/>
    <col min="71" max="71" width="8.5703125" style="8" customWidth="1"/>
    <col min="72" max="72" width="12" style="8" customWidth="1"/>
    <col min="73" max="16384" width="9.140625" style="8"/>
  </cols>
  <sheetData>
    <row r="1" spans="1:72" s="104" customFormat="1" ht="23.25" customHeight="1">
      <c r="A1" s="2432" t="s">
        <v>880</v>
      </c>
      <c r="B1" s="2432"/>
      <c r="C1" s="2432"/>
      <c r="D1" s="2432"/>
      <c r="E1" s="2432"/>
      <c r="F1" s="2432"/>
      <c r="G1" s="2432"/>
      <c r="H1" s="2432"/>
      <c r="I1" s="2432"/>
      <c r="J1" s="2431" t="s">
        <v>882</v>
      </c>
      <c r="K1" s="2431"/>
      <c r="L1" s="2431"/>
      <c r="M1" s="2431"/>
      <c r="N1" s="2431"/>
      <c r="O1" s="868"/>
      <c r="P1" s="2430" t="s">
        <v>1562</v>
      </c>
      <c r="Q1" s="2430"/>
      <c r="R1" s="2430"/>
      <c r="W1" s="2430" t="s">
        <v>881</v>
      </c>
      <c r="X1" s="2430"/>
      <c r="Y1" s="2430"/>
      <c r="Z1" s="2430"/>
      <c r="AA1" s="2430"/>
      <c r="AB1" s="2431" t="s">
        <v>882</v>
      </c>
      <c r="AC1" s="2431"/>
      <c r="AD1" s="2431"/>
      <c r="AE1" s="2431"/>
      <c r="AF1" s="2431"/>
      <c r="AG1" s="868"/>
      <c r="AH1" s="868"/>
      <c r="AI1" s="2427" t="s">
        <v>1563</v>
      </c>
      <c r="AJ1" s="2427"/>
      <c r="AK1" s="242"/>
      <c r="AL1" s="868"/>
      <c r="AM1" s="868"/>
      <c r="AN1" s="868"/>
      <c r="AO1" s="868"/>
      <c r="AP1" s="2430" t="s">
        <v>881</v>
      </c>
      <c r="AQ1" s="2430"/>
      <c r="AR1" s="2430"/>
      <c r="AS1" s="2430"/>
      <c r="AT1" s="2431" t="s">
        <v>882</v>
      </c>
      <c r="AU1" s="2431"/>
      <c r="AV1" s="2431"/>
      <c r="AW1" s="2431"/>
      <c r="AX1" s="2431"/>
      <c r="AY1" s="2430" t="s">
        <v>1563</v>
      </c>
      <c r="AZ1" s="2430"/>
      <c r="BA1" s="2430"/>
      <c r="BB1" s="2430"/>
      <c r="BC1" s="868"/>
      <c r="BD1" s="868"/>
      <c r="BE1" s="868"/>
      <c r="BF1" s="868"/>
      <c r="BG1" s="2430" t="s">
        <v>881</v>
      </c>
      <c r="BH1" s="2430"/>
      <c r="BI1" s="2430"/>
      <c r="BJ1" s="2430"/>
      <c r="BK1" s="868"/>
      <c r="BL1" s="2431" t="s">
        <v>882</v>
      </c>
      <c r="BM1" s="2431"/>
      <c r="BN1" s="2431"/>
      <c r="BO1" s="2431"/>
      <c r="BP1" s="2431"/>
      <c r="BQ1" s="868"/>
      <c r="BR1" s="2430" t="s">
        <v>1079</v>
      </c>
      <c r="BS1" s="2430"/>
      <c r="BT1" s="2430"/>
    </row>
    <row r="2" spans="1:72" s="104" customFormat="1" ht="13.5" customHeight="1">
      <c r="A2" s="1546"/>
      <c r="B2" s="1547"/>
      <c r="C2" s="1546"/>
      <c r="D2" s="1546"/>
      <c r="E2" s="1546"/>
      <c r="F2" s="1546"/>
      <c r="G2" s="1546"/>
      <c r="H2" s="1546"/>
      <c r="I2" s="1546"/>
      <c r="J2" s="1548"/>
      <c r="K2" s="1548"/>
      <c r="L2" s="1548"/>
      <c r="M2" s="1548"/>
      <c r="N2" s="1548"/>
      <c r="O2" s="1549"/>
      <c r="P2" s="1550"/>
      <c r="Q2" s="1550"/>
      <c r="R2" s="1551" t="s">
        <v>1564</v>
      </c>
      <c r="S2" s="959"/>
      <c r="T2" s="959"/>
      <c r="U2" s="959"/>
      <c r="V2" s="959"/>
      <c r="W2" s="959"/>
      <c r="X2" s="1549"/>
      <c r="Y2" s="1552"/>
      <c r="Z2" s="1552"/>
      <c r="AA2" s="1552"/>
      <c r="AB2" s="1548"/>
      <c r="AC2" s="1548"/>
      <c r="AD2" s="1548"/>
      <c r="AE2" s="1548"/>
      <c r="AF2" s="1548"/>
      <c r="AG2" s="1549"/>
      <c r="AH2" s="1549"/>
      <c r="AI2" s="1550"/>
      <c r="AJ2" s="1551" t="s">
        <v>1565</v>
      </c>
      <c r="AK2" s="1553"/>
      <c r="AL2" s="1549"/>
      <c r="AM2" s="1549"/>
      <c r="AN2" s="1549"/>
      <c r="AO2" s="1549"/>
      <c r="AP2" s="1552"/>
      <c r="AQ2" s="1552"/>
      <c r="AR2" s="1552"/>
      <c r="AS2" s="1552"/>
      <c r="AT2" s="1548"/>
      <c r="AU2" s="1548"/>
      <c r="AV2" s="1548"/>
      <c r="AW2" s="1548"/>
      <c r="AX2" s="1548"/>
      <c r="AY2" s="1549"/>
      <c r="AZ2" s="1549"/>
      <c r="BA2" s="1552"/>
      <c r="BB2" s="1554" t="s">
        <v>24</v>
      </c>
      <c r="BC2" s="1549"/>
      <c r="BD2" s="1549"/>
      <c r="BE2" s="1549"/>
      <c r="BF2" s="1549"/>
      <c r="BG2" s="1549"/>
      <c r="BH2" s="1552"/>
      <c r="BI2" s="1552"/>
      <c r="BJ2" s="1552"/>
      <c r="BK2" s="1552"/>
      <c r="BL2" s="1548"/>
      <c r="BM2" s="1548"/>
      <c r="BN2" s="1548"/>
      <c r="BO2" s="1548"/>
      <c r="BP2" s="1548"/>
      <c r="BQ2" s="1549"/>
      <c r="BR2" s="1552"/>
      <c r="BS2" s="1552"/>
      <c r="BT2" s="1554" t="s">
        <v>24</v>
      </c>
    </row>
    <row r="3" spans="1:72" s="212" customFormat="1" ht="17.25" customHeight="1">
      <c r="A3" s="2422" t="s">
        <v>1566</v>
      </c>
      <c r="B3" s="2422" t="s">
        <v>1567</v>
      </c>
      <c r="C3" s="2422" t="s">
        <v>1568</v>
      </c>
      <c r="D3" s="2424" t="s">
        <v>1569</v>
      </c>
      <c r="E3" s="2424" t="s">
        <v>1570</v>
      </c>
      <c r="F3" s="2424" t="s">
        <v>1815</v>
      </c>
      <c r="G3" s="2424" t="s">
        <v>1571</v>
      </c>
      <c r="H3" s="2424" t="s">
        <v>1786</v>
      </c>
      <c r="I3" s="2424" t="s">
        <v>1572</v>
      </c>
      <c r="J3" s="2422" t="s">
        <v>1566</v>
      </c>
      <c r="K3" s="2422" t="s">
        <v>1567</v>
      </c>
      <c r="L3" s="2422" t="s">
        <v>1568</v>
      </c>
      <c r="M3" s="2424" t="s">
        <v>1569</v>
      </c>
      <c r="N3" s="2424" t="s">
        <v>1570</v>
      </c>
      <c r="O3" s="2424" t="s">
        <v>1815</v>
      </c>
      <c r="P3" s="2424" t="s">
        <v>1573</v>
      </c>
      <c r="Q3" s="2424" t="s">
        <v>1786</v>
      </c>
      <c r="R3" s="2424" t="s">
        <v>1572</v>
      </c>
      <c r="S3" s="2422" t="s">
        <v>1566</v>
      </c>
      <c r="T3" s="2422" t="s">
        <v>1567</v>
      </c>
      <c r="U3" s="2422" t="s">
        <v>1568</v>
      </c>
      <c r="V3" s="2424" t="s">
        <v>1569</v>
      </c>
      <c r="W3" s="2424" t="s">
        <v>1570</v>
      </c>
      <c r="X3" s="2424" t="s">
        <v>1921</v>
      </c>
      <c r="Y3" s="2424" t="s">
        <v>1571</v>
      </c>
      <c r="Z3" s="2424" t="s">
        <v>1786</v>
      </c>
      <c r="AA3" s="2424" t="s">
        <v>1572</v>
      </c>
      <c r="AB3" s="2422" t="s">
        <v>1566</v>
      </c>
      <c r="AC3" s="2422" t="s">
        <v>1567</v>
      </c>
      <c r="AD3" s="2422" t="s">
        <v>1568</v>
      </c>
      <c r="AE3" s="2424" t="s">
        <v>1569</v>
      </c>
      <c r="AF3" s="2424" t="s">
        <v>1570</v>
      </c>
      <c r="AG3" s="2424" t="s">
        <v>1815</v>
      </c>
      <c r="AH3" s="2424" t="s">
        <v>1571</v>
      </c>
      <c r="AI3" s="2424" t="s">
        <v>1786</v>
      </c>
      <c r="AJ3" s="2424" t="s">
        <v>1572</v>
      </c>
      <c r="AK3" s="2422" t="s">
        <v>1566</v>
      </c>
      <c r="AL3" s="2422" t="s">
        <v>1567</v>
      </c>
      <c r="AM3" s="2422" t="s">
        <v>1568</v>
      </c>
      <c r="AN3" s="2424" t="s">
        <v>1569</v>
      </c>
      <c r="AO3" s="2424" t="s">
        <v>1570</v>
      </c>
      <c r="AP3" s="2424" t="s">
        <v>1815</v>
      </c>
      <c r="AQ3" s="2424" t="s">
        <v>1571</v>
      </c>
      <c r="AR3" s="2424" t="s">
        <v>1922</v>
      </c>
      <c r="AS3" s="2424" t="s">
        <v>1572</v>
      </c>
      <c r="AT3" s="2422" t="s">
        <v>1566</v>
      </c>
      <c r="AU3" s="2422" t="s">
        <v>1567</v>
      </c>
      <c r="AV3" s="2422" t="s">
        <v>1568</v>
      </c>
      <c r="AW3" s="2424" t="s">
        <v>1569</v>
      </c>
      <c r="AX3" s="2424" t="s">
        <v>1570</v>
      </c>
      <c r="AY3" s="2424" t="s">
        <v>1921</v>
      </c>
      <c r="AZ3" s="2424" t="s">
        <v>1571</v>
      </c>
      <c r="BA3" s="2424" t="s">
        <v>1922</v>
      </c>
      <c r="BB3" s="2424" t="s">
        <v>1572</v>
      </c>
      <c r="BC3" s="2422" t="s">
        <v>1566</v>
      </c>
      <c r="BD3" s="2422" t="s">
        <v>2389</v>
      </c>
      <c r="BE3" s="2422" t="s">
        <v>1568</v>
      </c>
      <c r="BF3" s="2424" t="s">
        <v>1569</v>
      </c>
      <c r="BG3" s="2424" t="s">
        <v>1570</v>
      </c>
      <c r="BH3" s="2426" t="s">
        <v>1923</v>
      </c>
      <c r="BI3" s="2424" t="s">
        <v>1571</v>
      </c>
      <c r="BJ3" s="2424" t="s">
        <v>1924</v>
      </c>
      <c r="BK3" s="2424" t="s">
        <v>1572</v>
      </c>
      <c r="BL3" s="2420" t="s">
        <v>1566</v>
      </c>
      <c r="BM3" s="2420" t="s">
        <v>1787</v>
      </c>
      <c r="BN3" s="2422" t="s">
        <v>1568</v>
      </c>
      <c r="BO3" s="2424" t="s">
        <v>1569</v>
      </c>
      <c r="BP3" s="2424" t="s">
        <v>1570</v>
      </c>
      <c r="BQ3" s="2424" t="s">
        <v>1815</v>
      </c>
      <c r="BR3" s="2424" t="s">
        <v>1571</v>
      </c>
      <c r="BS3" s="2424" t="s">
        <v>1786</v>
      </c>
      <c r="BT3" s="2424" t="s">
        <v>1572</v>
      </c>
    </row>
    <row r="4" spans="1:72" s="64" customFormat="1" ht="27.75" customHeight="1">
      <c r="A4" s="2423"/>
      <c r="B4" s="2423"/>
      <c r="C4" s="2423"/>
      <c r="D4" s="2426"/>
      <c r="E4" s="2426"/>
      <c r="F4" s="2426"/>
      <c r="G4" s="2425"/>
      <c r="H4" s="2425"/>
      <c r="I4" s="2425"/>
      <c r="J4" s="2423"/>
      <c r="K4" s="2423"/>
      <c r="L4" s="2423"/>
      <c r="M4" s="2426"/>
      <c r="N4" s="2426"/>
      <c r="O4" s="2426"/>
      <c r="P4" s="2425"/>
      <c r="Q4" s="2425"/>
      <c r="R4" s="2425"/>
      <c r="S4" s="2423"/>
      <c r="T4" s="2423"/>
      <c r="U4" s="2423"/>
      <c r="V4" s="2426"/>
      <c r="W4" s="2426"/>
      <c r="X4" s="2426"/>
      <c r="Y4" s="2425"/>
      <c r="Z4" s="2425"/>
      <c r="AA4" s="2425"/>
      <c r="AB4" s="2423"/>
      <c r="AC4" s="2423"/>
      <c r="AD4" s="2423"/>
      <c r="AE4" s="2426"/>
      <c r="AF4" s="2426"/>
      <c r="AG4" s="2426"/>
      <c r="AH4" s="2425"/>
      <c r="AI4" s="2425"/>
      <c r="AJ4" s="2425"/>
      <c r="AK4" s="2423"/>
      <c r="AL4" s="2423"/>
      <c r="AM4" s="2423"/>
      <c r="AN4" s="2426"/>
      <c r="AO4" s="2426"/>
      <c r="AP4" s="2426"/>
      <c r="AQ4" s="2425"/>
      <c r="AR4" s="2425"/>
      <c r="AS4" s="2425"/>
      <c r="AT4" s="2423"/>
      <c r="AU4" s="2423"/>
      <c r="AV4" s="2423"/>
      <c r="AW4" s="2426"/>
      <c r="AX4" s="2426"/>
      <c r="AY4" s="2426"/>
      <c r="AZ4" s="2425"/>
      <c r="BA4" s="2425"/>
      <c r="BB4" s="2425"/>
      <c r="BC4" s="2423"/>
      <c r="BD4" s="2423"/>
      <c r="BE4" s="2423"/>
      <c r="BF4" s="2426"/>
      <c r="BG4" s="2426"/>
      <c r="BH4" s="2426"/>
      <c r="BI4" s="2425"/>
      <c r="BJ4" s="2425"/>
      <c r="BK4" s="2425"/>
      <c r="BL4" s="2421"/>
      <c r="BM4" s="2421"/>
      <c r="BN4" s="2423"/>
      <c r="BO4" s="2426"/>
      <c r="BP4" s="2426"/>
      <c r="BQ4" s="2426"/>
      <c r="BR4" s="2425"/>
      <c r="BS4" s="2425"/>
      <c r="BT4" s="2425"/>
    </row>
    <row r="5" spans="1:72" s="247" customFormat="1" ht="12.6" customHeight="1">
      <c r="A5" s="2428" t="s">
        <v>1574</v>
      </c>
      <c r="B5" s="2429"/>
      <c r="C5" s="2429"/>
      <c r="D5" s="2429"/>
      <c r="E5" s="2429"/>
      <c r="F5" s="874"/>
      <c r="G5" s="874"/>
      <c r="H5" s="874"/>
      <c r="I5" s="874"/>
      <c r="J5" s="763">
        <v>46</v>
      </c>
      <c r="K5" s="763" t="s">
        <v>2838</v>
      </c>
      <c r="L5" s="763">
        <v>5</v>
      </c>
      <c r="M5" s="795" t="s">
        <v>2839</v>
      </c>
      <c r="N5" s="795" t="s">
        <v>2877</v>
      </c>
      <c r="O5" s="795">
        <v>10.79</v>
      </c>
      <c r="P5" s="763" t="s">
        <v>2878</v>
      </c>
      <c r="Q5" s="795">
        <v>10.84</v>
      </c>
      <c r="R5" s="795">
        <v>8000</v>
      </c>
      <c r="S5" s="781">
        <v>93</v>
      </c>
      <c r="T5" s="781" t="s">
        <v>1680</v>
      </c>
      <c r="U5" s="781">
        <v>15</v>
      </c>
      <c r="V5" s="806" t="s">
        <v>937</v>
      </c>
      <c r="W5" s="781" t="s">
        <v>938</v>
      </c>
      <c r="X5" s="521">
        <v>11.75</v>
      </c>
      <c r="Y5" s="781" t="s">
        <v>292</v>
      </c>
      <c r="Z5" s="521">
        <v>11.75</v>
      </c>
      <c r="AA5" s="521">
        <v>500</v>
      </c>
      <c r="AB5" s="781">
        <v>139</v>
      </c>
      <c r="AC5" s="781" t="s">
        <v>1677</v>
      </c>
      <c r="AD5" s="781">
        <v>20</v>
      </c>
      <c r="AE5" s="806" t="s">
        <v>466</v>
      </c>
      <c r="AF5" s="781" t="s">
        <v>469</v>
      </c>
      <c r="AG5" s="521">
        <v>13.88</v>
      </c>
      <c r="AH5" s="781" t="s">
        <v>292</v>
      </c>
      <c r="AI5" s="521">
        <v>13.88</v>
      </c>
      <c r="AJ5" s="521">
        <v>50</v>
      </c>
      <c r="AK5" s="781">
        <v>185</v>
      </c>
      <c r="AL5" s="781" t="s">
        <v>1697</v>
      </c>
      <c r="AM5" s="781">
        <v>20</v>
      </c>
      <c r="AN5" s="806" t="s">
        <v>949</v>
      </c>
      <c r="AO5" s="781" t="s">
        <v>950</v>
      </c>
      <c r="AP5" s="521">
        <v>11.5</v>
      </c>
      <c r="AQ5" s="781" t="s">
        <v>292</v>
      </c>
      <c r="AR5" s="521">
        <v>11.5</v>
      </c>
      <c r="AS5" s="521">
        <v>175</v>
      </c>
      <c r="AT5" s="781">
        <v>231</v>
      </c>
      <c r="AU5" s="781" t="s">
        <v>2083</v>
      </c>
      <c r="AV5" s="781">
        <v>20</v>
      </c>
      <c r="AW5" s="806" t="s">
        <v>2084</v>
      </c>
      <c r="AX5" s="781" t="s">
        <v>2085</v>
      </c>
      <c r="AY5" s="521">
        <v>8.65</v>
      </c>
      <c r="AZ5" s="781" t="s">
        <v>2134</v>
      </c>
      <c r="BA5" s="521">
        <v>8.83</v>
      </c>
      <c r="BB5" s="521">
        <v>5161.28</v>
      </c>
      <c r="BC5" s="781">
        <v>30</v>
      </c>
      <c r="BD5" s="1459" t="s">
        <v>2374</v>
      </c>
      <c r="BE5" s="781">
        <v>8</v>
      </c>
      <c r="BF5" s="806" t="s">
        <v>2350</v>
      </c>
      <c r="BG5" s="781" t="s">
        <v>2373</v>
      </c>
      <c r="BH5" s="521" t="s">
        <v>2334</v>
      </c>
      <c r="BI5" s="781" t="s">
        <v>292</v>
      </c>
      <c r="BJ5" s="521" t="s">
        <v>2334</v>
      </c>
      <c r="BK5" s="521">
        <v>57.67</v>
      </c>
      <c r="BL5" s="781">
        <v>76</v>
      </c>
      <c r="BM5" s="1459" t="s">
        <v>2427</v>
      </c>
      <c r="BN5" s="781">
        <v>10</v>
      </c>
      <c r="BO5" s="806" t="s">
        <v>2479</v>
      </c>
      <c r="BP5" s="781" t="s">
        <v>2480</v>
      </c>
      <c r="BQ5" s="521" t="s">
        <v>2334</v>
      </c>
      <c r="BR5" s="781" t="s">
        <v>292</v>
      </c>
      <c r="BS5" s="521" t="s">
        <v>2334</v>
      </c>
      <c r="BT5" s="521">
        <v>300</v>
      </c>
    </row>
    <row r="6" spans="1:72" s="247" customFormat="1" ht="12.6" customHeight="1">
      <c r="A6" s="729">
        <v>1</v>
      </c>
      <c r="B6" s="809" t="s">
        <v>2400</v>
      </c>
      <c r="C6" s="1486">
        <v>2</v>
      </c>
      <c r="D6" s="1486" t="s">
        <v>2401</v>
      </c>
      <c r="E6" s="1486" t="s">
        <v>2402</v>
      </c>
      <c r="F6" s="621">
        <v>12</v>
      </c>
      <c r="G6" s="740" t="s">
        <v>292</v>
      </c>
      <c r="H6" s="621">
        <v>12</v>
      </c>
      <c r="I6" s="621">
        <v>2336.5700000000002</v>
      </c>
      <c r="J6" s="740">
        <v>47</v>
      </c>
      <c r="K6" s="740" t="s">
        <v>1736</v>
      </c>
      <c r="L6" s="740">
        <v>10</v>
      </c>
      <c r="M6" s="740" t="s">
        <v>1189</v>
      </c>
      <c r="N6" s="740" t="s">
        <v>1190</v>
      </c>
      <c r="O6" s="621">
        <v>7.59</v>
      </c>
      <c r="P6" s="740" t="s">
        <v>1212</v>
      </c>
      <c r="Q6" s="621">
        <v>6.89</v>
      </c>
      <c r="R6" s="621">
        <v>2700</v>
      </c>
      <c r="S6" s="729">
        <v>94</v>
      </c>
      <c r="T6" s="809" t="s">
        <v>1684</v>
      </c>
      <c r="U6" s="794">
        <v>15</v>
      </c>
      <c r="V6" s="794" t="s">
        <v>939</v>
      </c>
      <c r="W6" s="732" t="s">
        <v>940</v>
      </c>
      <c r="X6" s="732">
        <v>11.8</v>
      </c>
      <c r="Y6" s="794" t="s">
        <v>292</v>
      </c>
      <c r="Z6" s="732">
        <v>11.8</v>
      </c>
      <c r="AA6" s="732">
        <v>500</v>
      </c>
      <c r="AB6" s="249">
        <v>140</v>
      </c>
      <c r="AC6" s="809" t="s">
        <v>1681</v>
      </c>
      <c r="AD6" s="794">
        <v>20</v>
      </c>
      <c r="AE6" s="794" t="s">
        <v>467</v>
      </c>
      <c r="AF6" s="732" t="s">
        <v>470</v>
      </c>
      <c r="AG6" s="732">
        <v>13.489999999999998</v>
      </c>
      <c r="AH6" s="794" t="s">
        <v>292</v>
      </c>
      <c r="AI6" s="732">
        <v>13.489999999999998</v>
      </c>
      <c r="AJ6" s="732">
        <v>50</v>
      </c>
      <c r="AK6" s="729">
        <v>186</v>
      </c>
      <c r="AL6" s="809" t="s">
        <v>1701</v>
      </c>
      <c r="AM6" s="794">
        <v>20</v>
      </c>
      <c r="AN6" s="794" t="s">
        <v>1207</v>
      </c>
      <c r="AO6" s="732" t="s">
        <v>1213</v>
      </c>
      <c r="AP6" s="732">
        <v>11.5</v>
      </c>
      <c r="AQ6" s="794" t="s">
        <v>292</v>
      </c>
      <c r="AR6" s="732">
        <v>11.5</v>
      </c>
      <c r="AS6" s="732">
        <v>175</v>
      </c>
      <c r="AT6" s="729">
        <v>232</v>
      </c>
      <c r="AU6" s="729" t="s">
        <v>2156</v>
      </c>
      <c r="AV6" s="729">
        <v>20</v>
      </c>
      <c r="AW6" s="794" t="s">
        <v>2155</v>
      </c>
      <c r="AX6" s="729" t="s">
        <v>2157</v>
      </c>
      <c r="AY6" s="520">
        <v>8.9499999999999993</v>
      </c>
      <c r="AZ6" s="729" t="s">
        <v>2690</v>
      </c>
      <c r="BA6" s="520">
        <v>12.46</v>
      </c>
      <c r="BB6" s="520">
        <v>8943.23</v>
      </c>
      <c r="BC6" s="729">
        <v>31</v>
      </c>
      <c r="BD6" s="1558" t="s">
        <v>2375</v>
      </c>
      <c r="BE6" s="729">
        <v>9</v>
      </c>
      <c r="BF6" s="794" t="s">
        <v>2376</v>
      </c>
      <c r="BG6" s="729" t="s">
        <v>2377</v>
      </c>
      <c r="BH6" s="520" t="s">
        <v>2334</v>
      </c>
      <c r="BI6" s="729" t="s">
        <v>292</v>
      </c>
      <c r="BJ6" s="520" t="s">
        <v>2334</v>
      </c>
      <c r="BK6" s="520">
        <v>447.22</v>
      </c>
      <c r="BL6" s="729">
        <v>77</v>
      </c>
      <c r="BM6" s="1558" t="s">
        <v>2430</v>
      </c>
      <c r="BN6" s="729">
        <v>9</v>
      </c>
      <c r="BO6" s="794" t="s">
        <v>2479</v>
      </c>
      <c r="BP6" s="729" t="s">
        <v>2490</v>
      </c>
      <c r="BQ6" s="520" t="s">
        <v>2334</v>
      </c>
      <c r="BR6" s="729" t="s">
        <v>292</v>
      </c>
      <c r="BS6" s="520" t="s">
        <v>2334</v>
      </c>
      <c r="BT6" s="520">
        <v>129.35480000000001</v>
      </c>
    </row>
    <row r="7" spans="1:72" s="247" customFormat="1" ht="12.6" customHeight="1">
      <c r="A7" s="781">
        <v>2</v>
      </c>
      <c r="B7" s="811" t="s">
        <v>2411</v>
      </c>
      <c r="C7" s="1487">
        <v>2</v>
      </c>
      <c r="D7" s="1487" t="s">
        <v>2412</v>
      </c>
      <c r="E7" s="1487" t="s">
        <v>2413</v>
      </c>
      <c r="F7" s="795">
        <v>12.05</v>
      </c>
      <c r="G7" s="763" t="s">
        <v>292</v>
      </c>
      <c r="H7" s="795">
        <v>12.05</v>
      </c>
      <c r="I7" s="795">
        <v>3007.67</v>
      </c>
      <c r="J7" s="763">
        <v>48</v>
      </c>
      <c r="K7" s="763" t="s">
        <v>1742</v>
      </c>
      <c r="L7" s="763">
        <v>10</v>
      </c>
      <c r="M7" s="763" t="s">
        <v>1214</v>
      </c>
      <c r="N7" s="763" t="s">
        <v>974</v>
      </c>
      <c r="O7" s="795">
        <v>6.77</v>
      </c>
      <c r="P7" s="763" t="s">
        <v>1310</v>
      </c>
      <c r="Q7" s="795">
        <v>6.96</v>
      </c>
      <c r="R7" s="795">
        <v>2600</v>
      </c>
      <c r="S7" s="781">
        <v>95</v>
      </c>
      <c r="T7" s="781" t="s">
        <v>1688</v>
      </c>
      <c r="U7" s="781">
        <v>15</v>
      </c>
      <c r="V7" s="806" t="s">
        <v>941</v>
      </c>
      <c r="W7" s="781" t="s">
        <v>942</v>
      </c>
      <c r="X7" s="521">
        <v>11.85</v>
      </c>
      <c r="Y7" s="781" t="s">
        <v>292</v>
      </c>
      <c r="Z7" s="521">
        <v>11.85</v>
      </c>
      <c r="AA7" s="521">
        <v>350</v>
      </c>
      <c r="AB7" s="781">
        <v>141</v>
      </c>
      <c r="AC7" s="781" t="s">
        <v>1685</v>
      </c>
      <c r="AD7" s="781">
        <v>20</v>
      </c>
      <c r="AE7" s="806" t="s">
        <v>1807</v>
      </c>
      <c r="AF7" s="781" t="s">
        <v>1808</v>
      </c>
      <c r="AG7" s="521">
        <v>13.29</v>
      </c>
      <c r="AH7" s="781" t="s">
        <v>292</v>
      </c>
      <c r="AI7" s="521">
        <v>13.29</v>
      </c>
      <c r="AJ7" s="521">
        <v>50</v>
      </c>
      <c r="AK7" s="781">
        <v>187</v>
      </c>
      <c r="AL7" s="781" t="s">
        <v>1707</v>
      </c>
      <c r="AM7" s="781">
        <v>20</v>
      </c>
      <c r="AN7" s="806" t="s">
        <v>1708</v>
      </c>
      <c r="AO7" s="781" t="s">
        <v>1215</v>
      </c>
      <c r="AP7" s="521">
        <v>11.95</v>
      </c>
      <c r="AQ7" s="781" t="s">
        <v>292</v>
      </c>
      <c r="AR7" s="521">
        <v>11.95</v>
      </c>
      <c r="AS7" s="521">
        <v>250</v>
      </c>
      <c r="AT7" s="781">
        <v>233</v>
      </c>
      <c r="AU7" s="781" t="s">
        <v>2165</v>
      </c>
      <c r="AV7" s="781">
        <v>20</v>
      </c>
      <c r="AW7" s="806" t="s">
        <v>2164</v>
      </c>
      <c r="AX7" s="781" t="s">
        <v>2166</v>
      </c>
      <c r="AY7" s="521">
        <v>8.89</v>
      </c>
      <c r="AZ7" s="781" t="s">
        <v>2639</v>
      </c>
      <c r="BA7" s="521">
        <v>11.95</v>
      </c>
      <c r="BB7" s="521">
        <v>4324.8099999999995</v>
      </c>
      <c r="BC7" s="781">
        <v>32</v>
      </c>
      <c r="BD7" s="1465" t="s">
        <v>1312</v>
      </c>
      <c r="BE7" s="781">
        <v>9</v>
      </c>
      <c r="BF7" s="806" t="s">
        <v>2376</v>
      </c>
      <c r="BG7" s="781" t="s">
        <v>2377</v>
      </c>
      <c r="BH7" s="521" t="s">
        <v>2334</v>
      </c>
      <c r="BI7" s="781" t="s">
        <v>292</v>
      </c>
      <c r="BJ7" s="521" t="s">
        <v>2334</v>
      </c>
      <c r="BK7" s="521">
        <v>282.3</v>
      </c>
      <c r="BL7" s="781">
        <v>78</v>
      </c>
      <c r="BM7" s="1465" t="s">
        <v>2426</v>
      </c>
      <c r="BN7" s="781">
        <v>10</v>
      </c>
      <c r="BO7" s="806" t="s">
        <v>2479</v>
      </c>
      <c r="BP7" s="781" t="s">
        <v>2480</v>
      </c>
      <c r="BQ7" s="521" t="s">
        <v>2334</v>
      </c>
      <c r="BR7" s="781" t="s">
        <v>292</v>
      </c>
      <c r="BS7" s="521" t="s">
        <v>2334</v>
      </c>
      <c r="BT7" s="521">
        <v>1353.855</v>
      </c>
    </row>
    <row r="8" spans="1:72" s="247" customFormat="1" ht="12.6" customHeight="1">
      <c r="A8" s="729">
        <v>3</v>
      </c>
      <c r="B8" s="809" t="s">
        <v>2475</v>
      </c>
      <c r="C8" s="1486">
        <v>2</v>
      </c>
      <c r="D8" s="1486" t="s">
        <v>2476</v>
      </c>
      <c r="E8" s="1486" t="s">
        <v>2477</v>
      </c>
      <c r="F8" s="621">
        <v>12.3</v>
      </c>
      <c r="G8" s="740" t="s">
        <v>2502</v>
      </c>
      <c r="H8" s="621">
        <v>12.31</v>
      </c>
      <c r="I8" s="621">
        <v>4422.22</v>
      </c>
      <c r="J8" s="740">
        <v>49</v>
      </c>
      <c r="K8" s="794" t="s">
        <v>1749</v>
      </c>
      <c r="L8" s="794">
        <v>10</v>
      </c>
      <c r="M8" s="794" t="s">
        <v>1370</v>
      </c>
      <c r="N8" s="794" t="s">
        <v>1371</v>
      </c>
      <c r="O8" s="732">
        <v>7</v>
      </c>
      <c r="P8" s="794" t="s">
        <v>1407</v>
      </c>
      <c r="Q8" s="732">
        <v>7.11</v>
      </c>
      <c r="R8" s="732">
        <v>2800</v>
      </c>
      <c r="S8" s="729">
        <v>96</v>
      </c>
      <c r="T8" s="809" t="s">
        <v>1692</v>
      </c>
      <c r="U8" s="794">
        <v>15</v>
      </c>
      <c r="V8" s="794" t="s">
        <v>943</v>
      </c>
      <c r="W8" s="732" t="s">
        <v>944</v>
      </c>
      <c r="X8" s="732">
        <v>11.88</v>
      </c>
      <c r="Y8" s="794" t="s">
        <v>292</v>
      </c>
      <c r="Z8" s="732">
        <v>11.88</v>
      </c>
      <c r="AA8" s="732">
        <v>350</v>
      </c>
      <c r="AB8" s="249">
        <v>142</v>
      </c>
      <c r="AC8" s="809" t="s">
        <v>1689</v>
      </c>
      <c r="AD8" s="794">
        <v>20</v>
      </c>
      <c r="AE8" s="794" t="s">
        <v>31</v>
      </c>
      <c r="AF8" s="732" t="s">
        <v>43</v>
      </c>
      <c r="AG8" s="732">
        <v>13.19</v>
      </c>
      <c r="AH8" s="794" t="s">
        <v>292</v>
      </c>
      <c r="AI8" s="732">
        <v>13.19</v>
      </c>
      <c r="AJ8" s="732">
        <v>50</v>
      </c>
      <c r="AK8" s="729">
        <v>188</v>
      </c>
      <c r="AL8" s="809" t="s">
        <v>1864</v>
      </c>
      <c r="AM8" s="794">
        <v>20</v>
      </c>
      <c r="AN8" s="794" t="s">
        <v>1865</v>
      </c>
      <c r="AO8" s="732" t="s">
        <v>1866</v>
      </c>
      <c r="AP8" s="732">
        <v>12</v>
      </c>
      <c r="AQ8" s="794" t="s">
        <v>292</v>
      </c>
      <c r="AR8" s="732">
        <v>12</v>
      </c>
      <c r="AS8" s="732">
        <v>250</v>
      </c>
      <c r="AT8" s="729">
        <v>234</v>
      </c>
      <c r="AU8" s="809" t="s">
        <v>2504</v>
      </c>
      <c r="AV8" s="794">
        <v>20</v>
      </c>
      <c r="AW8" s="794" t="s">
        <v>2503</v>
      </c>
      <c r="AX8" s="732" t="s">
        <v>2505</v>
      </c>
      <c r="AY8" s="732">
        <v>12.75</v>
      </c>
      <c r="AZ8" s="794" t="s">
        <v>2625</v>
      </c>
      <c r="BA8" s="732">
        <v>12.675000000000001</v>
      </c>
      <c r="BB8" s="732">
        <v>8374.2900000000009</v>
      </c>
      <c r="BC8" s="729">
        <v>33</v>
      </c>
      <c r="BD8" s="1466" t="s">
        <v>2378</v>
      </c>
      <c r="BE8" s="794">
        <v>10</v>
      </c>
      <c r="BF8" s="794" t="s">
        <v>2376</v>
      </c>
      <c r="BG8" s="732" t="s">
        <v>2379</v>
      </c>
      <c r="BH8" s="732" t="s">
        <v>2334</v>
      </c>
      <c r="BI8" s="794" t="s">
        <v>292</v>
      </c>
      <c r="BJ8" s="732" t="s">
        <v>2334</v>
      </c>
      <c r="BK8" s="732">
        <v>190.29</v>
      </c>
      <c r="BL8" s="729">
        <v>79</v>
      </c>
      <c r="BM8" s="1466" t="s">
        <v>2491</v>
      </c>
      <c r="BN8" s="794">
        <v>10</v>
      </c>
      <c r="BO8" s="794" t="s">
        <v>2479</v>
      </c>
      <c r="BP8" s="732" t="s">
        <v>2480</v>
      </c>
      <c r="BQ8" s="732" t="s">
        <v>2334</v>
      </c>
      <c r="BR8" s="794" t="s">
        <v>292</v>
      </c>
      <c r="BS8" s="732" t="s">
        <v>2334</v>
      </c>
      <c r="BT8" s="732">
        <v>323.9889</v>
      </c>
    </row>
    <row r="9" spans="1:72" s="247" customFormat="1" ht="12.6" customHeight="1">
      <c r="A9" s="781">
        <v>4</v>
      </c>
      <c r="B9" s="811" t="s">
        <v>2528</v>
      </c>
      <c r="C9" s="1487">
        <v>2</v>
      </c>
      <c r="D9" s="1487" t="s">
        <v>2529</v>
      </c>
      <c r="E9" s="1487" t="s">
        <v>2530</v>
      </c>
      <c r="F9" s="795">
        <v>12.25</v>
      </c>
      <c r="G9" s="763" t="s">
        <v>2550</v>
      </c>
      <c r="H9" s="795">
        <v>12.24</v>
      </c>
      <c r="I9" s="795">
        <v>8280.77</v>
      </c>
      <c r="J9" s="763">
        <v>50</v>
      </c>
      <c r="K9" s="763" t="s">
        <v>1756</v>
      </c>
      <c r="L9" s="763">
        <v>10</v>
      </c>
      <c r="M9" s="795" t="s">
        <v>1411</v>
      </c>
      <c r="N9" s="795" t="s">
        <v>1412</v>
      </c>
      <c r="O9" s="795">
        <v>7.5</v>
      </c>
      <c r="P9" s="763" t="s">
        <v>1492</v>
      </c>
      <c r="Q9" s="795">
        <v>7.6</v>
      </c>
      <c r="R9" s="795">
        <v>2800</v>
      </c>
      <c r="S9" s="781">
        <v>97</v>
      </c>
      <c r="T9" s="781" t="s">
        <v>2135</v>
      </c>
      <c r="U9" s="781">
        <v>15</v>
      </c>
      <c r="V9" s="806" t="s">
        <v>2136</v>
      </c>
      <c r="W9" s="781" t="s">
        <v>2137</v>
      </c>
      <c r="X9" s="521">
        <v>11.93</v>
      </c>
      <c r="Y9" s="781" t="s">
        <v>292</v>
      </c>
      <c r="Z9" s="521">
        <v>11.93</v>
      </c>
      <c r="AA9" s="521">
        <v>100</v>
      </c>
      <c r="AB9" s="781">
        <v>143</v>
      </c>
      <c r="AC9" s="781" t="s">
        <v>1693</v>
      </c>
      <c r="AD9" s="781">
        <v>20</v>
      </c>
      <c r="AE9" s="806" t="s">
        <v>32</v>
      </c>
      <c r="AF9" s="806" t="s">
        <v>44</v>
      </c>
      <c r="AG9" s="521">
        <v>13.139999999999999</v>
      </c>
      <c r="AH9" s="781" t="s">
        <v>292</v>
      </c>
      <c r="AI9" s="521">
        <v>13.139999999999999</v>
      </c>
      <c r="AJ9" s="521">
        <v>50</v>
      </c>
      <c r="AK9" s="781">
        <v>189</v>
      </c>
      <c r="AL9" s="781" t="s">
        <v>1867</v>
      </c>
      <c r="AM9" s="781">
        <v>20</v>
      </c>
      <c r="AN9" s="806" t="s">
        <v>1868</v>
      </c>
      <c r="AO9" s="781" t="s">
        <v>1869</v>
      </c>
      <c r="AP9" s="521">
        <v>12.03</v>
      </c>
      <c r="AQ9" s="781" t="s">
        <v>292</v>
      </c>
      <c r="AR9" s="521">
        <v>12.03</v>
      </c>
      <c r="AS9" s="521">
        <v>250</v>
      </c>
      <c r="AT9" s="781">
        <v>235</v>
      </c>
      <c r="AU9" s="781" t="s">
        <v>2708</v>
      </c>
      <c r="AV9" s="781">
        <v>20</v>
      </c>
      <c r="AW9" s="806" t="s">
        <v>2707</v>
      </c>
      <c r="AX9" s="781" t="s">
        <v>2709</v>
      </c>
      <c r="AY9" s="521">
        <v>12.24</v>
      </c>
      <c r="AZ9" s="781" t="s">
        <v>2975</v>
      </c>
      <c r="BA9" s="521">
        <v>10.44</v>
      </c>
      <c r="BB9" s="521">
        <v>5132.8</v>
      </c>
      <c r="BC9" s="781">
        <v>34</v>
      </c>
      <c r="BD9" s="1465" t="s">
        <v>2380</v>
      </c>
      <c r="BE9" s="781">
        <v>10</v>
      </c>
      <c r="BF9" s="806" t="s">
        <v>2376</v>
      </c>
      <c r="BG9" s="781" t="s">
        <v>2379</v>
      </c>
      <c r="BH9" s="521" t="s">
        <v>2334</v>
      </c>
      <c r="BI9" s="781" t="s">
        <v>292</v>
      </c>
      <c r="BJ9" s="521" t="s">
        <v>2334</v>
      </c>
      <c r="BK9" s="521">
        <v>56.52</v>
      </c>
      <c r="BL9" s="781">
        <v>80</v>
      </c>
      <c r="BM9" s="1465" t="s">
        <v>2425</v>
      </c>
      <c r="BN9" s="781">
        <v>10</v>
      </c>
      <c r="BO9" s="806" t="s">
        <v>2479</v>
      </c>
      <c r="BP9" s="781" t="s">
        <v>2480</v>
      </c>
      <c r="BQ9" s="521" t="s">
        <v>2334</v>
      </c>
      <c r="BR9" s="781" t="s">
        <v>292</v>
      </c>
      <c r="BS9" s="521" t="s">
        <v>2334</v>
      </c>
      <c r="BT9" s="521">
        <v>3246.145</v>
      </c>
    </row>
    <row r="10" spans="1:72" s="247" customFormat="1" ht="12.6" customHeight="1">
      <c r="A10" s="740">
        <v>5</v>
      </c>
      <c r="B10" s="729" t="s">
        <v>2559</v>
      </c>
      <c r="C10" s="729">
        <v>2</v>
      </c>
      <c r="D10" s="729" t="s">
        <v>2560</v>
      </c>
      <c r="E10" s="729" t="s">
        <v>2561</v>
      </c>
      <c r="F10" s="732">
        <v>12.2</v>
      </c>
      <c r="G10" s="729" t="s">
        <v>292</v>
      </c>
      <c r="H10" s="732">
        <v>12.2</v>
      </c>
      <c r="I10" s="520">
        <v>4926.24</v>
      </c>
      <c r="J10" s="740">
        <v>51</v>
      </c>
      <c r="K10" s="740" t="s">
        <v>1762</v>
      </c>
      <c r="L10" s="740">
        <v>10</v>
      </c>
      <c r="M10" s="621" t="s">
        <v>1486</v>
      </c>
      <c r="N10" s="621" t="s">
        <v>1487</v>
      </c>
      <c r="O10" s="621">
        <v>7.15</v>
      </c>
      <c r="P10" s="740" t="s">
        <v>1504</v>
      </c>
      <c r="Q10" s="621">
        <v>8.89</v>
      </c>
      <c r="R10" s="621">
        <v>3000</v>
      </c>
      <c r="S10" s="729">
        <v>98</v>
      </c>
      <c r="T10" s="809" t="s">
        <v>1699</v>
      </c>
      <c r="U10" s="794">
        <v>15</v>
      </c>
      <c r="V10" s="794" t="s">
        <v>945</v>
      </c>
      <c r="W10" s="732" t="s">
        <v>946</v>
      </c>
      <c r="X10" s="732">
        <v>12</v>
      </c>
      <c r="Y10" s="794" t="s">
        <v>292</v>
      </c>
      <c r="Z10" s="732">
        <v>12</v>
      </c>
      <c r="AA10" s="732">
        <v>100</v>
      </c>
      <c r="AB10" s="249">
        <v>144</v>
      </c>
      <c r="AC10" s="809" t="s">
        <v>1696</v>
      </c>
      <c r="AD10" s="794">
        <v>20</v>
      </c>
      <c r="AE10" s="794" t="s">
        <v>33</v>
      </c>
      <c r="AF10" s="732" t="s">
        <v>45</v>
      </c>
      <c r="AG10" s="732">
        <v>13.139999999999999</v>
      </c>
      <c r="AH10" s="794" t="s">
        <v>292</v>
      </c>
      <c r="AI10" s="732">
        <v>13.139999999999999</v>
      </c>
      <c r="AJ10" s="732">
        <v>50</v>
      </c>
      <c r="AK10" s="729">
        <v>190</v>
      </c>
      <c r="AL10" s="809" t="s">
        <v>1712</v>
      </c>
      <c r="AM10" s="794">
        <v>20</v>
      </c>
      <c r="AN10" s="794" t="s">
        <v>1713</v>
      </c>
      <c r="AO10" s="732" t="s">
        <v>1714</v>
      </c>
      <c r="AP10" s="732">
        <v>12.07</v>
      </c>
      <c r="AQ10" s="794" t="s">
        <v>292</v>
      </c>
      <c r="AR10" s="732">
        <v>12.07</v>
      </c>
      <c r="AS10" s="732">
        <v>325</v>
      </c>
      <c r="AT10" s="729">
        <v>236</v>
      </c>
      <c r="AU10" s="809" t="s">
        <v>2775</v>
      </c>
      <c r="AV10" s="794">
        <v>20</v>
      </c>
      <c r="AW10" s="794" t="s">
        <v>2773</v>
      </c>
      <c r="AX10" s="732" t="s">
        <v>2776</v>
      </c>
      <c r="AY10" s="732">
        <v>10.3</v>
      </c>
      <c r="AZ10" s="794" t="s">
        <v>3008</v>
      </c>
      <c r="BA10" s="732">
        <v>10.61</v>
      </c>
      <c r="BB10" s="732">
        <f>1000+6500</f>
        <v>7500</v>
      </c>
      <c r="BC10" s="729">
        <v>35</v>
      </c>
      <c r="BD10" s="1466" t="s">
        <v>2381</v>
      </c>
      <c r="BE10" s="794">
        <v>10</v>
      </c>
      <c r="BF10" s="794" t="s">
        <v>2376</v>
      </c>
      <c r="BG10" s="732" t="s">
        <v>2379</v>
      </c>
      <c r="BH10" s="732" t="s">
        <v>2334</v>
      </c>
      <c r="BI10" s="794" t="s">
        <v>292</v>
      </c>
      <c r="BJ10" s="732" t="s">
        <v>2334</v>
      </c>
      <c r="BK10" s="732">
        <v>392.91</v>
      </c>
      <c r="BL10" s="729">
        <v>81</v>
      </c>
      <c r="BM10" s="1466" t="s">
        <v>2448</v>
      </c>
      <c r="BN10" s="794">
        <v>10</v>
      </c>
      <c r="BO10" s="794" t="s">
        <v>2492</v>
      </c>
      <c r="BP10" s="732" t="s">
        <v>2493</v>
      </c>
      <c r="BQ10" s="732" t="s">
        <v>1823</v>
      </c>
      <c r="BR10" s="794" t="s">
        <v>292</v>
      </c>
      <c r="BS10" s="732" t="s">
        <v>1823</v>
      </c>
      <c r="BT10" s="732">
        <v>2568</v>
      </c>
    </row>
    <row r="11" spans="1:72" s="247" customFormat="1" ht="12.6" customHeight="1">
      <c r="A11" s="763">
        <v>6</v>
      </c>
      <c r="B11" s="781" t="s">
        <v>2602</v>
      </c>
      <c r="C11" s="781">
        <v>2</v>
      </c>
      <c r="D11" s="781" t="s">
        <v>2603</v>
      </c>
      <c r="E11" s="781" t="s">
        <v>2604</v>
      </c>
      <c r="F11" s="681">
        <v>12.3</v>
      </c>
      <c r="G11" s="781" t="s">
        <v>2620</v>
      </c>
      <c r="H11" s="681">
        <v>12.298999999999999</v>
      </c>
      <c r="I11" s="521">
        <v>6666.58</v>
      </c>
      <c r="J11" s="763">
        <v>52</v>
      </c>
      <c r="K11" s="763" t="s">
        <v>1767</v>
      </c>
      <c r="L11" s="763">
        <v>10</v>
      </c>
      <c r="M11" s="795" t="s">
        <v>1493</v>
      </c>
      <c r="N11" s="795" t="s">
        <v>1494</v>
      </c>
      <c r="O11" s="795">
        <v>7.74</v>
      </c>
      <c r="P11" s="763" t="s">
        <v>1507</v>
      </c>
      <c r="Q11" s="795">
        <v>9.0500000000000007</v>
      </c>
      <c r="R11" s="795">
        <v>2675</v>
      </c>
      <c r="S11" s="781">
        <v>99</v>
      </c>
      <c r="T11" s="781" t="s">
        <v>1705</v>
      </c>
      <c r="U11" s="781">
        <v>15</v>
      </c>
      <c r="V11" s="806" t="s">
        <v>947</v>
      </c>
      <c r="W11" s="781" t="s">
        <v>948</v>
      </c>
      <c r="X11" s="521">
        <v>12.1</v>
      </c>
      <c r="Y11" s="781" t="s">
        <v>292</v>
      </c>
      <c r="Z11" s="521">
        <v>12.1</v>
      </c>
      <c r="AA11" s="521">
        <v>100</v>
      </c>
      <c r="AB11" s="781">
        <v>145</v>
      </c>
      <c r="AC11" s="781" t="s">
        <v>1700</v>
      </c>
      <c r="AD11" s="781">
        <v>20</v>
      </c>
      <c r="AE11" s="806" t="s">
        <v>34</v>
      </c>
      <c r="AF11" s="781" t="s">
        <v>46</v>
      </c>
      <c r="AG11" s="521">
        <v>13.139999999999999</v>
      </c>
      <c r="AH11" s="781" t="s">
        <v>292</v>
      </c>
      <c r="AI11" s="521">
        <v>13.139999999999999</v>
      </c>
      <c r="AJ11" s="521">
        <v>50</v>
      </c>
      <c r="AK11" s="781">
        <v>191</v>
      </c>
      <c r="AL11" s="781" t="s">
        <v>1717</v>
      </c>
      <c r="AM11" s="781">
        <v>20</v>
      </c>
      <c r="AN11" s="806" t="s">
        <v>1718</v>
      </c>
      <c r="AO11" s="781" t="s">
        <v>1719</v>
      </c>
      <c r="AP11" s="521">
        <v>12.1</v>
      </c>
      <c r="AQ11" s="781" t="s">
        <v>292</v>
      </c>
      <c r="AR11" s="521">
        <v>12.1</v>
      </c>
      <c r="AS11" s="521">
        <v>325</v>
      </c>
      <c r="AT11" s="781"/>
      <c r="AU11" s="781"/>
      <c r="AV11" s="781"/>
      <c r="AW11" s="806"/>
      <c r="AX11" s="781"/>
      <c r="AY11" s="521"/>
      <c r="AZ11" s="781"/>
      <c r="BA11" s="521"/>
      <c r="BB11" s="521"/>
      <c r="BC11" s="781">
        <v>36</v>
      </c>
      <c r="BD11" s="1465" t="s">
        <v>2382</v>
      </c>
      <c r="BE11" s="781">
        <v>10</v>
      </c>
      <c r="BF11" s="806" t="s">
        <v>2376</v>
      </c>
      <c r="BG11" s="781" t="s">
        <v>2379</v>
      </c>
      <c r="BH11" s="521" t="s">
        <v>2334</v>
      </c>
      <c r="BI11" s="781" t="s">
        <v>292</v>
      </c>
      <c r="BJ11" s="521" t="s">
        <v>2334</v>
      </c>
      <c r="BK11" s="521">
        <v>397.43</v>
      </c>
      <c r="BL11" s="781">
        <v>82</v>
      </c>
      <c r="BM11" s="1465" t="s">
        <v>2448</v>
      </c>
      <c r="BN11" s="781">
        <v>10</v>
      </c>
      <c r="BO11" s="806" t="s">
        <v>2532</v>
      </c>
      <c r="BP11" s="781" t="s">
        <v>2533</v>
      </c>
      <c r="BQ11" s="521" t="s">
        <v>1823</v>
      </c>
      <c r="BR11" s="781" t="s">
        <v>292</v>
      </c>
      <c r="BS11" s="521" t="s">
        <v>1823</v>
      </c>
      <c r="BT11" s="521">
        <v>969.86509999999998</v>
      </c>
    </row>
    <row r="12" spans="1:72" s="247" customFormat="1" ht="12.6" customHeight="1">
      <c r="A12" s="729">
        <v>7</v>
      </c>
      <c r="B12" s="729" t="s">
        <v>2631</v>
      </c>
      <c r="C12" s="729">
        <v>2</v>
      </c>
      <c r="D12" s="729" t="s">
        <v>2632</v>
      </c>
      <c r="E12" s="729" t="s">
        <v>2633</v>
      </c>
      <c r="F12" s="732">
        <v>12.12</v>
      </c>
      <c r="G12" s="520" t="s">
        <v>292</v>
      </c>
      <c r="H12" s="732">
        <v>12.12</v>
      </c>
      <c r="I12" s="520">
        <v>4500</v>
      </c>
      <c r="J12" s="740">
        <v>53</v>
      </c>
      <c r="K12" s="740" t="s">
        <v>1773</v>
      </c>
      <c r="L12" s="740">
        <v>10</v>
      </c>
      <c r="M12" s="621" t="s">
        <v>1498</v>
      </c>
      <c r="N12" s="621" t="s">
        <v>1499</v>
      </c>
      <c r="O12" s="621">
        <v>8.44</v>
      </c>
      <c r="P12" s="740" t="s">
        <v>1504</v>
      </c>
      <c r="Q12" s="621">
        <v>8.89</v>
      </c>
      <c r="R12" s="621">
        <v>3000</v>
      </c>
      <c r="S12" s="729">
        <v>100</v>
      </c>
      <c r="T12" s="809" t="s">
        <v>1852</v>
      </c>
      <c r="U12" s="794">
        <v>15</v>
      </c>
      <c r="V12" s="794" t="s">
        <v>1853</v>
      </c>
      <c r="W12" s="732" t="s">
        <v>1854</v>
      </c>
      <c r="X12" s="732">
        <v>12.2</v>
      </c>
      <c r="Y12" s="794" t="s">
        <v>292</v>
      </c>
      <c r="Z12" s="732">
        <v>12.2</v>
      </c>
      <c r="AA12" s="732">
        <v>100</v>
      </c>
      <c r="AB12" s="249">
        <v>146</v>
      </c>
      <c r="AC12" s="809" t="s">
        <v>1706</v>
      </c>
      <c r="AD12" s="794">
        <v>20</v>
      </c>
      <c r="AE12" s="794" t="s">
        <v>35</v>
      </c>
      <c r="AF12" s="732" t="s">
        <v>47</v>
      </c>
      <c r="AG12" s="732">
        <v>13.13</v>
      </c>
      <c r="AH12" s="794" t="s">
        <v>292</v>
      </c>
      <c r="AI12" s="732">
        <v>13.13</v>
      </c>
      <c r="AJ12" s="732">
        <v>50</v>
      </c>
      <c r="AK12" s="729">
        <v>192</v>
      </c>
      <c r="AL12" s="809" t="s">
        <v>1722</v>
      </c>
      <c r="AM12" s="794">
        <v>20</v>
      </c>
      <c r="AN12" s="794" t="s">
        <v>1723</v>
      </c>
      <c r="AO12" s="732" t="s">
        <v>1724</v>
      </c>
      <c r="AP12" s="732">
        <v>12.12</v>
      </c>
      <c r="AQ12" s="794" t="s">
        <v>292</v>
      </c>
      <c r="AR12" s="732">
        <v>12.12</v>
      </c>
      <c r="AS12" s="732">
        <v>341</v>
      </c>
      <c r="AT12" s="729"/>
      <c r="AU12" s="809"/>
      <c r="AV12" s="794"/>
      <c r="AW12" s="794"/>
      <c r="AX12" s="732"/>
      <c r="AY12" s="732"/>
      <c r="AZ12" s="794"/>
      <c r="BA12" s="732"/>
      <c r="BB12" s="732"/>
      <c r="BC12" s="729">
        <v>37</v>
      </c>
      <c r="BD12" s="1466" t="s">
        <v>166</v>
      </c>
      <c r="BE12" s="794">
        <v>10</v>
      </c>
      <c r="BF12" s="794" t="s">
        <v>2376</v>
      </c>
      <c r="BG12" s="732" t="s">
        <v>2379</v>
      </c>
      <c r="BH12" s="732" t="s">
        <v>2334</v>
      </c>
      <c r="BI12" s="794" t="s">
        <v>292</v>
      </c>
      <c r="BJ12" s="732" t="s">
        <v>2334</v>
      </c>
      <c r="BK12" s="732">
        <v>919.83</v>
      </c>
      <c r="BL12" s="729">
        <v>83</v>
      </c>
      <c r="BM12" s="1466" t="s">
        <v>2489</v>
      </c>
      <c r="BN12" s="794">
        <v>10</v>
      </c>
      <c r="BO12" s="794" t="s">
        <v>2532</v>
      </c>
      <c r="BP12" s="732" t="s">
        <v>2533</v>
      </c>
      <c r="BQ12" s="732" t="s">
        <v>1823</v>
      </c>
      <c r="BR12" s="794" t="s">
        <v>292</v>
      </c>
      <c r="BS12" s="732" t="s">
        <v>1823</v>
      </c>
      <c r="BT12" s="732">
        <v>162.9084</v>
      </c>
    </row>
    <row r="13" spans="1:72" s="247" customFormat="1" ht="12.6" customHeight="1">
      <c r="A13" s="781">
        <v>8</v>
      </c>
      <c r="B13" s="781" t="s">
        <v>2658</v>
      </c>
      <c r="C13" s="781">
        <v>2</v>
      </c>
      <c r="D13" s="781" t="s">
        <v>2659</v>
      </c>
      <c r="E13" s="781" t="s">
        <v>2660</v>
      </c>
      <c r="F13" s="681">
        <v>10.98</v>
      </c>
      <c r="G13" s="781" t="s">
        <v>292</v>
      </c>
      <c r="H13" s="681">
        <v>10.98</v>
      </c>
      <c r="I13" s="521">
        <v>4500</v>
      </c>
      <c r="J13" s="763">
        <v>54</v>
      </c>
      <c r="K13" s="763" t="s">
        <v>1779</v>
      </c>
      <c r="L13" s="763">
        <v>10</v>
      </c>
      <c r="M13" s="763" t="s">
        <v>1505</v>
      </c>
      <c r="N13" s="763" t="s">
        <v>1506</v>
      </c>
      <c r="O13" s="795">
        <v>9.27</v>
      </c>
      <c r="P13" s="763" t="s">
        <v>1509</v>
      </c>
      <c r="Q13" s="795">
        <v>9.19</v>
      </c>
      <c r="R13" s="795">
        <v>4000</v>
      </c>
      <c r="S13" s="781">
        <v>101</v>
      </c>
      <c r="T13" s="781" t="s">
        <v>1855</v>
      </c>
      <c r="U13" s="781">
        <v>15</v>
      </c>
      <c r="V13" s="806" t="s">
        <v>1856</v>
      </c>
      <c r="W13" s="781" t="s">
        <v>1857</v>
      </c>
      <c r="X13" s="521">
        <v>12.3</v>
      </c>
      <c r="Y13" s="781" t="s">
        <v>292</v>
      </c>
      <c r="Z13" s="521">
        <v>12.3</v>
      </c>
      <c r="AA13" s="521">
        <v>100</v>
      </c>
      <c r="AB13" s="781">
        <v>147</v>
      </c>
      <c r="AC13" s="781" t="s">
        <v>1858</v>
      </c>
      <c r="AD13" s="781">
        <v>20</v>
      </c>
      <c r="AE13" s="806" t="s">
        <v>1859</v>
      </c>
      <c r="AF13" s="781" t="s">
        <v>1860</v>
      </c>
      <c r="AG13" s="521">
        <v>13.09</v>
      </c>
      <c r="AH13" s="781" t="s">
        <v>292</v>
      </c>
      <c r="AI13" s="521">
        <v>13.09</v>
      </c>
      <c r="AJ13" s="521">
        <v>50</v>
      </c>
      <c r="AK13" s="781">
        <v>193</v>
      </c>
      <c r="AL13" s="781" t="s">
        <v>1727</v>
      </c>
      <c r="AM13" s="781">
        <v>20</v>
      </c>
      <c r="AN13" s="806" t="s">
        <v>1728</v>
      </c>
      <c r="AO13" s="781" t="s">
        <v>1729</v>
      </c>
      <c r="AP13" s="521">
        <v>12.12</v>
      </c>
      <c r="AQ13" s="781" t="s">
        <v>292</v>
      </c>
      <c r="AR13" s="521">
        <v>12.12</v>
      </c>
      <c r="AS13" s="521">
        <v>300</v>
      </c>
      <c r="AT13" s="781"/>
      <c r="AU13" s="781"/>
      <c r="AV13" s="781"/>
      <c r="AW13" s="806"/>
      <c r="AX13" s="781"/>
      <c r="AY13" s="521"/>
      <c r="AZ13" s="781"/>
      <c r="BA13" s="521"/>
      <c r="BB13" s="521"/>
      <c r="BC13" s="781">
        <v>38</v>
      </c>
      <c r="BD13" s="1465" t="s">
        <v>2383</v>
      </c>
      <c r="BE13" s="781">
        <v>10</v>
      </c>
      <c r="BF13" s="806" t="s">
        <v>2296</v>
      </c>
      <c r="BG13" s="781" t="s">
        <v>2384</v>
      </c>
      <c r="BH13" s="521" t="s">
        <v>1823</v>
      </c>
      <c r="BI13" s="781" t="s">
        <v>292</v>
      </c>
      <c r="BJ13" s="521" t="s">
        <v>1823</v>
      </c>
      <c r="BK13" s="521">
        <v>2482.1799999999998</v>
      </c>
      <c r="BL13" s="781">
        <v>84</v>
      </c>
      <c r="BM13" s="1465" t="s">
        <v>2425</v>
      </c>
      <c r="BN13" s="781">
        <v>10</v>
      </c>
      <c r="BO13" s="806" t="s">
        <v>2532</v>
      </c>
      <c r="BP13" s="781" t="s">
        <v>2533</v>
      </c>
      <c r="BQ13" s="521" t="s">
        <v>2334</v>
      </c>
      <c r="BR13" s="781" t="s">
        <v>292</v>
      </c>
      <c r="BS13" s="521" t="s">
        <v>2334</v>
      </c>
      <c r="BT13" s="521">
        <v>2121.2341000000001</v>
      </c>
    </row>
    <row r="14" spans="1:72" s="247" customFormat="1" ht="12.6" customHeight="1">
      <c r="A14" s="729">
        <v>9</v>
      </c>
      <c r="B14" s="729" t="s">
        <v>2674</v>
      </c>
      <c r="C14" s="729">
        <v>2</v>
      </c>
      <c r="D14" s="520" t="s">
        <v>2174</v>
      </c>
      <c r="E14" s="520" t="s">
        <v>2675</v>
      </c>
      <c r="F14" s="732">
        <v>11.2</v>
      </c>
      <c r="G14" s="520" t="s">
        <v>292</v>
      </c>
      <c r="H14" s="732">
        <v>11.2</v>
      </c>
      <c r="I14" s="520">
        <v>4500</v>
      </c>
      <c r="J14" s="740">
        <v>55</v>
      </c>
      <c r="K14" s="740" t="s">
        <v>1575</v>
      </c>
      <c r="L14" s="740">
        <v>10</v>
      </c>
      <c r="M14" s="621" t="s">
        <v>1510</v>
      </c>
      <c r="N14" s="621" t="s">
        <v>1511</v>
      </c>
      <c r="O14" s="621">
        <v>9.23</v>
      </c>
      <c r="P14" s="740" t="s">
        <v>1576</v>
      </c>
      <c r="Q14" s="621">
        <v>8.64</v>
      </c>
      <c r="R14" s="621">
        <v>4000</v>
      </c>
      <c r="S14" s="729">
        <v>102</v>
      </c>
      <c r="T14" s="809" t="s">
        <v>1710</v>
      </c>
      <c r="U14" s="794">
        <v>15</v>
      </c>
      <c r="V14" s="794" t="s">
        <v>980</v>
      </c>
      <c r="W14" s="732" t="s">
        <v>981</v>
      </c>
      <c r="X14" s="732">
        <v>12.379999999999999</v>
      </c>
      <c r="Y14" s="794" t="s">
        <v>292</v>
      </c>
      <c r="Z14" s="732">
        <v>12.379999999999999</v>
      </c>
      <c r="AA14" s="732">
        <v>100</v>
      </c>
      <c r="AB14" s="249">
        <v>148</v>
      </c>
      <c r="AC14" s="809" t="s">
        <v>1861</v>
      </c>
      <c r="AD14" s="794">
        <v>20</v>
      </c>
      <c r="AE14" s="794" t="s">
        <v>1862</v>
      </c>
      <c r="AF14" s="732" t="s">
        <v>1863</v>
      </c>
      <c r="AG14" s="732">
        <v>13.07</v>
      </c>
      <c r="AH14" s="794" t="s">
        <v>292</v>
      </c>
      <c r="AI14" s="732">
        <v>13.07</v>
      </c>
      <c r="AJ14" s="732">
        <v>125</v>
      </c>
      <c r="AK14" s="729">
        <v>194</v>
      </c>
      <c r="AL14" s="809" t="s">
        <v>1733</v>
      </c>
      <c r="AM14" s="794">
        <v>20</v>
      </c>
      <c r="AN14" s="794" t="s">
        <v>1734</v>
      </c>
      <c r="AO14" s="732" t="s">
        <v>1735</v>
      </c>
      <c r="AP14" s="732">
        <v>12.16</v>
      </c>
      <c r="AQ14" s="794" t="s">
        <v>292</v>
      </c>
      <c r="AR14" s="732">
        <v>12.16</v>
      </c>
      <c r="AS14" s="732">
        <v>300</v>
      </c>
      <c r="AT14" s="1730" t="s">
        <v>1908</v>
      </c>
      <c r="AU14" s="1730"/>
      <c r="AV14" s="1730"/>
      <c r="AW14" s="1730"/>
      <c r="AX14" s="1730"/>
      <c r="AY14" s="1730"/>
      <c r="AZ14" s="1730"/>
      <c r="BA14" s="732"/>
      <c r="BB14" s="732"/>
      <c r="BC14" s="729">
        <v>39</v>
      </c>
      <c r="BD14" s="1466" t="s">
        <v>2385</v>
      </c>
      <c r="BE14" s="794">
        <v>10</v>
      </c>
      <c r="BF14" s="794" t="s">
        <v>2341</v>
      </c>
      <c r="BG14" s="732" t="s">
        <v>2359</v>
      </c>
      <c r="BH14" s="732" t="s">
        <v>1823</v>
      </c>
      <c r="BI14" s="794" t="s">
        <v>292</v>
      </c>
      <c r="BJ14" s="732" t="s">
        <v>1823</v>
      </c>
      <c r="BK14" s="732">
        <v>23.04</v>
      </c>
      <c r="BL14" s="729">
        <v>85</v>
      </c>
      <c r="BM14" s="1466" t="s">
        <v>2427</v>
      </c>
      <c r="BN14" s="794">
        <v>10</v>
      </c>
      <c r="BO14" s="794" t="s">
        <v>2532</v>
      </c>
      <c r="BP14" s="732" t="s">
        <v>2533</v>
      </c>
      <c r="BQ14" s="732" t="s">
        <v>2334</v>
      </c>
      <c r="BR14" s="794" t="s">
        <v>292</v>
      </c>
      <c r="BS14" s="732" t="s">
        <v>2334</v>
      </c>
      <c r="BT14" s="732">
        <v>327.95440000000002</v>
      </c>
    </row>
    <row r="15" spans="1:72" s="247" customFormat="1" ht="12.6" customHeight="1">
      <c r="A15" s="781">
        <v>10</v>
      </c>
      <c r="B15" s="781" t="s">
        <v>2691</v>
      </c>
      <c r="C15" s="781">
        <v>2</v>
      </c>
      <c r="D15" s="781" t="s">
        <v>2692</v>
      </c>
      <c r="E15" s="781" t="s">
        <v>2693</v>
      </c>
      <c r="F15" s="681">
        <v>12.18</v>
      </c>
      <c r="G15" s="781" t="s">
        <v>292</v>
      </c>
      <c r="H15" s="681">
        <v>12.18</v>
      </c>
      <c r="I15" s="521">
        <v>4500</v>
      </c>
      <c r="J15" s="763">
        <v>56</v>
      </c>
      <c r="K15" s="763" t="s">
        <v>1582</v>
      </c>
      <c r="L15" s="763">
        <v>10</v>
      </c>
      <c r="M15" s="795" t="s">
        <v>1518</v>
      </c>
      <c r="N15" s="795" t="s">
        <v>1519</v>
      </c>
      <c r="O15" s="795">
        <v>9.15</v>
      </c>
      <c r="P15" s="763" t="s">
        <v>1789</v>
      </c>
      <c r="Q15" s="795">
        <v>6.64</v>
      </c>
      <c r="R15" s="795">
        <v>4000</v>
      </c>
      <c r="S15" s="781">
        <v>103</v>
      </c>
      <c r="T15" s="781" t="s">
        <v>1715</v>
      </c>
      <c r="U15" s="781">
        <v>15</v>
      </c>
      <c r="V15" s="806" t="s">
        <v>982</v>
      </c>
      <c r="W15" s="781" t="s">
        <v>983</v>
      </c>
      <c r="X15" s="521">
        <v>12.379999999999999</v>
      </c>
      <c r="Y15" s="781" t="s">
        <v>292</v>
      </c>
      <c r="Z15" s="521">
        <v>12.379999999999999</v>
      </c>
      <c r="AA15" s="521">
        <v>200</v>
      </c>
      <c r="AB15" s="781">
        <v>149</v>
      </c>
      <c r="AC15" s="781" t="s">
        <v>1711</v>
      </c>
      <c r="AD15" s="781">
        <v>20</v>
      </c>
      <c r="AE15" s="806" t="s">
        <v>36</v>
      </c>
      <c r="AF15" s="781" t="s">
        <v>1234</v>
      </c>
      <c r="AG15" s="521">
        <v>13.07</v>
      </c>
      <c r="AH15" s="781" t="s">
        <v>292</v>
      </c>
      <c r="AI15" s="521">
        <v>13.07</v>
      </c>
      <c r="AJ15" s="521">
        <v>125</v>
      </c>
      <c r="AK15" s="781">
        <v>195</v>
      </c>
      <c r="AL15" s="781" t="s">
        <v>1740</v>
      </c>
      <c r="AM15" s="781">
        <v>20</v>
      </c>
      <c r="AN15" s="806" t="s">
        <v>1741</v>
      </c>
      <c r="AO15" s="781" t="s">
        <v>1344</v>
      </c>
      <c r="AP15" s="521">
        <v>12.16</v>
      </c>
      <c r="AQ15" s="781" t="s">
        <v>292</v>
      </c>
      <c r="AR15" s="521">
        <v>12.16</v>
      </c>
      <c r="AS15" s="521">
        <v>300</v>
      </c>
      <c r="AT15" s="781">
        <v>1</v>
      </c>
      <c r="AU15" s="781" t="s">
        <v>1909</v>
      </c>
      <c r="AV15" s="781">
        <v>5</v>
      </c>
      <c r="AW15" s="806" t="s">
        <v>1926</v>
      </c>
      <c r="AX15" s="781" t="s">
        <v>1927</v>
      </c>
      <c r="AY15" s="521">
        <v>4.6900000000000004</v>
      </c>
      <c r="AZ15" s="781" t="s">
        <v>1928</v>
      </c>
      <c r="BA15" s="521">
        <v>4.6900000000000004</v>
      </c>
      <c r="BB15" s="521">
        <v>8000</v>
      </c>
      <c r="BC15" s="781">
        <v>40</v>
      </c>
      <c r="BD15" s="1465" t="s">
        <v>2386</v>
      </c>
      <c r="BE15" s="781">
        <v>10</v>
      </c>
      <c r="BF15" s="806" t="s">
        <v>2341</v>
      </c>
      <c r="BG15" s="781" t="s">
        <v>2359</v>
      </c>
      <c r="BH15" s="521" t="s">
        <v>1823</v>
      </c>
      <c r="BI15" s="781" t="s">
        <v>292</v>
      </c>
      <c r="BJ15" s="521" t="s">
        <v>1823</v>
      </c>
      <c r="BK15" s="521">
        <v>56.47</v>
      </c>
      <c r="BL15" s="781">
        <v>86</v>
      </c>
      <c r="BM15" s="1465" t="s">
        <v>2426</v>
      </c>
      <c r="BN15" s="781">
        <v>10</v>
      </c>
      <c r="BO15" s="806" t="s">
        <v>2532</v>
      </c>
      <c r="BP15" s="781" t="s">
        <v>2533</v>
      </c>
      <c r="BQ15" s="521" t="s">
        <v>2334</v>
      </c>
      <c r="BR15" s="781" t="s">
        <v>292</v>
      </c>
      <c r="BS15" s="521" t="s">
        <v>2334</v>
      </c>
      <c r="BT15" s="521">
        <v>1976.9058</v>
      </c>
    </row>
    <row r="16" spans="1:72" s="247" customFormat="1" ht="12.6" customHeight="1">
      <c r="A16" s="729">
        <v>11</v>
      </c>
      <c r="B16" s="809" t="s">
        <v>2710</v>
      </c>
      <c r="C16" s="729">
        <v>2</v>
      </c>
      <c r="D16" s="729" t="s">
        <v>2711</v>
      </c>
      <c r="E16" s="729" t="s">
        <v>2712</v>
      </c>
      <c r="F16" s="732">
        <v>11.97</v>
      </c>
      <c r="G16" s="794" t="s">
        <v>292</v>
      </c>
      <c r="H16" s="732">
        <v>11.97</v>
      </c>
      <c r="I16" s="732">
        <v>4500</v>
      </c>
      <c r="J16" s="740">
        <v>57</v>
      </c>
      <c r="K16" s="740" t="s">
        <v>1588</v>
      </c>
      <c r="L16" s="740">
        <v>10</v>
      </c>
      <c r="M16" s="621" t="s">
        <v>1589</v>
      </c>
      <c r="N16" s="621" t="s">
        <v>1590</v>
      </c>
      <c r="O16" s="621">
        <v>8.74</v>
      </c>
      <c r="P16" s="740" t="s">
        <v>292</v>
      </c>
      <c r="Q16" s="621">
        <v>8.74</v>
      </c>
      <c r="R16" s="621">
        <v>4500</v>
      </c>
      <c r="S16" s="729">
        <v>104</v>
      </c>
      <c r="T16" s="809" t="s">
        <v>1720</v>
      </c>
      <c r="U16" s="794">
        <v>15</v>
      </c>
      <c r="V16" s="794" t="s">
        <v>984</v>
      </c>
      <c r="W16" s="732" t="s">
        <v>985</v>
      </c>
      <c r="X16" s="732">
        <v>12.379999999999999</v>
      </c>
      <c r="Y16" s="794" t="s">
        <v>292</v>
      </c>
      <c r="Z16" s="732">
        <v>12.379999999999999</v>
      </c>
      <c r="AA16" s="732">
        <v>200</v>
      </c>
      <c r="AB16" s="249">
        <v>150</v>
      </c>
      <c r="AC16" s="809" t="s">
        <v>1716</v>
      </c>
      <c r="AD16" s="794">
        <v>20</v>
      </c>
      <c r="AE16" s="794" t="s">
        <v>37</v>
      </c>
      <c r="AF16" s="732" t="s">
        <v>48</v>
      </c>
      <c r="AG16" s="732">
        <v>13.07</v>
      </c>
      <c r="AH16" s="794" t="s">
        <v>292</v>
      </c>
      <c r="AI16" s="732">
        <v>13.07</v>
      </c>
      <c r="AJ16" s="732">
        <v>125</v>
      </c>
      <c r="AK16" s="729">
        <v>196</v>
      </c>
      <c r="AL16" s="809" t="s">
        <v>1746</v>
      </c>
      <c r="AM16" s="794">
        <v>20</v>
      </c>
      <c r="AN16" s="794" t="s">
        <v>1747</v>
      </c>
      <c r="AO16" s="732" t="s">
        <v>1748</v>
      </c>
      <c r="AP16" s="732">
        <v>12.16</v>
      </c>
      <c r="AQ16" s="794" t="s">
        <v>292</v>
      </c>
      <c r="AR16" s="732">
        <v>12.16</v>
      </c>
      <c r="AS16" s="732">
        <v>100</v>
      </c>
      <c r="AT16" s="729">
        <v>2</v>
      </c>
      <c r="AU16" s="809" t="s">
        <v>2012</v>
      </c>
      <c r="AV16" s="794">
        <v>5</v>
      </c>
      <c r="AW16" s="794" t="s">
        <v>2013</v>
      </c>
      <c r="AX16" s="732" t="s">
        <v>2014</v>
      </c>
      <c r="AY16" s="732">
        <v>4.6500000000000004</v>
      </c>
      <c r="AZ16" s="794" t="s">
        <v>292</v>
      </c>
      <c r="BA16" s="732" t="s">
        <v>292</v>
      </c>
      <c r="BB16" s="732">
        <v>5000</v>
      </c>
      <c r="BC16" s="729">
        <v>41</v>
      </c>
      <c r="BD16" s="1466" t="s">
        <v>2383</v>
      </c>
      <c r="BE16" s="794">
        <v>9</v>
      </c>
      <c r="BF16" s="794" t="s">
        <v>2341</v>
      </c>
      <c r="BG16" s="732" t="s">
        <v>2342</v>
      </c>
      <c r="BH16" s="732" t="s">
        <v>1823</v>
      </c>
      <c r="BI16" s="794" t="s">
        <v>292</v>
      </c>
      <c r="BJ16" s="732" t="s">
        <v>1823</v>
      </c>
      <c r="BK16" s="732">
        <v>486.87</v>
      </c>
      <c r="BL16" s="729">
        <v>87</v>
      </c>
      <c r="BM16" s="1466" t="s">
        <v>2534</v>
      </c>
      <c r="BN16" s="794">
        <v>10</v>
      </c>
      <c r="BO16" s="794" t="s">
        <v>2532</v>
      </c>
      <c r="BP16" s="732" t="s">
        <v>2533</v>
      </c>
      <c r="BQ16" s="732" t="s">
        <v>2334</v>
      </c>
      <c r="BR16" s="794" t="s">
        <v>292</v>
      </c>
      <c r="BS16" s="732" t="s">
        <v>2334</v>
      </c>
      <c r="BT16" s="732">
        <v>746.72860000000003</v>
      </c>
    </row>
    <row r="17" spans="1:72" s="247" customFormat="1" ht="12.6" customHeight="1">
      <c r="A17" s="781">
        <v>12</v>
      </c>
      <c r="B17" s="781" t="s">
        <v>2726</v>
      </c>
      <c r="C17" s="781">
        <v>2</v>
      </c>
      <c r="D17" s="781" t="s">
        <v>2727</v>
      </c>
      <c r="E17" s="781" t="s">
        <v>2728</v>
      </c>
      <c r="F17" s="681">
        <v>12.29</v>
      </c>
      <c r="G17" s="781" t="s">
        <v>292</v>
      </c>
      <c r="H17" s="681">
        <v>12.29</v>
      </c>
      <c r="I17" s="521">
        <v>3500</v>
      </c>
      <c r="J17" s="763">
        <v>58</v>
      </c>
      <c r="K17" s="763" t="s">
        <v>1596</v>
      </c>
      <c r="L17" s="763">
        <v>10</v>
      </c>
      <c r="M17" s="795" t="s">
        <v>1547</v>
      </c>
      <c r="N17" s="795" t="s">
        <v>1548</v>
      </c>
      <c r="O17" s="795">
        <v>8.66</v>
      </c>
      <c r="P17" s="763" t="s">
        <v>1805</v>
      </c>
      <c r="Q17" s="795">
        <v>5.75</v>
      </c>
      <c r="R17" s="795">
        <v>4500</v>
      </c>
      <c r="S17" s="781">
        <v>105</v>
      </c>
      <c r="T17" s="781" t="s">
        <v>1725</v>
      </c>
      <c r="U17" s="781">
        <v>15</v>
      </c>
      <c r="V17" s="806" t="s">
        <v>986</v>
      </c>
      <c r="W17" s="781" t="s">
        <v>987</v>
      </c>
      <c r="X17" s="521">
        <v>12.4</v>
      </c>
      <c r="Y17" s="781" t="s">
        <v>292</v>
      </c>
      <c r="Z17" s="521">
        <v>12.4</v>
      </c>
      <c r="AA17" s="521">
        <v>200</v>
      </c>
      <c r="AB17" s="781">
        <v>151</v>
      </c>
      <c r="AC17" s="781" t="s">
        <v>1721</v>
      </c>
      <c r="AD17" s="781">
        <v>20</v>
      </c>
      <c r="AE17" s="806" t="s">
        <v>38</v>
      </c>
      <c r="AF17" s="781" t="s">
        <v>49</v>
      </c>
      <c r="AG17" s="521">
        <v>13.04</v>
      </c>
      <c r="AH17" s="781" t="s">
        <v>292</v>
      </c>
      <c r="AI17" s="521">
        <v>13.04</v>
      </c>
      <c r="AJ17" s="521">
        <v>125</v>
      </c>
      <c r="AK17" s="781">
        <v>197</v>
      </c>
      <c r="AL17" s="781" t="s">
        <v>1753</v>
      </c>
      <c r="AM17" s="781">
        <v>20</v>
      </c>
      <c r="AN17" s="806" t="s">
        <v>1754</v>
      </c>
      <c r="AO17" s="781" t="s">
        <v>1755</v>
      </c>
      <c r="AP17" s="521">
        <v>12.18</v>
      </c>
      <c r="AQ17" s="781" t="s">
        <v>292</v>
      </c>
      <c r="AR17" s="521">
        <v>12.18</v>
      </c>
      <c r="AS17" s="521">
        <v>100</v>
      </c>
      <c r="AT17" s="781">
        <v>3</v>
      </c>
      <c r="AU17" s="781" t="s">
        <v>2070</v>
      </c>
      <c r="AV17" s="781">
        <v>5</v>
      </c>
      <c r="AW17" s="806" t="s">
        <v>2052</v>
      </c>
      <c r="AX17" s="781" t="s">
        <v>2056</v>
      </c>
      <c r="AY17" s="521">
        <v>4.75</v>
      </c>
      <c r="AZ17" s="781" t="s">
        <v>292</v>
      </c>
      <c r="BA17" s="521" t="s">
        <v>292</v>
      </c>
      <c r="BB17" s="521">
        <v>5000</v>
      </c>
      <c r="BC17" s="781">
        <v>42</v>
      </c>
      <c r="BD17" s="1465" t="s">
        <v>2387</v>
      </c>
      <c r="BE17" s="781">
        <v>10</v>
      </c>
      <c r="BF17" s="806" t="s">
        <v>2376</v>
      </c>
      <c r="BG17" s="781" t="s">
        <v>2379</v>
      </c>
      <c r="BH17" s="521" t="s">
        <v>1823</v>
      </c>
      <c r="BI17" s="781" t="s">
        <v>292</v>
      </c>
      <c r="BJ17" s="521" t="s">
        <v>1823</v>
      </c>
      <c r="BK17" s="521">
        <v>47.85</v>
      </c>
      <c r="BL17" s="781">
        <v>88</v>
      </c>
      <c r="BM17" s="1465" t="s">
        <v>2430</v>
      </c>
      <c r="BN17" s="781">
        <v>10</v>
      </c>
      <c r="BO17" s="806" t="s">
        <v>2532</v>
      </c>
      <c r="BP17" s="781" t="s">
        <v>2533</v>
      </c>
      <c r="BQ17" s="521" t="s">
        <v>2334</v>
      </c>
      <c r="BR17" s="781" t="s">
        <v>292</v>
      </c>
      <c r="BS17" s="521" t="s">
        <v>2334</v>
      </c>
      <c r="BT17" s="521">
        <v>251.9743</v>
      </c>
    </row>
    <row r="18" spans="1:72" s="247" customFormat="1" ht="12.6" customHeight="1">
      <c r="A18" s="729">
        <v>13</v>
      </c>
      <c r="B18" s="809" t="s">
        <v>2742</v>
      </c>
      <c r="C18" s="729">
        <v>2</v>
      </c>
      <c r="D18" s="729" t="s">
        <v>2743</v>
      </c>
      <c r="E18" s="729" t="s">
        <v>2744</v>
      </c>
      <c r="F18" s="732">
        <v>11.6</v>
      </c>
      <c r="G18" s="794" t="s">
        <v>2777</v>
      </c>
      <c r="H18" s="732">
        <v>10.2399</v>
      </c>
      <c r="I18" s="732">
        <v>6640.5</v>
      </c>
      <c r="J18" s="740">
        <v>59</v>
      </c>
      <c r="K18" s="809" t="s">
        <v>1602</v>
      </c>
      <c r="L18" s="809">
        <v>10</v>
      </c>
      <c r="M18" s="732" t="s">
        <v>1557</v>
      </c>
      <c r="N18" s="732" t="s">
        <v>1603</v>
      </c>
      <c r="O18" s="732">
        <v>7.89</v>
      </c>
      <c r="P18" s="809" t="s">
        <v>2226</v>
      </c>
      <c r="Q18" s="732">
        <v>8.91</v>
      </c>
      <c r="R18" s="732">
        <v>6000</v>
      </c>
      <c r="S18" s="729">
        <v>106</v>
      </c>
      <c r="T18" s="809" t="s">
        <v>1730</v>
      </c>
      <c r="U18" s="794">
        <v>15</v>
      </c>
      <c r="V18" s="794" t="s">
        <v>1594</v>
      </c>
      <c r="W18" s="732" t="s">
        <v>1731</v>
      </c>
      <c r="X18" s="732">
        <v>12.4</v>
      </c>
      <c r="Y18" s="794" t="s">
        <v>292</v>
      </c>
      <c r="Z18" s="732">
        <v>12.4</v>
      </c>
      <c r="AA18" s="732">
        <v>150</v>
      </c>
      <c r="AB18" s="249">
        <v>152</v>
      </c>
      <c r="AC18" s="809" t="s">
        <v>1726</v>
      </c>
      <c r="AD18" s="794">
        <v>20</v>
      </c>
      <c r="AE18" s="794" t="s">
        <v>39</v>
      </c>
      <c r="AF18" s="732" t="s">
        <v>50</v>
      </c>
      <c r="AG18" s="732">
        <v>13.04</v>
      </c>
      <c r="AH18" s="794" t="s">
        <v>292</v>
      </c>
      <c r="AI18" s="732">
        <v>13.04</v>
      </c>
      <c r="AJ18" s="732">
        <v>125</v>
      </c>
      <c r="AK18" s="729">
        <v>198</v>
      </c>
      <c r="AL18" s="809" t="s">
        <v>1759</v>
      </c>
      <c r="AM18" s="794">
        <v>20</v>
      </c>
      <c r="AN18" s="794" t="s">
        <v>1760</v>
      </c>
      <c r="AO18" s="732" t="s">
        <v>1761</v>
      </c>
      <c r="AP18" s="732">
        <v>12.28</v>
      </c>
      <c r="AQ18" s="794" t="s">
        <v>292</v>
      </c>
      <c r="AR18" s="732">
        <v>12.28</v>
      </c>
      <c r="AS18" s="732">
        <v>100</v>
      </c>
      <c r="AT18" s="729">
        <v>4</v>
      </c>
      <c r="AU18" s="809" t="s">
        <v>2494</v>
      </c>
      <c r="AV18" s="794">
        <v>5</v>
      </c>
      <c r="AW18" s="794" t="s">
        <v>2492</v>
      </c>
      <c r="AX18" s="732" t="s">
        <v>2495</v>
      </c>
      <c r="AY18" s="732">
        <v>10.4</v>
      </c>
      <c r="AZ18" s="794" t="s">
        <v>292</v>
      </c>
      <c r="BA18" s="732" t="s">
        <v>292</v>
      </c>
      <c r="BB18" s="732">
        <v>1000</v>
      </c>
      <c r="BC18" s="729">
        <v>43</v>
      </c>
      <c r="BD18" s="1466" t="s">
        <v>2388</v>
      </c>
      <c r="BE18" s="794">
        <v>10</v>
      </c>
      <c r="BF18" s="794" t="s">
        <v>2376</v>
      </c>
      <c r="BG18" s="732" t="s">
        <v>2379</v>
      </c>
      <c r="BH18" s="732" t="s">
        <v>1823</v>
      </c>
      <c r="BI18" s="794" t="s">
        <v>292</v>
      </c>
      <c r="BJ18" s="732" t="s">
        <v>1823</v>
      </c>
      <c r="BK18" s="732">
        <v>69.86</v>
      </c>
      <c r="BL18" s="729">
        <v>89</v>
      </c>
      <c r="BM18" s="1466" t="s">
        <v>2382</v>
      </c>
      <c r="BN18" s="794">
        <v>10</v>
      </c>
      <c r="BO18" s="794" t="s">
        <v>2532</v>
      </c>
      <c r="BP18" s="732" t="s">
        <v>2533</v>
      </c>
      <c r="BQ18" s="732" t="s">
        <v>2334</v>
      </c>
      <c r="BR18" s="794" t="s">
        <v>292</v>
      </c>
      <c r="BS18" s="732" t="s">
        <v>2334</v>
      </c>
      <c r="BT18" s="732">
        <v>333.45920000000001</v>
      </c>
    </row>
    <row r="19" spans="1:72" s="247" customFormat="1" ht="12.6" customHeight="1">
      <c r="A19" s="781">
        <v>14</v>
      </c>
      <c r="B19" s="781" t="s">
        <v>2804</v>
      </c>
      <c r="C19" s="781">
        <v>2</v>
      </c>
      <c r="D19" s="781" t="s">
        <v>2805</v>
      </c>
      <c r="E19" s="781" t="s">
        <v>2806</v>
      </c>
      <c r="F19" s="681">
        <v>10.17</v>
      </c>
      <c r="G19" s="781">
        <v>8.1024999999999991</v>
      </c>
      <c r="H19" s="681">
        <v>9.44</v>
      </c>
      <c r="I19" s="521">
        <v>6000</v>
      </c>
      <c r="J19" s="763">
        <v>60</v>
      </c>
      <c r="K19" s="763" t="s">
        <v>1790</v>
      </c>
      <c r="L19" s="763">
        <v>10</v>
      </c>
      <c r="M19" s="763" t="s">
        <v>1791</v>
      </c>
      <c r="N19" s="763" t="s">
        <v>1806</v>
      </c>
      <c r="O19" s="795">
        <v>5.63</v>
      </c>
      <c r="P19" s="763" t="s">
        <v>1798</v>
      </c>
      <c r="Q19" s="795">
        <v>5.77</v>
      </c>
      <c r="R19" s="795">
        <v>4500</v>
      </c>
      <c r="S19" s="781">
        <v>107</v>
      </c>
      <c r="T19" s="781" t="s">
        <v>1737</v>
      </c>
      <c r="U19" s="781">
        <v>15</v>
      </c>
      <c r="V19" s="806" t="s">
        <v>1600</v>
      </c>
      <c r="W19" s="781" t="s">
        <v>1738</v>
      </c>
      <c r="X19" s="521">
        <v>12.4</v>
      </c>
      <c r="Y19" s="781" t="s">
        <v>292</v>
      </c>
      <c r="Z19" s="521">
        <v>12.4</v>
      </c>
      <c r="AA19" s="521">
        <v>150</v>
      </c>
      <c r="AB19" s="781">
        <v>153</v>
      </c>
      <c r="AC19" s="781" t="s">
        <v>1732</v>
      </c>
      <c r="AD19" s="781">
        <v>20</v>
      </c>
      <c r="AE19" s="806" t="s">
        <v>40</v>
      </c>
      <c r="AF19" s="781" t="s">
        <v>51</v>
      </c>
      <c r="AG19" s="521">
        <v>13.019999999999998</v>
      </c>
      <c r="AH19" s="781" t="s">
        <v>292</v>
      </c>
      <c r="AI19" s="521">
        <v>13.019999999999998</v>
      </c>
      <c r="AJ19" s="521">
        <v>125</v>
      </c>
      <c r="AK19" s="781">
        <v>199</v>
      </c>
      <c r="AL19" s="781" t="s">
        <v>1764</v>
      </c>
      <c r="AM19" s="781">
        <v>20</v>
      </c>
      <c r="AN19" s="806" t="s">
        <v>1765</v>
      </c>
      <c r="AO19" s="781" t="s">
        <v>1766</v>
      </c>
      <c r="AP19" s="521">
        <v>12.38</v>
      </c>
      <c r="AQ19" s="781" t="s">
        <v>292</v>
      </c>
      <c r="AR19" s="521">
        <v>12.38</v>
      </c>
      <c r="AS19" s="521">
        <v>100</v>
      </c>
      <c r="AT19" s="781">
        <v>5</v>
      </c>
      <c r="AU19" s="781" t="s">
        <v>2683</v>
      </c>
      <c r="AV19" s="781">
        <v>7</v>
      </c>
      <c r="AW19" s="806" t="s">
        <v>2684</v>
      </c>
      <c r="AX19" s="781" t="s">
        <v>2685</v>
      </c>
      <c r="AY19" s="521">
        <v>9.25</v>
      </c>
      <c r="AZ19" s="781" t="s">
        <v>292</v>
      </c>
      <c r="BA19" s="521">
        <v>9.25</v>
      </c>
      <c r="BB19" s="521">
        <v>3000</v>
      </c>
      <c r="BC19" s="781">
        <v>44</v>
      </c>
      <c r="BD19" s="1465" t="s">
        <v>2385</v>
      </c>
      <c r="BE19" s="781">
        <v>10</v>
      </c>
      <c r="BF19" s="806" t="s">
        <v>2376</v>
      </c>
      <c r="BG19" s="781" t="s">
        <v>2379</v>
      </c>
      <c r="BH19" s="521" t="s">
        <v>1823</v>
      </c>
      <c r="BI19" s="781" t="s">
        <v>292</v>
      </c>
      <c r="BJ19" s="521" t="s">
        <v>1823</v>
      </c>
      <c r="BK19" s="521">
        <v>473.56</v>
      </c>
      <c r="BL19" s="781">
        <v>90</v>
      </c>
      <c r="BM19" s="1465" t="s">
        <v>2439</v>
      </c>
      <c r="BN19" s="781">
        <v>10</v>
      </c>
      <c r="BO19" s="806" t="s">
        <v>2532</v>
      </c>
      <c r="BP19" s="781" t="s">
        <v>2533</v>
      </c>
      <c r="BQ19" s="521" t="s">
        <v>2334</v>
      </c>
      <c r="BR19" s="781" t="s">
        <v>292</v>
      </c>
      <c r="BS19" s="521" t="s">
        <v>2334</v>
      </c>
      <c r="BT19" s="521">
        <v>88.062200000000004</v>
      </c>
    </row>
    <row r="20" spans="1:72" s="247" customFormat="1" ht="12.6" customHeight="1">
      <c r="A20" s="729">
        <v>15</v>
      </c>
      <c r="B20" s="809" t="s">
        <v>2840</v>
      </c>
      <c r="C20" s="729">
        <v>2</v>
      </c>
      <c r="D20" s="729" t="s">
        <v>2841</v>
      </c>
      <c r="E20" s="729" t="s">
        <v>2842</v>
      </c>
      <c r="F20" s="732">
        <v>10.1</v>
      </c>
      <c r="G20" s="794" t="s">
        <v>2879</v>
      </c>
      <c r="H20" s="732">
        <v>10.719900000000001</v>
      </c>
      <c r="I20" s="732">
        <v>7500</v>
      </c>
      <c r="J20" s="740">
        <v>61</v>
      </c>
      <c r="K20" s="740" t="s">
        <v>1810</v>
      </c>
      <c r="L20" s="740">
        <v>10</v>
      </c>
      <c r="M20" s="740" t="s">
        <v>1811</v>
      </c>
      <c r="N20" s="740" t="s">
        <v>1812</v>
      </c>
      <c r="O20" s="621">
        <v>6.01</v>
      </c>
      <c r="P20" s="740" t="s">
        <v>1873</v>
      </c>
      <c r="Q20" s="621">
        <v>5.99</v>
      </c>
      <c r="R20" s="621">
        <v>4500</v>
      </c>
      <c r="S20" s="729">
        <v>108</v>
      </c>
      <c r="T20" s="809" t="s">
        <v>1743</v>
      </c>
      <c r="U20" s="794">
        <v>15</v>
      </c>
      <c r="V20" s="794" t="s">
        <v>1609</v>
      </c>
      <c r="W20" s="732" t="s">
        <v>1744</v>
      </c>
      <c r="X20" s="732">
        <v>12.42</v>
      </c>
      <c r="Y20" s="794" t="s">
        <v>292</v>
      </c>
      <c r="Z20" s="732">
        <v>12.42</v>
      </c>
      <c r="AA20" s="732">
        <v>150</v>
      </c>
      <c r="AB20" s="249">
        <v>154</v>
      </c>
      <c r="AC20" s="809" t="s">
        <v>1739</v>
      </c>
      <c r="AD20" s="794">
        <v>20</v>
      </c>
      <c r="AE20" s="794" t="s">
        <v>1</v>
      </c>
      <c r="AF20" s="732" t="s">
        <v>42</v>
      </c>
      <c r="AG20" s="732">
        <v>13</v>
      </c>
      <c r="AH20" s="794" t="s">
        <v>292</v>
      </c>
      <c r="AI20" s="732">
        <v>13</v>
      </c>
      <c r="AJ20" s="732">
        <v>125</v>
      </c>
      <c r="AK20" s="729">
        <v>200</v>
      </c>
      <c r="AL20" s="809" t="s">
        <v>1770</v>
      </c>
      <c r="AM20" s="794">
        <v>20</v>
      </c>
      <c r="AN20" s="794" t="s">
        <v>1771</v>
      </c>
      <c r="AO20" s="732" t="s">
        <v>1772</v>
      </c>
      <c r="AP20" s="732">
        <v>12.48</v>
      </c>
      <c r="AQ20" s="794" t="s">
        <v>292</v>
      </c>
      <c r="AR20" s="732">
        <v>12.48</v>
      </c>
      <c r="AS20" s="732">
        <v>100</v>
      </c>
      <c r="AT20" s="729">
        <v>6</v>
      </c>
      <c r="AU20" s="809" t="s">
        <v>2734</v>
      </c>
      <c r="AV20" s="794">
        <v>7</v>
      </c>
      <c r="AW20" s="794" t="s">
        <v>2735</v>
      </c>
      <c r="AX20" s="732" t="s">
        <v>2736</v>
      </c>
      <c r="AY20" s="732">
        <v>10.050000000000001</v>
      </c>
      <c r="AZ20" s="794" t="s">
        <v>292</v>
      </c>
      <c r="BA20" s="732">
        <v>10.050000000000001</v>
      </c>
      <c r="BB20" s="732">
        <v>2000</v>
      </c>
      <c r="BC20" s="740">
        <v>45</v>
      </c>
      <c r="BD20" s="1466" t="s">
        <v>2425</v>
      </c>
      <c r="BE20" s="740">
        <v>8</v>
      </c>
      <c r="BF20" s="740" t="s">
        <v>1851</v>
      </c>
      <c r="BG20" s="740" t="s">
        <v>2422</v>
      </c>
      <c r="BH20" s="1130" t="s">
        <v>2334</v>
      </c>
      <c r="BI20" s="740" t="s">
        <v>292</v>
      </c>
      <c r="BJ20" s="1503" t="s">
        <v>2334</v>
      </c>
      <c r="BK20" s="621">
        <v>511.65</v>
      </c>
      <c r="BL20" s="740">
        <v>91</v>
      </c>
      <c r="BM20" s="1466" t="s">
        <v>2450</v>
      </c>
      <c r="BN20" s="740">
        <v>9</v>
      </c>
      <c r="BO20" s="740" t="s">
        <v>2572</v>
      </c>
      <c r="BP20" s="740" t="s">
        <v>2573</v>
      </c>
      <c r="BQ20" s="1130" t="s">
        <v>2334</v>
      </c>
      <c r="BR20" s="740" t="s">
        <v>292</v>
      </c>
      <c r="BS20" s="1503" t="s">
        <v>2334</v>
      </c>
      <c r="BT20" s="621">
        <v>92.1</v>
      </c>
    </row>
    <row r="21" spans="1:72" s="247" customFormat="1" ht="12.6" customHeight="1">
      <c r="A21" s="781">
        <v>16</v>
      </c>
      <c r="B21" s="781" t="s">
        <v>2562</v>
      </c>
      <c r="C21" s="781">
        <v>3</v>
      </c>
      <c r="D21" s="781" t="s">
        <v>2560</v>
      </c>
      <c r="E21" s="781" t="s">
        <v>2563</v>
      </c>
      <c r="F21" s="681">
        <v>13.26</v>
      </c>
      <c r="G21" s="781" t="s">
        <v>2603</v>
      </c>
      <c r="H21" s="681">
        <v>13.18</v>
      </c>
      <c r="I21" s="521">
        <v>929.76</v>
      </c>
      <c r="J21" s="763">
        <v>62</v>
      </c>
      <c r="K21" s="763" t="s">
        <v>1820</v>
      </c>
      <c r="L21" s="763">
        <v>10</v>
      </c>
      <c r="M21" s="763" t="s">
        <v>1821</v>
      </c>
      <c r="N21" s="763" t="s">
        <v>1822</v>
      </c>
      <c r="O21" s="795">
        <v>5.8</v>
      </c>
      <c r="P21" s="763" t="s">
        <v>1835</v>
      </c>
      <c r="Q21" s="795">
        <v>5.38</v>
      </c>
      <c r="R21" s="795">
        <v>4500</v>
      </c>
      <c r="S21" s="781">
        <v>109</v>
      </c>
      <c r="T21" s="781" t="s">
        <v>1750</v>
      </c>
      <c r="U21" s="781">
        <v>15</v>
      </c>
      <c r="V21" s="806" t="s">
        <v>1614</v>
      </c>
      <c r="W21" s="781" t="s">
        <v>1751</v>
      </c>
      <c r="X21" s="521">
        <v>12.42</v>
      </c>
      <c r="Y21" s="781" t="s">
        <v>292</v>
      </c>
      <c r="Z21" s="521">
        <v>12.42</v>
      </c>
      <c r="AA21" s="521">
        <v>150</v>
      </c>
      <c r="AB21" s="781">
        <v>155</v>
      </c>
      <c r="AC21" s="781" t="s">
        <v>1745</v>
      </c>
      <c r="AD21" s="781">
        <v>20</v>
      </c>
      <c r="AE21" s="806" t="s">
        <v>2</v>
      </c>
      <c r="AF21" s="781" t="s">
        <v>3</v>
      </c>
      <c r="AG21" s="521">
        <v>12.990000000000002</v>
      </c>
      <c r="AH21" s="781" t="s">
        <v>292</v>
      </c>
      <c r="AI21" s="521">
        <v>12.990000000000002</v>
      </c>
      <c r="AJ21" s="521">
        <v>125</v>
      </c>
      <c r="AK21" s="781">
        <v>201</v>
      </c>
      <c r="AL21" s="781" t="s">
        <v>1776</v>
      </c>
      <c r="AM21" s="781">
        <v>20</v>
      </c>
      <c r="AN21" s="806" t="s">
        <v>1777</v>
      </c>
      <c r="AO21" s="781" t="s">
        <v>1778</v>
      </c>
      <c r="AP21" s="521">
        <v>12.479999999999999</v>
      </c>
      <c r="AQ21" s="781" t="s">
        <v>292</v>
      </c>
      <c r="AR21" s="521">
        <v>12.479999999999999</v>
      </c>
      <c r="AS21" s="521">
        <v>100</v>
      </c>
      <c r="AT21" s="1731" t="s">
        <v>1925</v>
      </c>
      <c r="AU21" s="1731"/>
      <c r="AV21" s="1731"/>
      <c r="AW21" s="1731"/>
      <c r="AX21" s="1731"/>
      <c r="AY21" s="1731"/>
      <c r="AZ21" s="781"/>
      <c r="BA21" s="521"/>
      <c r="BB21" s="521"/>
      <c r="BC21" s="763">
        <v>46</v>
      </c>
      <c r="BD21" s="1465" t="s">
        <v>2426</v>
      </c>
      <c r="BE21" s="763">
        <v>8</v>
      </c>
      <c r="BF21" s="763" t="s">
        <v>1851</v>
      </c>
      <c r="BG21" s="763" t="s">
        <v>2422</v>
      </c>
      <c r="BH21" s="1131" t="s">
        <v>2334</v>
      </c>
      <c r="BI21" s="763" t="s">
        <v>292</v>
      </c>
      <c r="BJ21" s="1504" t="s">
        <v>2334</v>
      </c>
      <c r="BK21" s="795">
        <v>373.47250000000003</v>
      </c>
      <c r="BL21" s="763">
        <v>92</v>
      </c>
      <c r="BM21" s="1465" t="s">
        <v>2570</v>
      </c>
      <c r="BN21" s="763">
        <v>9</v>
      </c>
      <c r="BO21" s="763" t="s">
        <v>2572</v>
      </c>
      <c r="BP21" s="763" t="s">
        <v>2573</v>
      </c>
      <c r="BQ21" s="1131" t="s">
        <v>2334</v>
      </c>
      <c r="BR21" s="763" t="s">
        <v>292</v>
      </c>
      <c r="BS21" s="1504" t="s">
        <v>2334</v>
      </c>
      <c r="BT21" s="795">
        <v>16.989999999999998</v>
      </c>
    </row>
    <row r="22" spans="1:72" s="247" customFormat="1" ht="12.6" customHeight="1">
      <c r="A22" s="729">
        <v>17</v>
      </c>
      <c r="B22" s="809" t="s">
        <v>2619</v>
      </c>
      <c r="C22" s="729">
        <v>3</v>
      </c>
      <c r="D22" s="729" t="s">
        <v>2620</v>
      </c>
      <c r="E22" s="729" t="s">
        <v>2621</v>
      </c>
      <c r="F22" s="732">
        <v>13.19</v>
      </c>
      <c r="G22" s="794" t="s">
        <v>292</v>
      </c>
      <c r="H22" s="732">
        <v>13.19</v>
      </c>
      <c r="I22" s="732">
        <v>300</v>
      </c>
      <c r="J22" s="740">
        <v>63</v>
      </c>
      <c r="K22" s="740" t="s">
        <v>1874</v>
      </c>
      <c r="L22" s="740">
        <v>10</v>
      </c>
      <c r="M22" s="740" t="s">
        <v>1875</v>
      </c>
      <c r="N22" s="740" t="s">
        <v>1876</v>
      </c>
      <c r="O22" s="621">
        <v>5.4</v>
      </c>
      <c r="P22" s="740" t="s">
        <v>1878</v>
      </c>
      <c r="Q22" s="621">
        <v>6.33</v>
      </c>
      <c r="R22" s="621">
        <v>4000</v>
      </c>
      <c r="S22" s="729">
        <v>110</v>
      </c>
      <c r="T22" s="809" t="s">
        <v>1757</v>
      </c>
      <c r="U22" s="794">
        <v>15</v>
      </c>
      <c r="V22" s="794" t="s">
        <v>1621</v>
      </c>
      <c r="W22" s="732" t="s">
        <v>1816</v>
      </c>
      <c r="X22" s="732">
        <v>12.29</v>
      </c>
      <c r="Y22" s="794" t="s">
        <v>292</v>
      </c>
      <c r="Z22" s="732">
        <v>12.29</v>
      </c>
      <c r="AA22" s="732">
        <v>150</v>
      </c>
      <c r="AB22" s="249">
        <v>156</v>
      </c>
      <c r="AC22" s="809" t="s">
        <v>1752</v>
      </c>
      <c r="AD22" s="794">
        <v>20</v>
      </c>
      <c r="AE22" s="794" t="s">
        <v>4</v>
      </c>
      <c r="AF22" s="732" t="s">
        <v>5</v>
      </c>
      <c r="AG22" s="732">
        <v>12.98</v>
      </c>
      <c r="AH22" s="794" t="s">
        <v>292</v>
      </c>
      <c r="AI22" s="732">
        <v>12.98</v>
      </c>
      <c r="AJ22" s="732">
        <v>150</v>
      </c>
      <c r="AK22" s="729">
        <v>202</v>
      </c>
      <c r="AL22" s="809" t="s">
        <v>1782</v>
      </c>
      <c r="AM22" s="794">
        <v>20</v>
      </c>
      <c r="AN22" s="794" t="s">
        <v>1783</v>
      </c>
      <c r="AO22" s="732" t="s">
        <v>1784</v>
      </c>
      <c r="AP22" s="732">
        <v>12.479999999999999</v>
      </c>
      <c r="AQ22" s="794" t="s">
        <v>292</v>
      </c>
      <c r="AR22" s="732">
        <v>12.479999999999999</v>
      </c>
      <c r="AS22" s="732">
        <v>100</v>
      </c>
      <c r="AT22" s="729">
        <v>1</v>
      </c>
      <c r="AU22" s="1583" t="s">
        <v>2158</v>
      </c>
      <c r="AV22" s="794">
        <v>3</v>
      </c>
      <c r="AW22" s="794" t="s">
        <v>2159</v>
      </c>
      <c r="AX22" s="732" t="s">
        <v>2160</v>
      </c>
      <c r="AY22" s="732" t="s">
        <v>1823</v>
      </c>
      <c r="AZ22" s="794" t="s">
        <v>292</v>
      </c>
      <c r="BA22" s="732" t="s">
        <v>1823</v>
      </c>
      <c r="BB22" s="732">
        <v>4.2278000000000002</v>
      </c>
      <c r="BC22" s="740">
        <v>47</v>
      </c>
      <c r="BD22" s="1466" t="s">
        <v>2427</v>
      </c>
      <c r="BE22" s="740">
        <v>8</v>
      </c>
      <c r="BF22" s="621" t="s">
        <v>2423</v>
      </c>
      <c r="BG22" s="740" t="s">
        <v>2433</v>
      </c>
      <c r="BH22" s="1130" t="s">
        <v>2334</v>
      </c>
      <c r="BI22" s="740" t="s">
        <v>292</v>
      </c>
      <c r="BJ22" s="1503" t="s">
        <v>2334</v>
      </c>
      <c r="BK22" s="621">
        <v>42.789400000000001</v>
      </c>
      <c r="BL22" s="740">
        <v>93</v>
      </c>
      <c r="BM22" s="1466" t="s">
        <v>2571</v>
      </c>
      <c r="BN22" s="740">
        <v>9</v>
      </c>
      <c r="BO22" s="621" t="s">
        <v>2572</v>
      </c>
      <c r="BP22" s="740" t="s">
        <v>2573</v>
      </c>
      <c r="BQ22" s="1130" t="s">
        <v>2334</v>
      </c>
      <c r="BR22" s="740" t="s">
        <v>292</v>
      </c>
      <c r="BS22" s="1503" t="s">
        <v>2334</v>
      </c>
      <c r="BT22" s="621">
        <v>860.16669999999999</v>
      </c>
    </row>
    <row r="23" spans="1:72" s="247" customFormat="1" ht="12.6" customHeight="1">
      <c r="A23" s="781">
        <v>18</v>
      </c>
      <c r="B23" s="781" t="s">
        <v>2634</v>
      </c>
      <c r="C23" s="781">
        <v>3</v>
      </c>
      <c r="D23" s="781" t="s">
        <v>2632</v>
      </c>
      <c r="E23" s="781" t="s">
        <v>2635</v>
      </c>
      <c r="F23" s="681">
        <v>13.19</v>
      </c>
      <c r="G23" s="781" t="s">
        <v>2694</v>
      </c>
      <c r="H23" s="681">
        <v>13.15</v>
      </c>
      <c r="I23" s="521">
        <v>1888.36</v>
      </c>
      <c r="J23" s="763">
        <v>64</v>
      </c>
      <c r="K23" s="763" t="s">
        <v>1900</v>
      </c>
      <c r="L23" s="763">
        <v>10</v>
      </c>
      <c r="M23" s="763" t="s">
        <v>1901</v>
      </c>
      <c r="N23" s="763" t="s">
        <v>1902</v>
      </c>
      <c r="O23" s="795">
        <v>6.8</v>
      </c>
      <c r="P23" s="763" t="s">
        <v>1939</v>
      </c>
      <c r="Q23" s="795">
        <v>7.4</v>
      </c>
      <c r="R23" s="795">
        <v>4500</v>
      </c>
      <c r="S23" s="781">
        <v>111</v>
      </c>
      <c r="T23" s="781" t="s">
        <v>2482</v>
      </c>
      <c r="U23" s="781">
        <v>15</v>
      </c>
      <c r="V23" s="806" t="s">
        <v>1008</v>
      </c>
      <c r="W23" s="781" t="s">
        <v>2483</v>
      </c>
      <c r="X23" s="521">
        <v>12.29</v>
      </c>
      <c r="Y23" s="781" t="s">
        <v>292</v>
      </c>
      <c r="Z23" s="521">
        <v>12.29</v>
      </c>
      <c r="AA23" s="521">
        <v>150</v>
      </c>
      <c r="AB23" s="781">
        <v>157</v>
      </c>
      <c r="AC23" s="781" t="s">
        <v>1758</v>
      </c>
      <c r="AD23" s="781">
        <v>20</v>
      </c>
      <c r="AE23" s="806" t="s">
        <v>6</v>
      </c>
      <c r="AF23" s="781" t="s">
        <v>7</v>
      </c>
      <c r="AG23" s="521">
        <v>11.48</v>
      </c>
      <c r="AH23" s="781" t="s">
        <v>292</v>
      </c>
      <c r="AI23" s="521">
        <v>11.48</v>
      </c>
      <c r="AJ23" s="521">
        <v>150</v>
      </c>
      <c r="AK23" s="781">
        <v>203</v>
      </c>
      <c r="AL23" s="781" t="s">
        <v>1579</v>
      </c>
      <c r="AM23" s="781">
        <v>20</v>
      </c>
      <c r="AN23" s="806" t="s">
        <v>1580</v>
      </c>
      <c r="AO23" s="781" t="s">
        <v>1581</v>
      </c>
      <c r="AP23" s="521">
        <v>12.47</v>
      </c>
      <c r="AQ23" s="781" t="s">
        <v>292</v>
      </c>
      <c r="AR23" s="521">
        <v>12.47</v>
      </c>
      <c r="AS23" s="521">
        <v>100</v>
      </c>
      <c r="AT23" s="781">
        <v>2</v>
      </c>
      <c r="AU23" s="1459" t="s">
        <v>1826</v>
      </c>
      <c r="AV23" s="781">
        <v>7</v>
      </c>
      <c r="AW23" s="806" t="s">
        <v>1824</v>
      </c>
      <c r="AX23" s="781" t="s">
        <v>1825</v>
      </c>
      <c r="AY23" s="521">
        <v>5</v>
      </c>
      <c r="AZ23" s="781" t="s">
        <v>292</v>
      </c>
      <c r="BA23" s="521">
        <v>5</v>
      </c>
      <c r="BB23" s="521">
        <v>1438.54</v>
      </c>
      <c r="BC23" s="763">
        <v>48</v>
      </c>
      <c r="BD23" s="1465" t="s">
        <v>2428</v>
      </c>
      <c r="BE23" s="763">
        <v>9</v>
      </c>
      <c r="BF23" s="763" t="s">
        <v>1851</v>
      </c>
      <c r="BG23" s="763" t="s">
        <v>2434</v>
      </c>
      <c r="BH23" s="1131" t="s">
        <v>2334</v>
      </c>
      <c r="BI23" s="763" t="s">
        <v>292</v>
      </c>
      <c r="BJ23" s="1504" t="s">
        <v>2334</v>
      </c>
      <c r="BK23" s="795">
        <v>2351.3143</v>
      </c>
      <c r="BL23" s="763">
        <v>94</v>
      </c>
      <c r="BM23" s="1465" t="s">
        <v>2451</v>
      </c>
      <c r="BN23" s="763">
        <v>9</v>
      </c>
      <c r="BO23" s="763" t="s">
        <v>2572</v>
      </c>
      <c r="BP23" s="763" t="s">
        <v>2573</v>
      </c>
      <c r="BQ23" s="1131" t="s">
        <v>2334</v>
      </c>
      <c r="BR23" s="763" t="s">
        <v>292</v>
      </c>
      <c r="BS23" s="1504" t="s">
        <v>2334</v>
      </c>
      <c r="BT23" s="795">
        <v>561.82989999999995</v>
      </c>
    </row>
    <row r="24" spans="1:72" s="247" customFormat="1" ht="12.6" customHeight="1">
      <c r="A24" s="729">
        <v>19</v>
      </c>
      <c r="B24" s="809" t="s">
        <v>2713</v>
      </c>
      <c r="C24" s="729">
        <v>3</v>
      </c>
      <c r="D24" s="729" t="s">
        <v>2711</v>
      </c>
      <c r="E24" s="729" t="s">
        <v>2714</v>
      </c>
      <c r="F24" s="732">
        <v>12.94</v>
      </c>
      <c r="G24" s="794" t="s">
        <v>292</v>
      </c>
      <c r="H24" s="732">
        <v>12.94</v>
      </c>
      <c r="I24" s="732">
        <v>500</v>
      </c>
      <c r="J24" s="740">
        <v>65</v>
      </c>
      <c r="K24" s="740" t="s">
        <v>2017</v>
      </c>
      <c r="L24" s="740">
        <v>10</v>
      </c>
      <c r="M24" s="740" t="s">
        <v>2018</v>
      </c>
      <c r="N24" s="740" t="s">
        <v>2019</v>
      </c>
      <c r="O24" s="621">
        <v>7.1</v>
      </c>
      <c r="P24" s="740" t="s">
        <v>2052</v>
      </c>
      <c r="Q24" s="621">
        <v>7.75</v>
      </c>
      <c r="R24" s="621">
        <v>4500</v>
      </c>
      <c r="S24" s="729">
        <v>112</v>
      </c>
      <c r="T24" s="809" t="s">
        <v>1768</v>
      </c>
      <c r="U24" s="794">
        <v>15</v>
      </c>
      <c r="V24" s="794" t="s">
        <v>1011</v>
      </c>
      <c r="W24" s="732" t="s">
        <v>1013</v>
      </c>
      <c r="X24" s="732">
        <v>12.2</v>
      </c>
      <c r="Y24" s="794" t="s">
        <v>292</v>
      </c>
      <c r="Z24" s="732">
        <v>12.2</v>
      </c>
      <c r="AA24" s="732">
        <v>150</v>
      </c>
      <c r="AB24" s="249">
        <v>158</v>
      </c>
      <c r="AC24" s="809" t="s">
        <v>1763</v>
      </c>
      <c r="AD24" s="794">
        <v>20</v>
      </c>
      <c r="AE24" s="794" t="s">
        <v>8</v>
      </c>
      <c r="AF24" s="732" t="s">
        <v>9</v>
      </c>
      <c r="AG24" s="732">
        <v>11.09</v>
      </c>
      <c r="AH24" s="794" t="s">
        <v>292</v>
      </c>
      <c r="AI24" s="732">
        <v>11.09</v>
      </c>
      <c r="AJ24" s="732">
        <v>133.19999999999999</v>
      </c>
      <c r="AK24" s="729">
        <v>204</v>
      </c>
      <c r="AL24" s="809" t="s">
        <v>1585</v>
      </c>
      <c r="AM24" s="794">
        <v>20</v>
      </c>
      <c r="AN24" s="794" t="s">
        <v>1586</v>
      </c>
      <c r="AO24" s="732" t="s">
        <v>1587</v>
      </c>
      <c r="AP24" s="732">
        <v>12.479999999999999</v>
      </c>
      <c r="AQ24" s="794" t="s">
        <v>292</v>
      </c>
      <c r="AR24" s="732">
        <v>12.479999999999999</v>
      </c>
      <c r="AS24" s="732">
        <v>100</v>
      </c>
      <c r="AT24" s="729">
        <v>3</v>
      </c>
      <c r="AU24" s="1583" t="s">
        <v>1826</v>
      </c>
      <c r="AV24" s="794">
        <v>7</v>
      </c>
      <c r="AW24" s="794" t="s">
        <v>1824</v>
      </c>
      <c r="AX24" s="732" t="s">
        <v>1825</v>
      </c>
      <c r="AY24" s="732" t="s">
        <v>1823</v>
      </c>
      <c r="AZ24" s="794" t="s">
        <v>292</v>
      </c>
      <c r="BA24" s="732" t="s">
        <v>1823</v>
      </c>
      <c r="BB24" s="732">
        <v>554</v>
      </c>
      <c r="BC24" s="740">
        <v>49</v>
      </c>
      <c r="BD24" s="1466" t="s">
        <v>2429</v>
      </c>
      <c r="BE24" s="740">
        <v>8</v>
      </c>
      <c r="BF24" s="740" t="s">
        <v>1851</v>
      </c>
      <c r="BG24" s="740" t="s">
        <v>2422</v>
      </c>
      <c r="BH24" s="1130" t="s">
        <v>2334</v>
      </c>
      <c r="BI24" s="740" t="s">
        <v>292</v>
      </c>
      <c r="BJ24" s="1503" t="s">
        <v>2334</v>
      </c>
      <c r="BK24" s="621">
        <v>37.255499999999998</v>
      </c>
      <c r="BL24" s="740">
        <v>95</v>
      </c>
      <c r="BM24" s="1466" t="s">
        <v>2448</v>
      </c>
      <c r="BN24" s="740">
        <v>9</v>
      </c>
      <c r="BO24" s="740" t="s">
        <v>2572</v>
      </c>
      <c r="BP24" s="740" t="s">
        <v>2573</v>
      </c>
      <c r="BQ24" s="1130" t="s">
        <v>2334</v>
      </c>
      <c r="BR24" s="740" t="s">
        <v>292</v>
      </c>
      <c r="BS24" s="1503" t="s">
        <v>2334</v>
      </c>
      <c r="BT24" s="621">
        <v>176.00030000000001</v>
      </c>
    </row>
    <row r="25" spans="1:72" s="247" customFormat="1" ht="12.6" customHeight="1">
      <c r="A25" s="781">
        <v>20</v>
      </c>
      <c r="B25" s="781" t="s">
        <v>2726</v>
      </c>
      <c r="C25" s="781">
        <v>3</v>
      </c>
      <c r="D25" s="781" t="s">
        <v>2727</v>
      </c>
      <c r="E25" s="781" t="s">
        <v>2729</v>
      </c>
      <c r="F25" s="681">
        <v>13.19</v>
      </c>
      <c r="G25" s="781" t="s">
        <v>292</v>
      </c>
      <c r="H25" s="681">
        <v>13.19</v>
      </c>
      <c r="I25" s="521">
        <v>500</v>
      </c>
      <c r="J25" s="763">
        <v>66</v>
      </c>
      <c r="K25" s="763" t="s">
        <v>2058</v>
      </c>
      <c r="L25" s="763">
        <v>10</v>
      </c>
      <c r="M25" s="795" t="s">
        <v>2059</v>
      </c>
      <c r="N25" s="795" t="s">
        <v>2060</v>
      </c>
      <c r="O25" s="795">
        <v>8</v>
      </c>
      <c r="P25" s="763" t="s">
        <v>2129</v>
      </c>
      <c r="Q25" s="795">
        <v>8.17</v>
      </c>
      <c r="R25" s="795">
        <v>4300</v>
      </c>
      <c r="S25" s="781">
        <v>113</v>
      </c>
      <c r="T25" s="781" t="s">
        <v>1774</v>
      </c>
      <c r="U25" s="781">
        <v>15</v>
      </c>
      <c r="V25" s="806" t="s">
        <v>1014</v>
      </c>
      <c r="W25" s="781" t="s">
        <v>1016</v>
      </c>
      <c r="X25" s="521">
        <v>12.1</v>
      </c>
      <c r="Y25" s="781" t="s">
        <v>292</v>
      </c>
      <c r="Z25" s="521">
        <v>12.1</v>
      </c>
      <c r="AA25" s="521">
        <v>150</v>
      </c>
      <c r="AB25" s="781">
        <v>159</v>
      </c>
      <c r="AC25" s="781" t="s">
        <v>1769</v>
      </c>
      <c r="AD25" s="781">
        <v>20</v>
      </c>
      <c r="AE25" s="806" t="s">
        <v>10</v>
      </c>
      <c r="AF25" s="781" t="s">
        <v>11</v>
      </c>
      <c r="AG25" s="521">
        <v>10.07</v>
      </c>
      <c r="AH25" s="781" t="s">
        <v>292</v>
      </c>
      <c r="AI25" s="521">
        <v>10.07</v>
      </c>
      <c r="AJ25" s="521">
        <v>80</v>
      </c>
      <c r="AK25" s="781">
        <v>205</v>
      </c>
      <c r="AL25" s="781" t="s">
        <v>1593</v>
      </c>
      <c r="AM25" s="781">
        <v>20</v>
      </c>
      <c r="AN25" s="806" t="s">
        <v>1594</v>
      </c>
      <c r="AO25" s="781" t="s">
        <v>1595</v>
      </c>
      <c r="AP25" s="521">
        <v>12.479999999999999</v>
      </c>
      <c r="AQ25" s="781" t="s">
        <v>292</v>
      </c>
      <c r="AR25" s="521">
        <v>12.479999999999999</v>
      </c>
      <c r="AS25" s="521">
        <v>150</v>
      </c>
      <c r="AT25" s="781">
        <v>4</v>
      </c>
      <c r="AU25" s="1459" t="s">
        <v>2331</v>
      </c>
      <c r="AV25" s="781">
        <v>8</v>
      </c>
      <c r="AW25" s="806" t="s">
        <v>2332</v>
      </c>
      <c r="AX25" s="781" t="s">
        <v>2333</v>
      </c>
      <c r="AY25" s="521" t="s">
        <v>2334</v>
      </c>
      <c r="AZ25" s="781" t="s">
        <v>292</v>
      </c>
      <c r="BA25" s="521" t="s">
        <v>2334</v>
      </c>
      <c r="BB25" s="521">
        <v>459.26</v>
      </c>
      <c r="BC25" s="763">
        <v>50</v>
      </c>
      <c r="BD25" s="1465" t="s">
        <v>2430</v>
      </c>
      <c r="BE25" s="763">
        <v>10</v>
      </c>
      <c r="BF25" s="763" t="s">
        <v>2424</v>
      </c>
      <c r="BG25" s="763" t="s">
        <v>1023</v>
      </c>
      <c r="BH25" s="1131" t="s">
        <v>2334</v>
      </c>
      <c r="BI25" s="763" t="s">
        <v>292</v>
      </c>
      <c r="BJ25" s="1504" t="s">
        <v>2334</v>
      </c>
      <c r="BK25" s="795">
        <v>479.90859999999998</v>
      </c>
      <c r="BL25" s="763">
        <v>96</v>
      </c>
      <c r="BM25" s="1465" t="s">
        <v>2574</v>
      </c>
      <c r="BN25" s="763">
        <v>9</v>
      </c>
      <c r="BO25" s="763" t="s">
        <v>2572</v>
      </c>
      <c r="BP25" s="763" t="s">
        <v>2573</v>
      </c>
      <c r="BQ25" s="1131" t="s">
        <v>2334</v>
      </c>
      <c r="BR25" s="763" t="s">
        <v>292</v>
      </c>
      <c r="BS25" s="1504" t="s">
        <v>2334</v>
      </c>
      <c r="BT25" s="795">
        <v>100</v>
      </c>
    </row>
    <row r="26" spans="1:72" s="159" customFormat="1" ht="12.6" customHeight="1">
      <c r="A26" s="729">
        <v>21</v>
      </c>
      <c r="B26" s="809" t="s">
        <v>2745</v>
      </c>
      <c r="C26" s="729">
        <v>3</v>
      </c>
      <c r="D26" s="729" t="s">
        <v>2743</v>
      </c>
      <c r="E26" s="729" t="s">
        <v>2746</v>
      </c>
      <c r="F26" s="732">
        <v>12.92</v>
      </c>
      <c r="G26" s="794" t="s">
        <v>2805</v>
      </c>
      <c r="H26" s="732">
        <v>11.75</v>
      </c>
      <c r="I26" s="732">
        <v>1500</v>
      </c>
      <c r="J26" s="740">
        <v>67</v>
      </c>
      <c r="K26" s="740" t="s">
        <v>2080</v>
      </c>
      <c r="L26" s="740">
        <v>10</v>
      </c>
      <c r="M26" s="621" t="s">
        <v>2081</v>
      </c>
      <c r="N26" s="621" t="s">
        <v>2082</v>
      </c>
      <c r="O26" s="621">
        <v>8.1</v>
      </c>
      <c r="P26" s="740" t="s">
        <v>2093</v>
      </c>
      <c r="Q26" s="621">
        <v>7.89</v>
      </c>
      <c r="R26" s="621">
        <v>4500</v>
      </c>
      <c r="S26" s="729">
        <v>114</v>
      </c>
      <c r="T26" s="809" t="s">
        <v>1780</v>
      </c>
      <c r="U26" s="794">
        <v>15</v>
      </c>
      <c r="V26" s="794" t="s">
        <v>1018</v>
      </c>
      <c r="W26" s="732" t="s">
        <v>1019</v>
      </c>
      <c r="X26" s="732">
        <v>12</v>
      </c>
      <c r="Y26" s="794" t="s">
        <v>292</v>
      </c>
      <c r="Z26" s="732">
        <v>12</v>
      </c>
      <c r="AA26" s="732">
        <v>350</v>
      </c>
      <c r="AB26" s="249">
        <v>160</v>
      </c>
      <c r="AC26" s="809" t="s">
        <v>1775</v>
      </c>
      <c r="AD26" s="794">
        <v>20</v>
      </c>
      <c r="AE26" s="794" t="s">
        <v>12</v>
      </c>
      <c r="AF26" s="732" t="s">
        <v>13</v>
      </c>
      <c r="AG26" s="732">
        <v>8.9700000000000006</v>
      </c>
      <c r="AH26" s="794" t="s">
        <v>292</v>
      </c>
      <c r="AI26" s="732">
        <v>8.9700000000000006</v>
      </c>
      <c r="AJ26" s="732">
        <v>125</v>
      </c>
      <c r="AK26" s="729">
        <v>206</v>
      </c>
      <c r="AL26" s="809" t="s">
        <v>1599</v>
      </c>
      <c r="AM26" s="794">
        <v>20</v>
      </c>
      <c r="AN26" s="794" t="s">
        <v>1600</v>
      </c>
      <c r="AO26" s="732" t="s">
        <v>1601</v>
      </c>
      <c r="AP26" s="732">
        <v>12.479999999999999</v>
      </c>
      <c r="AQ26" s="794" t="s">
        <v>292</v>
      </c>
      <c r="AR26" s="732">
        <v>12.479999999999999</v>
      </c>
      <c r="AS26" s="732">
        <v>150</v>
      </c>
      <c r="AT26" s="729">
        <v>5</v>
      </c>
      <c r="AU26" s="1583" t="s">
        <v>2335</v>
      </c>
      <c r="AV26" s="794">
        <v>9</v>
      </c>
      <c r="AW26" s="794" t="s">
        <v>2332</v>
      </c>
      <c r="AX26" s="732" t="s">
        <v>2336</v>
      </c>
      <c r="AY26" s="732" t="s">
        <v>2334</v>
      </c>
      <c r="AZ26" s="794" t="s">
        <v>292</v>
      </c>
      <c r="BA26" s="732" t="s">
        <v>2334</v>
      </c>
      <c r="BB26" s="732">
        <v>2557.0700000000002</v>
      </c>
      <c r="BC26" s="794">
        <v>51</v>
      </c>
      <c r="BD26" s="1466" t="s">
        <v>2431</v>
      </c>
      <c r="BE26" s="740">
        <v>10</v>
      </c>
      <c r="BF26" s="740" t="s">
        <v>2424</v>
      </c>
      <c r="BG26" s="740" t="s">
        <v>1023</v>
      </c>
      <c r="BH26" s="1130" t="s">
        <v>2334</v>
      </c>
      <c r="BI26" s="740" t="s">
        <v>292</v>
      </c>
      <c r="BJ26" s="1503" t="s">
        <v>2334</v>
      </c>
      <c r="BK26" s="621">
        <v>391.9316</v>
      </c>
      <c r="BL26" s="794">
        <v>97</v>
      </c>
      <c r="BM26" s="1466" t="s">
        <v>2575</v>
      </c>
      <c r="BN26" s="740">
        <v>9</v>
      </c>
      <c r="BO26" s="740" t="s">
        <v>2572</v>
      </c>
      <c r="BP26" s="740" t="s">
        <v>2573</v>
      </c>
      <c r="BQ26" s="1130" t="s">
        <v>2334</v>
      </c>
      <c r="BR26" s="740" t="s">
        <v>292</v>
      </c>
      <c r="BS26" s="1503" t="s">
        <v>2334</v>
      </c>
      <c r="BT26" s="621">
        <v>25</v>
      </c>
    </row>
    <row r="27" spans="1:72" s="159" customFormat="1" ht="12.6" customHeight="1">
      <c r="A27" s="781">
        <v>22</v>
      </c>
      <c r="B27" s="781" t="s">
        <v>2818</v>
      </c>
      <c r="C27" s="781">
        <v>3</v>
      </c>
      <c r="D27" s="781" t="s">
        <v>2819</v>
      </c>
      <c r="E27" s="781" t="s">
        <v>2820</v>
      </c>
      <c r="F27" s="681">
        <v>10.7</v>
      </c>
      <c r="G27" s="781" t="s">
        <v>2879</v>
      </c>
      <c r="H27" s="681">
        <v>11.0846</v>
      </c>
      <c r="I27" s="521">
        <v>1500.12</v>
      </c>
      <c r="J27" s="763">
        <v>68</v>
      </c>
      <c r="K27" s="763" t="s">
        <v>2131</v>
      </c>
      <c r="L27" s="763">
        <v>10</v>
      </c>
      <c r="M27" s="763" t="s">
        <v>2132</v>
      </c>
      <c r="N27" s="763" t="s">
        <v>2133</v>
      </c>
      <c r="O27" s="795">
        <v>8.1</v>
      </c>
      <c r="P27" s="763" t="s">
        <v>2296</v>
      </c>
      <c r="Q27" s="795">
        <v>11.9</v>
      </c>
      <c r="R27" s="795">
        <v>5445.45</v>
      </c>
      <c r="S27" s="781">
        <v>115</v>
      </c>
      <c r="T27" s="781" t="s">
        <v>1577</v>
      </c>
      <c r="U27" s="781">
        <v>15</v>
      </c>
      <c r="V27" s="806" t="s">
        <v>1020</v>
      </c>
      <c r="W27" s="781" t="s">
        <v>1021</v>
      </c>
      <c r="X27" s="521">
        <v>11.97</v>
      </c>
      <c r="Y27" s="781" t="s">
        <v>292</v>
      </c>
      <c r="Z27" s="521">
        <v>11.97</v>
      </c>
      <c r="AA27" s="521">
        <v>350</v>
      </c>
      <c r="AB27" s="781">
        <v>161</v>
      </c>
      <c r="AC27" s="781" t="s">
        <v>1781</v>
      </c>
      <c r="AD27" s="781">
        <v>20</v>
      </c>
      <c r="AE27" s="806" t="s">
        <v>14</v>
      </c>
      <c r="AF27" s="781" t="s">
        <v>15</v>
      </c>
      <c r="AG27" s="521">
        <v>8.59</v>
      </c>
      <c r="AH27" s="781" t="s">
        <v>292</v>
      </c>
      <c r="AI27" s="521">
        <v>8.59</v>
      </c>
      <c r="AJ27" s="521">
        <v>3</v>
      </c>
      <c r="AK27" s="781">
        <v>207</v>
      </c>
      <c r="AL27" s="781" t="s">
        <v>1608</v>
      </c>
      <c r="AM27" s="781">
        <v>20</v>
      </c>
      <c r="AN27" s="806" t="s">
        <v>1609</v>
      </c>
      <c r="AO27" s="781" t="s">
        <v>1610</v>
      </c>
      <c r="AP27" s="521">
        <v>12.479999999999999</v>
      </c>
      <c r="AQ27" s="781" t="s">
        <v>292</v>
      </c>
      <c r="AR27" s="521">
        <v>12.479999999999999</v>
      </c>
      <c r="AS27" s="521">
        <v>150</v>
      </c>
      <c r="AT27" s="781">
        <v>6</v>
      </c>
      <c r="AU27" s="1459" t="s">
        <v>2337</v>
      </c>
      <c r="AV27" s="781">
        <v>9</v>
      </c>
      <c r="AW27" s="806" t="s">
        <v>2338</v>
      </c>
      <c r="AX27" s="781" t="s">
        <v>2339</v>
      </c>
      <c r="AY27" s="521" t="s">
        <v>2334</v>
      </c>
      <c r="AZ27" s="781" t="s">
        <v>292</v>
      </c>
      <c r="BA27" s="521" t="s">
        <v>2334</v>
      </c>
      <c r="BB27" s="521">
        <v>1896.7</v>
      </c>
      <c r="BC27" s="806">
        <v>52</v>
      </c>
      <c r="BD27" s="1465" t="s">
        <v>2432</v>
      </c>
      <c r="BE27" s="763">
        <v>10</v>
      </c>
      <c r="BF27" s="763" t="s">
        <v>2424</v>
      </c>
      <c r="BG27" s="763" t="s">
        <v>1023</v>
      </c>
      <c r="BH27" s="1131" t="s">
        <v>2334</v>
      </c>
      <c r="BI27" s="763" t="s">
        <v>292</v>
      </c>
      <c r="BJ27" s="1504" t="s">
        <v>2334</v>
      </c>
      <c r="BK27" s="795">
        <v>614.84180000000003</v>
      </c>
      <c r="BL27" s="806">
        <v>98</v>
      </c>
      <c r="BM27" s="1465" t="s">
        <v>2576</v>
      </c>
      <c r="BN27" s="763">
        <v>9</v>
      </c>
      <c r="BO27" s="763" t="s">
        <v>2572</v>
      </c>
      <c r="BP27" s="763" t="s">
        <v>2573</v>
      </c>
      <c r="BQ27" s="1131" t="s">
        <v>2334</v>
      </c>
      <c r="BR27" s="763" t="s">
        <v>292</v>
      </c>
      <c r="BS27" s="1504" t="s">
        <v>2334</v>
      </c>
      <c r="BT27" s="795">
        <v>10.816599999999999</v>
      </c>
    </row>
    <row r="28" spans="1:72" s="159" customFormat="1" ht="12.6" customHeight="1">
      <c r="A28" s="729">
        <v>23</v>
      </c>
      <c r="B28" s="809" t="s">
        <v>2900</v>
      </c>
      <c r="C28" s="729">
        <v>3</v>
      </c>
      <c r="D28" s="729" t="s">
        <v>2901</v>
      </c>
      <c r="E28" s="729" t="s">
        <v>2902</v>
      </c>
      <c r="F28" s="732">
        <v>10.67</v>
      </c>
      <c r="G28" s="794" t="s">
        <v>3009</v>
      </c>
      <c r="H28" s="732">
        <v>10.039999999999999</v>
      </c>
      <c r="I28" s="732">
        <f>500+500+500</f>
        <v>1500</v>
      </c>
      <c r="J28" s="740">
        <v>69</v>
      </c>
      <c r="K28" s="740" t="s">
        <v>2152</v>
      </c>
      <c r="L28" s="740">
        <v>10</v>
      </c>
      <c r="M28" s="740" t="s">
        <v>2153</v>
      </c>
      <c r="N28" s="740" t="s">
        <v>2154</v>
      </c>
      <c r="O28" s="621">
        <v>8.33</v>
      </c>
      <c r="P28" s="740" t="s">
        <v>2169</v>
      </c>
      <c r="Q28" s="621">
        <v>8.33</v>
      </c>
      <c r="R28" s="621">
        <v>5500</v>
      </c>
      <c r="S28" s="729">
        <v>116</v>
      </c>
      <c r="T28" s="809" t="s">
        <v>1583</v>
      </c>
      <c r="U28" s="794">
        <v>15</v>
      </c>
      <c r="V28" s="794" t="s">
        <v>1024</v>
      </c>
      <c r="W28" s="732" t="s">
        <v>1028</v>
      </c>
      <c r="X28" s="732">
        <v>11.97</v>
      </c>
      <c r="Y28" s="794" t="s">
        <v>292</v>
      </c>
      <c r="Z28" s="732">
        <v>11.97</v>
      </c>
      <c r="AA28" s="732">
        <v>400</v>
      </c>
      <c r="AB28" s="249">
        <v>162</v>
      </c>
      <c r="AC28" s="809" t="s">
        <v>1578</v>
      </c>
      <c r="AD28" s="794">
        <v>20</v>
      </c>
      <c r="AE28" s="794" t="s">
        <v>336</v>
      </c>
      <c r="AF28" s="732" t="s">
        <v>337</v>
      </c>
      <c r="AG28" s="732">
        <v>9.1</v>
      </c>
      <c r="AH28" s="794" t="s">
        <v>292</v>
      </c>
      <c r="AI28" s="732">
        <v>9.1</v>
      </c>
      <c r="AJ28" s="732">
        <v>125</v>
      </c>
      <c r="AK28" s="729">
        <v>208</v>
      </c>
      <c r="AL28" s="809" t="s">
        <v>1613</v>
      </c>
      <c r="AM28" s="794">
        <v>20</v>
      </c>
      <c r="AN28" s="794" t="s">
        <v>1614</v>
      </c>
      <c r="AO28" s="732" t="s">
        <v>1615</v>
      </c>
      <c r="AP28" s="732">
        <v>12.479999999999999</v>
      </c>
      <c r="AQ28" s="794" t="s">
        <v>292</v>
      </c>
      <c r="AR28" s="732">
        <v>12.479999999999999</v>
      </c>
      <c r="AS28" s="732">
        <v>150</v>
      </c>
      <c r="AT28" s="729">
        <v>7</v>
      </c>
      <c r="AU28" s="1583" t="s">
        <v>2340</v>
      </c>
      <c r="AV28" s="794">
        <v>9</v>
      </c>
      <c r="AW28" s="794" t="s">
        <v>2341</v>
      </c>
      <c r="AX28" s="732" t="s">
        <v>2342</v>
      </c>
      <c r="AY28" s="732" t="s">
        <v>2334</v>
      </c>
      <c r="AZ28" s="794" t="s">
        <v>292</v>
      </c>
      <c r="BA28" s="732" t="s">
        <v>2334</v>
      </c>
      <c r="BB28" s="732">
        <v>822.27</v>
      </c>
      <c r="BC28" s="794">
        <v>53</v>
      </c>
      <c r="BD28" s="1466" t="s">
        <v>2435</v>
      </c>
      <c r="BE28" s="740">
        <v>10</v>
      </c>
      <c r="BF28" s="740" t="s">
        <v>2424</v>
      </c>
      <c r="BG28" s="740" t="s">
        <v>1023</v>
      </c>
      <c r="BH28" s="1130" t="s">
        <v>2334</v>
      </c>
      <c r="BI28" s="740" t="s">
        <v>292</v>
      </c>
      <c r="BJ28" s="1503" t="s">
        <v>2334</v>
      </c>
      <c r="BK28" s="621">
        <v>155.9222</v>
      </c>
      <c r="BL28" s="794">
        <v>99</v>
      </c>
      <c r="BM28" s="1466" t="s">
        <v>2577</v>
      </c>
      <c r="BN28" s="740">
        <v>9</v>
      </c>
      <c r="BO28" s="740" t="s">
        <v>2568</v>
      </c>
      <c r="BP28" s="740" t="s">
        <v>2585</v>
      </c>
      <c r="BQ28" s="1130" t="s">
        <v>2334</v>
      </c>
      <c r="BR28" s="740" t="s">
        <v>292</v>
      </c>
      <c r="BS28" s="1503" t="s">
        <v>2334</v>
      </c>
      <c r="BT28" s="621">
        <v>309.88069999999999</v>
      </c>
    </row>
    <row r="29" spans="1:72" s="159" customFormat="1" ht="12.6" customHeight="1">
      <c r="A29" s="781">
        <v>24</v>
      </c>
      <c r="B29" s="781" t="s">
        <v>1832</v>
      </c>
      <c r="C29" s="781">
        <v>5</v>
      </c>
      <c r="D29" s="781" t="s">
        <v>1833</v>
      </c>
      <c r="E29" s="781" t="s">
        <v>1834</v>
      </c>
      <c r="F29" s="681">
        <v>3.88</v>
      </c>
      <c r="G29" s="781" t="s">
        <v>1838</v>
      </c>
      <c r="H29" s="681">
        <v>3.9</v>
      </c>
      <c r="I29" s="521">
        <v>4500</v>
      </c>
      <c r="J29" s="763">
        <v>70</v>
      </c>
      <c r="K29" s="763" t="s">
        <v>2171</v>
      </c>
      <c r="L29" s="763">
        <v>10</v>
      </c>
      <c r="M29" s="763" t="s">
        <v>2172</v>
      </c>
      <c r="N29" s="763" t="s">
        <v>2173</v>
      </c>
      <c r="O29" s="795">
        <v>8.4499999999999993</v>
      </c>
      <c r="P29" s="763" t="s">
        <v>2179</v>
      </c>
      <c r="Q29" s="795">
        <v>8.6</v>
      </c>
      <c r="R29" s="795">
        <v>6000</v>
      </c>
      <c r="S29" s="781">
        <v>117</v>
      </c>
      <c r="T29" s="781" t="s">
        <v>1591</v>
      </c>
      <c r="U29" s="781">
        <v>15</v>
      </c>
      <c r="V29" s="806" t="s">
        <v>1027</v>
      </c>
      <c r="W29" s="781" t="s">
        <v>1029</v>
      </c>
      <c r="X29" s="521">
        <v>11.97</v>
      </c>
      <c r="Y29" s="781" t="s">
        <v>292</v>
      </c>
      <c r="Z29" s="521">
        <v>11.97</v>
      </c>
      <c r="AA29" s="521">
        <v>400</v>
      </c>
      <c r="AB29" s="781">
        <v>163</v>
      </c>
      <c r="AC29" s="781" t="s">
        <v>1584</v>
      </c>
      <c r="AD29" s="781">
        <v>20</v>
      </c>
      <c r="AE29" s="806" t="s">
        <v>338</v>
      </c>
      <c r="AF29" s="781" t="s">
        <v>339</v>
      </c>
      <c r="AG29" s="521">
        <v>9.1</v>
      </c>
      <c r="AH29" s="781" t="s">
        <v>292</v>
      </c>
      <c r="AI29" s="521">
        <v>9.1</v>
      </c>
      <c r="AJ29" s="521">
        <v>150</v>
      </c>
      <c r="AK29" s="781">
        <v>209</v>
      </c>
      <c r="AL29" s="781" t="s">
        <v>1620</v>
      </c>
      <c r="AM29" s="781">
        <v>20</v>
      </c>
      <c r="AN29" s="806" t="s">
        <v>1621</v>
      </c>
      <c r="AO29" s="781" t="s">
        <v>1622</v>
      </c>
      <c r="AP29" s="521">
        <v>12.33</v>
      </c>
      <c r="AQ29" s="781" t="s">
        <v>292</v>
      </c>
      <c r="AR29" s="521">
        <v>12.33</v>
      </c>
      <c r="AS29" s="521">
        <v>150</v>
      </c>
      <c r="AT29" s="781">
        <v>8</v>
      </c>
      <c r="AU29" s="1459" t="s">
        <v>2343</v>
      </c>
      <c r="AV29" s="781">
        <v>9</v>
      </c>
      <c r="AW29" s="806" t="s">
        <v>2344</v>
      </c>
      <c r="AX29" s="781" t="s">
        <v>2345</v>
      </c>
      <c r="AY29" s="521" t="s">
        <v>2334</v>
      </c>
      <c r="AZ29" s="781" t="s">
        <v>292</v>
      </c>
      <c r="BA29" s="521" t="s">
        <v>2334</v>
      </c>
      <c r="BB29" s="521">
        <v>135.59</v>
      </c>
      <c r="BC29" s="763">
        <v>54</v>
      </c>
      <c r="BD29" s="1465" t="s">
        <v>2436</v>
      </c>
      <c r="BE29" s="763">
        <v>10</v>
      </c>
      <c r="BF29" s="763" t="s">
        <v>2424</v>
      </c>
      <c r="BG29" s="763" t="s">
        <v>1023</v>
      </c>
      <c r="BH29" s="1131" t="s">
        <v>2334</v>
      </c>
      <c r="BI29" s="763" t="s">
        <v>292</v>
      </c>
      <c r="BJ29" s="1504" t="s">
        <v>2334</v>
      </c>
      <c r="BK29" s="795">
        <v>187.30029999999999</v>
      </c>
      <c r="BL29" s="763">
        <v>100</v>
      </c>
      <c r="BM29" s="1465" t="s">
        <v>2578</v>
      </c>
      <c r="BN29" s="763">
        <v>9</v>
      </c>
      <c r="BO29" s="763" t="s">
        <v>2568</v>
      </c>
      <c r="BP29" s="763" t="s">
        <v>2585</v>
      </c>
      <c r="BQ29" s="1131" t="s">
        <v>2334</v>
      </c>
      <c r="BR29" s="763" t="s">
        <v>292</v>
      </c>
      <c r="BS29" s="1504" t="s">
        <v>2334</v>
      </c>
      <c r="BT29" s="795">
        <v>5.1437999999999997</v>
      </c>
    </row>
    <row r="30" spans="1:72" s="159" customFormat="1" ht="12.6" customHeight="1">
      <c r="A30" s="729">
        <v>25</v>
      </c>
      <c r="B30" s="809" t="s">
        <v>1879</v>
      </c>
      <c r="C30" s="729">
        <v>5</v>
      </c>
      <c r="D30" s="729" t="s">
        <v>1880</v>
      </c>
      <c r="E30" s="729" t="s">
        <v>1881</v>
      </c>
      <c r="F30" s="732">
        <v>4.97</v>
      </c>
      <c r="G30" s="794" t="s">
        <v>1938</v>
      </c>
      <c r="H30" s="732">
        <v>6.5</v>
      </c>
      <c r="I30" s="732">
        <v>4063.34</v>
      </c>
      <c r="J30" s="740">
        <v>71</v>
      </c>
      <c r="K30" s="741" t="s">
        <v>2231</v>
      </c>
      <c r="L30" s="741">
        <v>10</v>
      </c>
      <c r="M30" s="741" t="s">
        <v>2232</v>
      </c>
      <c r="N30" s="741" t="s">
        <v>2233</v>
      </c>
      <c r="O30" s="739">
        <v>9.1999999999999993</v>
      </c>
      <c r="P30" s="741" t="s">
        <v>2284</v>
      </c>
      <c r="Q30" s="739">
        <v>10.82</v>
      </c>
      <c r="R30" s="739">
        <v>5415.03</v>
      </c>
      <c r="S30" s="729">
        <v>118</v>
      </c>
      <c r="T30" s="809" t="s">
        <v>1597</v>
      </c>
      <c r="U30" s="794">
        <v>15</v>
      </c>
      <c r="V30" s="794" t="s">
        <v>1043</v>
      </c>
      <c r="W30" s="732" t="s">
        <v>1044</v>
      </c>
      <c r="X30" s="732">
        <v>11.87</v>
      </c>
      <c r="Y30" s="794" t="s">
        <v>292</v>
      </c>
      <c r="Z30" s="732">
        <v>11.87</v>
      </c>
      <c r="AA30" s="732">
        <v>250</v>
      </c>
      <c r="AB30" s="249">
        <v>164</v>
      </c>
      <c r="AC30" s="809" t="s">
        <v>1592</v>
      </c>
      <c r="AD30" s="794">
        <v>20</v>
      </c>
      <c r="AE30" s="794" t="s">
        <v>340</v>
      </c>
      <c r="AF30" s="732" t="s">
        <v>341</v>
      </c>
      <c r="AG30" s="732">
        <v>9.11</v>
      </c>
      <c r="AH30" s="794" t="s">
        <v>292</v>
      </c>
      <c r="AI30" s="732">
        <v>9.11</v>
      </c>
      <c r="AJ30" s="732">
        <v>100</v>
      </c>
      <c r="AK30" s="729">
        <v>210</v>
      </c>
      <c r="AL30" s="809" t="s">
        <v>1627</v>
      </c>
      <c r="AM30" s="794">
        <v>20</v>
      </c>
      <c r="AN30" s="794" t="s">
        <v>1008</v>
      </c>
      <c r="AO30" s="732" t="s">
        <v>1009</v>
      </c>
      <c r="AP30" s="732">
        <v>12.33</v>
      </c>
      <c r="AQ30" s="794" t="s">
        <v>292</v>
      </c>
      <c r="AR30" s="732">
        <v>12.33</v>
      </c>
      <c r="AS30" s="732">
        <v>150</v>
      </c>
      <c r="AT30" s="729">
        <v>9</v>
      </c>
      <c r="AU30" s="1583" t="s">
        <v>2346</v>
      </c>
      <c r="AV30" s="794">
        <v>9</v>
      </c>
      <c r="AW30" s="794" t="s">
        <v>2344</v>
      </c>
      <c r="AX30" s="732" t="s">
        <v>2345</v>
      </c>
      <c r="AY30" s="732" t="s">
        <v>2334</v>
      </c>
      <c r="AZ30" s="794" t="s">
        <v>292</v>
      </c>
      <c r="BA30" s="732" t="s">
        <v>2334</v>
      </c>
      <c r="BB30" s="732">
        <v>186.7</v>
      </c>
      <c r="BC30" s="740">
        <v>55</v>
      </c>
      <c r="BD30" s="1466" t="s">
        <v>2437</v>
      </c>
      <c r="BE30" s="740">
        <v>10</v>
      </c>
      <c r="BF30" s="740" t="s">
        <v>2408</v>
      </c>
      <c r="BG30" s="740" t="s">
        <v>2446</v>
      </c>
      <c r="BH30" s="1130" t="s">
        <v>2334</v>
      </c>
      <c r="BI30" s="740" t="s">
        <v>292</v>
      </c>
      <c r="BJ30" s="1503" t="s">
        <v>2334</v>
      </c>
      <c r="BK30" s="621">
        <v>98.564999999999998</v>
      </c>
      <c r="BL30" s="740">
        <v>101</v>
      </c>
      <c r="BM30" s="1466" t="s">
        <v>2579</v>
      </c>
      <c r="BN30" s="740">
        <v>10</v>
      </c>
      <c r="BO30" s="740" t="s">
        <v>2568</v>
      </c>
      <c r="BP30" s="740" t="s">
        <v>2586</v>
      </c>
      <c r="BQ30" s="1130" t="s">
        <v>2334</v>
      </c>
      <c r="BR30" s="740" t="s">
        <v>292</v>
      </c>
      <c r="BS30" s="1503" t="s">
        <v>2334</v>
      </c>
      <c r="BT30" s="621">
        <v>303.56979999999999</v>
      </c>
    </row>
    <row r="31" spans="1:72" s="159" customFormat="1" ht="12.6" customHeight="1">
      <c r="A31" s="781">
        <v>26</v>
      </c>
      <c r="B31" s="781" t="s">
        <v>1932</v>
      </c>
      <c r="C31" s="781">
        <v>5</v>
      </c>
      <c r="D31" s="781" t="s">
        <v>962</v>
      </c>
      <c r="E31" s="781" t="s">
        <v>1933</v>
      </c>
      <c r="F31" s="681">
        <v>6.5</v>
      </c>
      <c r="G31" s="781" t="s">
        <v>2027</v>
      </c>
      <c r="H31" s="681">
        <v>5.75</v>
      </c>
      <c r="I31" s="521">
        <v>4500</v>
      </c>
      <c r="J31" s="763">
        <v>72</v>
      </c>
      <c r="K31" s="763" t="s">
        <v>2312</v>
      </c>
      <c r="L31" s="763">
        <v>10</v>
      </c>
      <c r="M31" s="763" t="s">
        <v>2313</v>
      </c>
      <c r="N31" s="763" t="s">
        <v>2314</v>
      </c>
      <c r="O31" s="795">
        <v>12.05</v>
      </c>
      <c r="P31" s="763" t="s">
        <v>2567</v>
      </c>
      <c r="Q31" s="795">
        <v>12.45</v>
      </c>
      <c r="R31" s="795">
        <v>7124.8</v>
      </c>
      <c r="S31" s="781">
        <v>119</v>
      </c>
      <c r="T31" s="781" t="s">
        <v>1604</v>
      </c>
      <c r="U31" s="781">
        <v>15</v>
      </c>
      <c r="V31" s="806" t="s">
        <v>1045</v>
      </c>
      <c r="W31" s="781" t="s">
        <v>1046</v>
      </c>
      <c r="X31" s="521">
        <v>11.59</v>
      </c>
      <c r="Y31" s="781" t="s">
        <v>292</v>
      </c>
      <c r="Z31" s="521">
        <v>11.59</v>
      </c>
      <c r="AA31" s="521">
        <v>250</v>
      </c>
      <c r="AB31" s="781">
        <v>165</v>
      </c>
      <c r="AC31" s="781" t="s">
        <v>1598</v>
      </c>
      <c r="AD31" s="781">
        <v>20</v>
      </c>
      <c r="AE31" s="806" t="s">
        <v>342</v>
      </c>
      <c r="AF31" s="781" t="s">
        <v>343</v>
      </c>
      <c r="AG31" s="521">
        <v>9.15</v>
      </c>
      <c r="AH31" s="781" t="s">
        <v>292</v>
      </c>
      <c r="AI31" s="521">
        <v>9.15</v>
      </c>
      <c r="AJ31" s="521">
        <v>100</v>
      </c>
      <c r="AK31" s="781">
        <v>211</v>
      </c>
      <c r="AL31" s="781" t="s">
        <v>1631</v>
      </c>
      <c r="AM31" s="781">
        <v>20</v>
      </c>
      <c r="AN31" s="806" t="s">
        <v>1011</v>
      </c>
      <c r="AO31" s="781" t="s">
        <v>1012</v>
      </c>
      <c r="AP31" s="521">
        <v>12.26</v>
      </c>
      <c r="AQ31" s="781" t="s">
        <v>292</v>
      </c>
      <c r="AR31" s="521">
        <v>12.26</v>
      </c>
      <c r="AS31" s="521">
        <v>150</v>
      </c>
      <c r="AT31" s="781">
        <v>10</v>
      </c>
      <c r="AU31" s="1459" t="s">
        <v>2347</v>
      </c>
      <c r="AV31" s="781">
        <v>9</v>
      </c>
      <c r="AW31" s="806" t="s">
        <v>2344</v>
      </c>
      <c r="AX31" s="781" t="s">
        <v>2345</v>
      </c>
      <c r="AY31" s="521" t="s">
        <v>2334</v>
      </c>
      <c r="AZ31" s="781" t="s">
        <v>292</v>
      </c>
      <c r="BA31" s="521" t="s">
        <v>2334</v>
      </c>
      <c r="BB31" s="521">
        <v>752.77</v>
      </c>
      <c r="BC31" s="763">
        <v>56</v>
      </c>
      <c r="BD31" s="1465" t="s">
        <v>2443</v>
      </c>
      <c r="BE31" s="870">
        <v>10</v>
      </c>
      <c r="BF31" s="822" t="s">
        <v>2408</v>
      </c>
      <c r="BG31" s="822" t="s">
        <v>2446</v>
      </c>
      <c r="BH31" s="1504" t="s">
        <v>2334</v>
      </c>
      <c r="BI31" s="781" t="s">
        <v>292</v>
      </c>
      <c r="BJ31" s="1504" t="s">
        <v>2334</v>
      </c>
      <c r="BK31" s="521">
        <v>115.5348</v>
      </c>
      <c r="BL31" s="763">
        <v>102</v>
      </c>
      <c r="BM31" s="1465" t="s">
        <v>2580</v>
      </c>
      <c r="BN31" s="870">
        <v>9</v>
      </c>
      <c r="BO31" s="822" t="s">
        <v>2568</v>
      </c>
      <c r="BP31" s="822" t="s">
        <v>2585</v>
      </c>
      <c r="BQ31" s="1504" t="s">
        <v>2334</v>
      </c>
      <c r="BR31" s="781" t="s">
        <v>292</v>
      </c>
      <c r="BS31" s="1504" t="s">
        <v>2334</v>
      </c>
      <c r="BT31" s="521">
        <v>319.16800000000001</v>
      </c>
    </row>
    <row r="32" spans="1:72" s="159" customFormat="1" ht="12.6" customHeight="1">
      <c r="A32" s="729">
        <v>27</v>
      </c>
      <c r="B32" s="809" t="s">
        <v>2028</v>
      </c>
      <c r="C32" s="729">
        <v>5</v>
      </c>
      <c r="D32" s="729" t="s">
        <v>2029</v>
      </c>
      <c r="E32" s="729" t="s">
        <v>2030</v>
      </c>
      <c r="F32" s="732">
        <v>6.25</v>
      </c>
      <c r="G32" s="794" t="s">
        <v>2140</v>
      </c>
      <c r="H32" s="732">
        <v>7.72</v>
      </c>
      <c r="I32" s="732">
        <v>5699.41</v>
      </c>
      <c r="J32" s="740">
        <v>73</v>
      </c>
      <c r="K32" s="741" t="s">
        <v>2405</v>
      </c>
      <c r="L32" s="741">
        <v>10</v>
      </c>
      <c r="M32" s="741" t="s">
        <v>2406</v>
      </c>
      <c r="N32" s="741" t="s">
        <v>2407</v>
      </c>
      <c r="O32" s="739">
        <v>12.15</v>
      </c>
      <c r="P32" s="741" t="s">
        <v>2605</v>
      </c>
      <c r="Q32" s="739">
        <v>12.57</v>
      </c>
      <c r="R32" s="739">
        <v>6404.73</v>
      </c>
      <c r="S32" s="729">
        <v>120</v>
      </c>
      <c r="T32" s="809" t="s">
        <v>1611</v>
      </c>
      <c r="U32" s="794">
        <v>15</v>
      </c>
      <c r="V32" s="794" t="s">
        <v>1049</v>
      </c>
      <c r="W32" s="732" t="s">
        <v>1050</v>
      </c>
      <c r="X32" s="732">
        <v>11.5</v>
      </c>
      <c r="Y32" s="794" t="s">
        <v>292</v>
      </c>
      <c r="Z32" s="732">
        <v>11.5</v>
      </c>
      <c r="AA32" s="732">
        <v>250</v>
      </c>
      <c r="AB32" s="249">
        <v>166</v>
      </c>
      <c r="AC32" s="809" t="s">
        <v>1605</v>
      </c>
      <c r="AD32" s="794">
        <v>20</v>
      </c>
      <c r="AE32" s="794" t="s">
        <v>1606</v>
      </c>
      <c r="AF32" s="732" t="s">
        <v>1607</v>
      </c>
      <c r="AG32" s="732">
        <v>9.17</v>
      </c>
      <c r="AH32" s="794" t="s">
        <v>292</v>
      </c>
      <c r="AI32" s="732">
        <v>9.17</v>
      </c>
      <c r="AJ32" s="732">
        <v>80</v>
      </c>
      <c r="AK32" s="729">
        <v>212</v>
      </c>
      <c r="AL32" s="809" t="s">
        <v>1635</v>
      </c>
      <c r="AM32" s="794">
        <v>20</v>
      </c>
      <c r="AN32" s="794" t="s">
        <v>1014</v>
      </c>
      <c r="AO32" s="732" t="s">
        <v>1015</v>
      </c>
      <c r="AP32" s="732">
        <v>12.24</v>
      </c>
      <c r="AQ32" s="794" t="s">
        <v>292</v>
      </c>
      <c r="AR32" s="732">
        <v>12.24</v>
      </c>
      <c r="AS32" s="732">
        <v>150</v>
      </c>
      <c r="AT32" s="729">
        <v>11</v>
      </c>
      <c r="AU32" s="1583" t="s">
        <v>2348</v>
      </c>
      <c r="AV32" s="794">
        <v>9</v>
      </c>
      <c r="AW32" s="794" t="s">
        <v>2344</v>
      </c>
      <c r="AX32" s="732" t="s">
        <v>2345</v>
      </c>
      <c r="AY32" s="732" t="s">
        <v>2334</v>
      </c>
      <c r="AZ32" s="794" t="s">
        <v>292</v>
      </c>
      <c r="BA32" s="732" t="s">
        <v>2334</v>
      </c>
      <c r="BB32" s="732">
        <v>274.25</v>
      </c>
      <c r="BC32" s="740">
        <v>57</v>
      </c>
      <c r="BD32" s="1466" t="s">
        <v>2438</v>
      </c>
      <c r="BE32" s="869">
        <v>10</v>
      </c>
      <c r="BF32" s="823" t="s">
        <v>2408</v>
      </c>
      <c r="BG32" s="740" t="s">
        <v>2446</v>
      </c>
      <c r="BH32" s="1503" t="s">
        <v>2334</v>
      </c>
      <c r="BI32" s="729" t="s">
        <v>292</v>
      </c>
      <c r="BJ32" s="1503" t="s">
        <v>2334</v>
      </c>
      <c r="BK32" s="520">
        <v>36.376100000000001</v>
      </c>
      <c r="BL32" s="740">
        <v>103</v>
      </c>
      <c r="BM32" s="1466" t="s">
        <v>2581</v>
      </c>
      <c r="BN32" s="869">
        <v>9</v>
      </c>
      <c r="BO32" s="823" t="s">
        <v>2568</v>
      </c>
      <c r="BP32" s="740" t="s">
        <v>2585</v>
      </c>
      <c r="BQ32" s="1503" t="s">
        <v>2334</v>
      </c>
      <c r="BR32" s="729" t="s">
        <v>292</v>
      </c>
      <c r="BS32" s="1503" t="s">
        <v>2334</v>
      </c>
      <c r="BT32" s="520">
        <v>484.4862</v>
      </c>
    </row>
    <row r="33" spans="1:72" s="233" customFormat="1" ht="12.6" customHeight="1">
      <c r="A33" s="781">
        <v>28</v>
      </c>
      <c r="B33" s="781" t="s">
        <v>2061</v>
      </c>
      <c r="C33" s="781">
        <v>5</v>
      </c>
      <c r="D33" s="781" t="s">
        <v>2062</v>
      </c>
      <c r="E33" s="781" t="s">
        <v>2063</v>
      </c>
      <c r="F33" s="681">
        <v>7.7</v>
      </c>
      <c r="G33" s="781" t="s">
        <v>2079</v>
      </c>
      <c r="H33" s="681">
        <v>7.8</v>
      </c>
      <c r="I33" s="521">
        <v>4499.6000000000004</v>
      </c>
      <c r="J33" s="763">
        <v>74</v>
      </c>
      <c r="K33" s="763" t="s">
        <v>2478</v>
      </c>
      <c r="L33" s="763">
        <v>10</v>
      </c>
      <c r="M33" s="763" t="s">
        <v>2479</v>
      </c>
      <c r="N33" s="763" t="s">
        <v>2480</v>
      </c>
      <c r="O33" s="795">
        <v>12.602</v>
      </c>
      <c r="P33" s="763" t="s">
        <v>2624</v>
      </c>
      <c r="Q33" s="795">
        <v>12.48</v>
      </c>
      <c r="R33" s="795">
        <v>11500</v>
      </c>
      <c r="S33" s="781">
        <v>121</v>
      </c>
      <c r="T33" s="781" t="s">
        <v>1616</v>
      </c>
      <c r="U33" s="781">
        <v>15</v>
      </c>
      <c r="V33" s="806" t="s">
        <v>1059</v>
      </c>
      <c r="W33" s="781" t="s">
        <v>1060</v>
      </c>
      <c r="X33" s="521">
        <v>11.42</v>
      </c>
      <c r="Y33" s="781" t="s">
        <v>292</v>
      </c>
      <c r="Z33" s="521">
        <v>11.42</v>
      </c>
      <c r="AA33" s="521">
        <v>250</v>
      </c>
      <c r="AB33" s="781">
        <v>167</v>
      </c>
      <c r="AC33" s="781" t="s">
        <v>1612</v>
      </c>
      <c r="AD33" s="781">
        <v>20</v>
      </c>
      <c r="AE33" s="806" t="s">
        <v>656</v>
      </c>
      <c r="AF33" s="781" t="s">
        <v>657</v>
      </c>
      <c r="AG33" s="521">
        <v>9.1999999999999993</v>
      </c>
      <c r="AH33" s="781" t="s">
        <v>292</v>
      </c>
      <c r="AI33" s="521">
        <v>9.1999999999999993</v>
      </c>
      <c r="AJ33" s="521">
        <v>75</v>
      </c>
      <c r="AK33" s="781">
        <v>213</v>
      </c>
      <c r="AL33" s="781" t="s">
        <v>1639</v>
      </c>
      <c r="AM33" s="781">
        <v>20</v>
      </c>
      <c r="AN33" s="806" t="s">
        <v>1018</v>
      </c>
      <c r="AO33" s="781" t="s">
        <v>1022</v>
      </c>
      <c r="AP33" s="521">
        <v>12.139999999999999</v>
      </c>
      <c r="AQ33" s="781" t="s">
        <v>292</v>
      </c>
      <c r="AR33" s="521">
        <v>12.139999999999999</v>
      </c>
      <c r="AS33" s="521">
        <v>300</v>
      </c>
      <c r="AT33" s="781">
        <v>12</v>
      </c>
      <c r="AU33" s="1459" t="s">
        <v>2349</v>
      </c>
      <c r="AV33" s="781">
        <v>9</v>
      </c>
      <c r="AW33" s="806" t="s">
        <v>2350</v>
      </c>
      <c r="AX33" s="781" t="s">
        <v>2351</v>
      </c>
      <c r="AY33" s="521" t="s">
        <v>2334</v>
      </c>
      <c r="AZ33" s="781" t="s">
        <v>292</v>
      </c>
      <c r="BA33" s="521" t="s">
        <v>2334</v>
      </c>
      <c r="BB33" s="521">
        <v>48.24</v>
      </c>
      <c r="BC33" s="763">
        <v>58</v>
      </c>
      <c r="BD33" s="1465" t="s">
        <v>2439</v>
      </c>
      <c r="BE33" s="763">
        <v>10</v>
      </c>
      <c r="BF33" s="763" t="s">
        <v>2408</v>
      </c>
      <c r="BG33" s="763" t="s">
        <v>2446</v>
      </c>
      <c r="BH33" s="1131" t="s">
        <v>2334</v>
      </c>
      <c r="BI33" s="763" t="s">
        <v>292</v>
      </c>
      <c r="BJ33" s="1504" t="s">
        <v>2334</v>
      </c>
      <c r="BK33" s="795">
        <v>64.739999999999995</v>
      </c>
      <c r="BL33" s="763">
        <v>104</v>
      </c>
      <c r="BM33" s="1465" t="s">
        <v>2582</v>
      </c>
      <c r="BN33" s="763">
        <v>9</v>
      </c>
      <c r="BO33" s="763" t="s">
        <v>2568</v>
      </c>
      <c r="BP33" s="763" t="s">
        <v>2585</v>
      </c>
      <c r="BQ33" s="1131" t="s">
        <v>2334</v>
      </c>
      <c r="BR33" s="763" t="s">
        <v>292</v>
      </c>
      <c r="BS33" s="1504" t="s">
        <v>2334</v>
      </c>
      <c r="BT33" s="795">
        <v>75.039400000000001</v>
      </c>
    </row>
    <row r="34" spans="1:72" s="233" customFormat="1" ht="12.6" customHeight="1">
      <c r="A34" s="729">
        <v>29</v>
      </c>
      <c r="B34" s="809" t="s">
        <v>2090</v>
      </c>
      <c r="C34" s="729">
        <v>5</v>
      </c>
      <c r="D34" s="729" t="s">
        <v>2091</v>
      </c>
      <c r="E34" s="729" t="s">
        <v>2092</v>
      </c>
      <c r="F34" s="732">
        <v>7.89</v>
      </c>
      <c r="G34" s="794" t="s">
        <v>2128</v>
      </c>
      <c r="H34" s="732">
        <v>7.8</v>
      </c>
      <c r="I34" s="732">
        <v>3300</v>
      </c>
      <c r="J34" s="740">
        <v>75</v>
      </c>
      <c r="K34" s="741" t="s">
        <v>2636</v>
      </c>
      <c r="L34" s="741">
        <v>10</v>
      </c>
      <c r="M34" s="741" t="s">
        <v>2637</v>
      </c>
      <c r="N34" s="741" t="s">
        <v>2638</v>
      </c>
      <c r="O34" s="739">
        <v>12.08</v>
      </c>
      <c r="P34" s="741" t="s">
        <v>2664</v>
      </c>
      <c r="Q34" s="739">
        <v>10.32</v>
      </c>
      <c r="R34" s="739">
        <v>7000</v>
      </c>
      <c r="S34" s="729">
        <v>122</v>
      </c>
      <c r="T34" s="809" t="s">
        <v>1624</v>
      </c>
      <c r="U34" s="794">
        <v>15</v>
      </c>
      <c r="V34" s="794" t="s">
        <v>1061</v>
      </c>
      <c r="W34" s="732" t="s">
        <v>1062</v>
      </c>
      <c r="X34" s="732">
        <v>11.469999999999999</v>
      </c>
      <c r="Y34" s="794" t="s">
        <v>1625</v>
      </c>
      <c r="Z34" s="732">
        <v>11.4</v>
      </c>
      <c r="AA34" s="732">
        <v>680</v>
      </c>
      <c r="AB34" s="249">
        <v>168</v>
      </c>
      <c r="AC34" s="809" t="s">
        <v>1617</v>
      </c>
      <c r="AD34" s="794">
        <v>20</v>
      </c>
      <c r="AE34" s="794" t="s">
        <v>1618</v>
      </c>
      <c r="AF34" s="732" t="s">
        <v>1619</v>
      </c>
      <c r="AG34" s="732">
        <v>9.15</v>
      </c>
      <c r="AH34" s="794" t="s">
        <v>292</v>
      </c>
      <c r="AI34" s="732">
        <v>9.15</v>
      </c>
      <c r="AJ34" s="732">
        <v>75</v>
      </c>
      <c r="AK34" s="729">
        <v>214</v>
      </c>
      <c r="AL34" s="809" t="s">
        <v>1643</v>
      </c>
      <c r="AM34" s="794">
        <v>20</v>
      </c>
      <c r="AN34" s="794" t="s">
        <v>1020</v>
      </c>
      <c r="AO34" s="732" t="s">
        <v>1023</v>
      </c>
      <c r="AP34" s="732">
        <v>12.139999999999999</v>
      </c>
      <c r="AQ34" s="794" t="s">
        <v>292</v>
      </c>
      <c r="AR34" s="732">
        <v>12.139999999999999</v>
      </c>
      <c r="AS34" s="732">
        <v>300</v>
      </c>
      <c r="AT34" s="729">
        <v>13</v>
      </c>
      <c r="AU34" s="1583" t="s">
        <v>2352</v>
      </c>
      <c r="AV34" s="794">
        <v>9</v>
      </c>
      <c r="AW34" s="794" t="s">
        <v>2350</v>
      </c>
      <c r="AX34" s="732" t="s">
        <v>2351</v>
      </c>
      <c r="AY34" s="732" t="s">
        <v>2334</v>
      </c>
      <c r="AZ34" s="794" t="s">
        <v>292</v>
      </c>
      <c r="BA34" s="732" t="s">
        <v>2334</v>
      </c>
      <c r="BB34" s="732">
        <v>51.7</v>
      </c>
      <c r="BC34" s="740">
        <v>59</v>
      </c>
      <c r="BD34" s="1466" t="s">
        <v>2440</v>
      </c>
      <c r="BE34" s="740">
        <v>10</v>
      </c>
      <c r="BF34" s="621" t="s">
        <v>2408</v>
      </c>
      <c r="BG34" s="740" t="s">
        <v>2446</v>
      </c>
      <c r="BH34" s="1130" t="s">
        <v>2334</v>
      </c>
      <c r="BI34" s="740" t="s">
        <v>292</v>
      </c>
      <c r="BJ34" s="1503" t="s">
        <v>2334</v>
      </c>
      <c r="BK34" s="621">
        <v>75.4863</v>
      </c>
      <c r="BL34" s="740">
        <v>105</v>
      </c>
      <c r="BM34" s="1466" t="s">
        <v>2583</v>
      </c>
      <c r="BN34" s="740">
        <v>9</v>
      </c>
      <c r="BO34" s="621" t="s">
        <v>2568</v>
      </c>
      <c r="BP34" s="740" t="s">
        <v>2585</v>
      </c>
      <c r="BQ34" s="1130" t="s">
        <v>2334</v>
      </c>
      <c r="BR34" s="740" t="s">
        <v>292</v>
      </c>
      <c r="BS34" s="1503" t="s">
        <v>2334</v>
      </c>
      <c r="BT34" s="621">
        <v>273.71629999999999</v>
      </c>
    </row>
    <row r="35" spans="1:72" s="159" customFormat="1" ht="12.6" customHeight="1">
      <c r="A35" s="781">
        <v>30</v>
      </c>
      <c r="B35" s="781" t="s">
        <v>2148</v>
      </c>
      <c r="C35" s="781">
        <v>5</v>
      </c>
      <c r="D35" s="781" t="s">
        <v>2149</v>
      </c>
      <c r="E35" s="781" t="s">
        <v>2150</v>
      </c>
      <c r="F35" s="681">
        <v>7.85</v>
      </c>
      <c r="G35" s="781" t="s">
        <v>2168</v>
      </c>
      <c r="H35" s="681">
        <v>8.1999999999999993</v>
      </c>
      <c r="I35" s="521">
        <v>5800</v>
      </c>
      <c r="J35" s="763">
        <v>76</v>
      </c>
      <c r="K35" s="763" t="s">
        <v>2677</v>
      </c>
      <c r="L35" s="763">
        <v>10</v>
      </c>
      <c r="M35" s="763" t="s">
        <v>2678</v>
      </c>
      <c r="N35" s="763" t="s">
        <v>2679</v>
      </c>
      <c r="O35" s="795">
        <v>12.05</v>
      </c>
      <c r="P35" s="763" t="s">
        <v>2695</v>
      </c>
      <c r="Q35" s="795">
        <v>12.48</v>
      </c>
      <c r="R35" s="795">
        <v>7500</v>
      </c>
      <c r="S35" s="781">
        <v>123</v>
      </c>
      <c r="T35" s="781" t="s">
        <v>1629</v>
      </c>
      <c r="U35" s="781">
        <v>15</v>
      </c>
      <c r="V35" s="806" t="s">
        <v>1164</v>
      </c>
      <c r="W35" s="781" t="s">
        <v>659</v>
      </c>
      <c r="X35" s="1423">
        <v>10.059999999999999</v>
      </c>
      <c r="Y35" s="1424" t="s">
        <v>1520</v>
      </c>
      <c r="Z35" s="1423">
        <v>9.09</v>
      </c>
      <c r="AA35" s="1423">
        <v>3000</v>
      </c>
      <c r="AB35" s="781">
        <v>169</v>
      </c>
      <c r="AC35" s="781" t="s">
        <v>1626</v>
      </c>
      <c r="AD35" s="781">
        <v>20</v>
      </c>
      <c r="AE35" s="806" t="s">
        <v>658</v>
      </c>
      <c r="AF35" s="781" t="s">
        <v>659</v>
      </c>
      <c r="AG35" s="521">
        <v>9.1999999999999993</v>
      </c>
      <c r="AH35" s="781" t="s">
        <v>292</v>
      </c>
      <c r="AI35" s="521">
        <v>9.1999999999999993</v>
      </c>
      <c r="AJ35" s="521">
        <v>125</v>
      </c>
      <c r="AK35" s="781">
        <v>215</v>
      </c>
      <c r="AL35" s="781" t="s">
        <v>1650</v>
      </c>
      <c r="AM35" s="781">
        <v>20</v>
      </c>
      <c r="AN35" s="806" t="s">
        <v>1024</v>
      </c>
      <c r="AO35" s="781" t="s">
        <v>1025</v>
      </c>
      <c r="AP35" s="521">
        <v>12.139999999999999</v>
      </c>
      <c r="AQ35" s="781" t="s">
        <v>292</v>
      </c>
      <c r="AR35" s="521">
        <v>12.139999999999999</v>
      </c>
      <c r="AS35" s="521">
        <v>350</v>
      </c>
      <c r="AT35" s="781">
        <v>14</v>
      </c>
      <c r="AU35" s="1459" t="s">
        <v>2353</v>
      </c>
      <c r="AV35" s="781">
        <v>9</v>
      </c>
      <c r="AW35" s="806" t="s">
        <v>2350</v>
      </c>
      <c r="AX35" s="781" t="s">
        <v>2351</v>
      </c>
      <c r="AY35" s="521" t="s">
        <v>2334</v>
      </c>
      <c r="AZ35" s="781" t="s">
        <v>292</v>
      </c>
      <c r="BA35" s="521" t="s">
        <v>2334</v>
      </c>
      <c r="BB35" s="521">
        <v>51.47</v>
      </c>
      <c r="BC35" s="763">
        <v>60</v>
      </c>
      <c r="BD35" s="1465" t="s">
        <v>2441</v>
      </c>
      <c r="BE35" s="763">
        <v>10</v>
      </c>
      <c r="BF35" s="763" t="s">
        <v>2444</v>
      </c>
      <c r="BG35" s="763" t="s">
        <v>2447</v>
      </c>
      <c r="BH35" s="1131" t="s">
        <v>2334</v>
      </c>
      <c r="BI35" s="763" t="s">
        <v>292</v>
      </c>
      <c r="BJ35" s="1504" t="s">
        <v>2334</v>
      </c>
      <c r="BK35" s="795">
        <v>20.03</v>
      </c>
      <c r="BL35" s="763">
        <v>106</v>
      </c>
      <c r="BM35" s="1465" t="s">
        <v>2584</v>
      </c>
      <c r="BN35" s="763">
        <v>9</v>
      </c>
      <c r="BO35" s="763" t="s">
        <v>2568</v>
      </c>
      <c r="BP35" s="763" t="s">
        <v>2585</v>
      </c>
      <c r="BQ35" s="1131" t="s">
        <v>2334</v>
      </c>
      <c r="BR35" s="763" t="s">
        <v>292</v>
      </c>
      <c r="BS35" s="1504" t="s">
        <v>2334</v>
      </c>
      <c r="BT35" s="795">
        <v>35</v>
      </c>
    </row>
    <row r="36" spans="1:72" s="159" customFormat="1" ht="12.6" customHeight="1">
      <c r="A36" s="729">
        <v>31</v>
      </c>
      <c r="B36" s="809" t="s">
        <v>2161</v>
      </c>
      <c r="C36" s="729">
        <v>5</v>
      </c>
      <c r="D36" s="729" t="s">
        <v>2162</v>
      </c>
      <c r="E36" s="729" t="s">
        <v>2163</v>
      </c>
      <c r="F36" s="732">
        <v>8.2899999999999991</v>
      </c>
      <c r="G36" s="794" t="s">
        <v>2901</v>
      </c>
      <c r="H36" s="732">
        <v>10.51</v>
      </c>
      <c r="I36" s="732">
        <v>8700</v>
      </c>
      <c r="J36" s="740">
        <v>77</v>
      </c>
      <c r="K36" s="741" t="s">
        <v>2715</v>
      </c>
      <c r="L36" s="741">
        <v>10</v>
      </c>
      <c r="M36" s="741" t="s">
        <v>2716</v>
      </c>
      <c r="N36" s="741" t="s">
        <v>2717</v>
      </c>
      <c r="O36" s="739">
        <v>11.88</v>
      </c>
      <c r="P36" s="741" t="s">
        <v>2725</v>
      </c>
      <c r="Q36" s="739">
        <v>12.35</v>
      </c>
      <c r="R36" s="739">
        <v>7742.75</v>
      </c>
      <c r="S36" s="729">
        <v>124</v>
      </c>
      <c r="T36" s="809" t="s">
        <v>1633</v>
      </c>
      <c r="U36" s="794">
        <v>15</v>
      </c>
      <c r="V36" s="794" t="s">
        <v>1166</v>
      </c>
      <c r="W36" s="732" t="s">
        <v>1167</v>
      </c>
      <c r="X36" s="732">
        <v>8.44</v>
      </c>
      <c r="Y36" s="794" t="s">
        <v>1405</v>
      </c>
      <c r="Z36" s="732">
        <v>7.99</v>
      </c>
      <c r="AA36" s="732">
        <v>3000</v>
      </c>
      <c r="AB36" s="249">
        <v>170</v>
      </c>
      <c r="AC36" s="809" t="s">
        <v>1630</v>
      </c>
      <c r="AD36" s="794">
        <v>20</v>
      </c>
      <c r="AE36" s="794" t="s">
        <v>660</v>
      </c>
      <c r="AF36" s="732" t="s">
        <v>661</v>
      </c>
      <c r="AG36" s="732">
        <v>9.23</v>
      </c>
      <c r="AH36" s="794" t="s">
        <v>292</v>
      </c>
      <c r="AI36" s="732">
        <v>9.23</v>
      </c>
      <c r="AJ36" s="732">
        <v>125</v>
      </c>
      <c r="AK36" s="729">
        <v>216</v>
      </c>
      <c r="AL36" s="809" t="s">
        <v>1656</v>
      </c>
      <c r="AM36" s="794">
        <v>20</v>
      </c>
      <c r="AN36" s="794" t="s">
        <v>1027</v>
      </c>
      <c r="AO36" s="732" t="s">
        <v>1026</v>
      </c>
      <c r="AP36" s="732">
        <v>12.120000000000001</v>
      </c>
      <c r="AQ36" s="794" t="s">
        <v>292</v>
      </c>
      <c r="AR36" s="732">
        <v>12.120000000000001</v>
      </c>
      <c r="AS36" s="732">
        <v>350</v>
      </c>
      <c r="AT36" s="729">
        <v>15</v>
      </c>
      <c r="AU36" s="1583" t="s">
        <v>2354</v>
      </c>
      <c r="AV36" s="794">
        <v>10</v>
      </c>
      <c r="AW36" s="794" t="s">
        <v>2297</v>
      </c>
      <c r="AX36" s="732" t="s">
        <v>2355</v>
      </c>
      <c r="AY36" s="732" t="s">
        <v>2334</v>
      </c>
      <c r="AZ36" s="794" t="s">
        <v>292</v>
      </c>
      <c r="BA36" s="732" t="s">
        <v>2334</v>
      </c>
      <c r="BB36" s="732">
        <v>1985.93</v>
      </c>
      <c r="BC36" s="740">
        <v>61</v>
      </c>
      <c r="BD36" s="1466" t="s">
        <v>2442</v>
      </c>
      <c r="BE36" s="740">
        <v>10</v>
      </c>
      <c r="BF36" s="740" t="s">
        <v>2444</v>
      </c>
      <c r="BG36" s="740" t="s">
        <v>2447</v>
      </c>
      <c r="BH36" s="1130" t="s">
        <v>2334</v>
      </c>
      <c r="BI36" s="740" t="s">
        <v>292</v>
      </c>
      <c r="BJ36" s="1503" t="s">
        <v>2334</v>
      </c>
      <c r="BK36" s="621">
        <v>18.048400000000001</v>
      </c>
      <c r="BL36" s="740">
        <v>107</v>
      </c>
      <c r="BM36" s="1466" t="s">
        <v>2606</v>
      </c>
      <c r="BN36" s="740">
        <v>9</v>
      </c>
      <c r="BO36" s="740" t="s">
        <v>2610</v>
      </c>
      <c r="BP36" s="740" t="s">
        <v>2611</v>
      </c>
      <c r="BQ36" s="1130" t="s">
        <v>2334</v>
      </c>
      <c r="BR36" s="740" t="s">
        <v>292</v>
      </c>
      <c r="BS36" s="1503" t="s">
        <v>2334</v>
      </c>
      <c r="BT36" s="621">
        <v>1581.1470999999999</v>
      </c>
    </row>
    <row r="37" spans="1:72" s="159" customFormat="1" ht="12.6" customHeight="1">
      <c r="A37" s="781">
        <v>32</v>
      </c>
      <c r="B37" s="781" t="s">
        <v>2176</v>
      </c>
      <c r="C37" s="781">
        <v>5</v>
      </c>
      <c r="D37" s="781" t="s">
        <v>2177</v>
      </c>
      <c r="E37" s="781" t="s">
        <v>2178</v>
      </c>
      <c r="F37" s="681">
        <v>8.26</v>
      </c>
      <c r="G37" s="781" t="s">
        <v>2182</v>
      </c>
      <c r="H37" s="681">
        <v>8.5</v>
      </c>
      <c r="I37" s="521">
        <v>6000</v>
      </c>
      <c r="J37" s="763">
        <v>79</v>
      </c>
      <c r="K37" s="763" t="s">
        <v>2747</v>
      </c>
      <c r="L37" s="763">
        <v>10</v>
      </c>
      <c r="M37" s="763" t="s">
        <v>2748</v>
      </c>
      <c r="N37" s="763" t="s">
        <v>2749</v>
      </c>
      <c r="O37" s="795">
        <v>10.48</v>
      </c>
      <c r="P37" s="763" t="s">
        <v>3010</v>
      </c>
      <c r="Q37" s="795">
        <v>10.27</v>
      </c>
      <c r="R37" s="795">
        <f>2000+8600</f>
        <v>10600</v>
      </c>
      <c r="S37" s="781">
        <v>125</v>
      </c>
      <c r="T37" s="781" t="s">
        <v>1637</v>
      </c>
      <c r="U37" s="781">
        <v>15</v>
      </c>
      <c r="V37" s="806" t="s">
        <v>1183</v>
      </c>
      <c r="W37" s="781" t="s">
        <v>678</v>
      </c>
      <c r="X37" s="521">
        <v>7.79</v>
      </c>
      <c r="Y37" s="781" t="s">
        <v>1408</v>
      </c>
      <c r="Z37" s="521">
        <v>7.52</v>
      </c>
      <c r="AA37" s="521">
        <v>2850</v>
      </c>
      <c r="AB37" s="781">
        <v>171</v>
      </c>
      <c r="AC37" s="781" t="s">
        <v>1634</v>
      </c>
      <c r="AD37" s="781">
        <v>20</v>
      </c>
      <c r="AE37" s="806" t="s">
        <v>662</v>
      </c>
      <c r="AF37" s="781" t="s">
        <v>663</v>
      </c>
      <c r="AG37" s="521">
        <v>9.25</v>
      </c>
      <c r="AH37" s="781" t="s">
        <v>292</v>
      </c>
      <c r="AI37" s="521">
        <v>9.25</v>
      </c>
      <c r="AJ37" s="521">
        <v>125</v>
      </c>
      <c r="AK37" s="781">
        <v>217</v>
      </c>
      <c r="AL37" s="781" t="s">
        <v>1662</v>
      </c>
      <c r="AM37" s="781">
        <v>20</v>
      </c>
      <c r="AN37" s="806" t="s">
        <v>1043</v>
      </c>
      <c r="AO37" s="781" t="s">
        <v>1047</v>
      </c>
      <c r="AP37" s="521">
        <v>12.1</v>
      </c>
      <c r="AQ37" s="781" t="s">
        <v>292</v>
      </c>
      <c r="AR37" s="521">
        <v>12.1</v>
      </c>
      <c r="AS37" s="521">
        <v>250</v>
      </c>
      <c r="AT37" s="781">
        <v>16</v>
      </c>
      <c r="AU37" s="1459" t="s">
        <v>2356</v>
      </c>
      <c r="AV37" s="781">
        <v>10</v>
      </c>
      <c r="AW37" s="806" t="s">
        <v>2297</v>
      </c>
      <c r="AX37" s="781" t="s">
        <v>2355</v>
      </c>
      <c r="AY37" s="521" t="s">
        <v>2334</v>
      </c>
      <c r="AZ37" s="781" t="s">
        <v>292</v>
      </c>
      <c r="BA37" s="521" t="s">
        <v>2334</v>
      </c>
      <c r="BB37" s="521">
        <v>77.56</v>
      </c>
      <c r="BC37" s="763">
        <v>62</v>
      </c>
      <c r="BD37" s="1465" t="s">
        <v>2445</v>
      </c>
      <c r="BE37" s="763">
        <v>10</v>
      </c>
      <c r="BF37" s="763" t="s">
        <v>2444</v>
      </c>
      <c r="BG37" s="763" t="s">
        <v>2447</v>
      </c>
      <c r="BH37" s="1131" t="s">
        <v>2334</v>
      </c>
      <c r="BI37" s="763" t="s">
        <v>292</v>
      </c>
      <c r="BJ37" s="1504" t="s">
        <v>2334</v>
      </c>
      <c r="BK37" s="795">
        <v>6.0328999999999997</v>
      </c>
      <c r="BL37" s="763">
        <v>108</v>
      </c>
      <c r="BM37" s="1465" t="s">
        <v>2607</v>
      </c>
      <c r="BN37" s="763">
        <v>9</v>
      </c>
      <c r="BO37" s="763" t="s">
        <v>2610</v>
      </c>
      <c r="BP37" s="763" t="s">
        <v>2611</v>
      </c>
      <c r="BQ37" s="1131" t="s">
        <v>2334</v>
      </c>
      <c r="BR37" s="763" t="s">
        <v>292</v>
      </c>
      <c r="BS37" s="1504" t="s">
        <v>2334</v>
      </c>
      <c r="BT37" s="795">
        <v>249.5</v>
      </c>
    </row>
    <row r="38" spans="1:72" s="159" customFormat="1" ht="12.6" customHeight="1">
      <c r="A38" s="729">
        <v>33</v>
      </c>
      <c r="B38" s="809" t="s">
        <v>2217</v>
      </c>
      <c r="C38" s="729">
        <v>5</v>
      </c>
      <c r="D38" s="729" t="s">
        <v>2218</v>
      </c>
      <c r="E38" s="729" t="s">
        <v>2219</v>
      </c>
      <c r="F38" s="732">
        <v>8.75</v>
      </c>
      <c r="G38" s="794" t="s">
        <v>2225</v>
      </c>
      <c r="H38" s="732">
        <v>9.0399999999999991</v>
      </c>
      <c r="I38" s="732">
        <v>6000</v>
      </c>
      <c r="J38" s="740">
        <v>80</v>
      </c>
      <c r="K38" s="741" t="s">
        <v>2843</v>
      </c>
      <c r="L38" s="741">
        <v>10</v>
      </c>
      <c r="M38" s="741" t="s">
        <v>2844</v>
      </c>
      <c r="N38" s="741" t="s">
        <v>2845</v>
      </c>
      <c r="O38" s="739">
        <v>10.39</v>
      </c>
      <c r="P38" s="741" t="s">
        <v>2977</v>
      </c>
      <c r="Q38" s="739">
        <v>10.23</v>
      </c>
      <c r="R38" s="739">
        <v>9500</v>
      </c>
      <c r="S38" s="729">
        <v>126</v>
      </c>
      <c r="T38" s="809" t="s">
        <v>1641</v>
      </c>
      <c r="U38" s="794">
        <v>15</v>
      </c>
      <c r="V38" s="794" t="s">
        <v>1447</v>
      </c>
      <c r="W38" s="732" t="s">
        <v>1448</v>
      </c>
      <c r="X38" s="732">
        <v>7.1999999999999993</v>
      </c>
      <c r="Y38" s="794" t="s">
        <v>1512</v>
      </c>
      <c r="Z38" s="732">
        <v>9.33</v>
      </c>
      <c r="AA38" s="732">
        <v>4500</v>
      </c>
      <c r="AB38" s="249">
        <v>172</v>
      </c>
      <c r="AC38" s="809" t="s">
        <v>1638</v>
      </c>
      <c r="AD38" s="794">
        <v>20</v>
      </c>
      <c r="AE38" s="794" t="s">
        <v>664</v>
      </c>
      <c r="AF38" s="732" t="s">
        <v>665</v>
      </c>
      <c r="AG38" s="732">
        <v>9.25</v>
      </c>
      <c r="AH38" s="794" t="s">
        <v>292</v>
      </c>
      <c r="AI38" s="732">
        <v>9.25</v>
      </c>
      <c r="AJ38" s="732">
        <v>125</v>
      </c>
      <c r="AK38" s="729">
        <v>218</v>
      </c>
      <c r="AL38" s="809" t="s">
        <v>1665</v>
      </c>
      <c r="AM38" s="794">
        <v>20</v>
      </c>
      <c r="AN38" s="794" t="s">
        <v>1045</v>
      </c>
      <c r="AO38" s="732" t="s">
        <v>1048</v>
      </c>
      <c r="AP38" s="732">
        <v>11.89</v>
      </c>
      <c r="AQ38" s="794" t="s">
        <v>292</v>
      </c>
      <c r="AR38" s="732">
        <v>11.89</v>
      </c>
      <c r="AS38" s="732">
        <v>250</v>
      </c>
      <c r="AT38" s="729">
        <v>17</v>
      </c>
      <c r="AU38" s="1583" t="s">
        <v>2357</v>
      </c>
      <c r="AV38" s="794">
        <v>10</v>
      </c>
      <c r="AW38" s="794" t="s">
        <v>2358</v>
      </c>
      <c r="AX38" s="732" t="s">
        <v>1012</v>
      </c>
      <c r="AY38" s="732" t="s">
        <v>2334</v>
      </c>
      <c r="AZ38" s="794" t="s">
        <v>292</v>
      </c>
      <c r="BA38" s="732" t="s">
        <v>2334</v>
      </c>
      <c r="BB38" s="732">
        <v>1050.48</v>
      </c>
      <c r="BC38" s="794">
        <v>63</v>
      </c>
      <c r="BD38" s="1466" t="s">
        <v>2448</v>
      </c>
      <c r="BE38" s="740">
        <v>10</v>
      </c>
      <c r="BF38" s="740" t="s">
        <v>2444</v>
      </c>
      <c r="BG38" s="740" t="s">
        <v>2447</v>
      </c>
      <c r="BH38" s="1130" t="s">
        <v>1823</v>
      </c>
      <c r="BI38" s="740" t="s">
        <v>292</v>
      </c>
      <c r="BJ38" s="1503" t="s">
        <v>1823</v>
      </c>
      <c r="BK38" s="621">
        <v>218.24969999999999</v>
      </c>
      <c r="BL38" s="794">
        <v>109</v>
      </c>
      <c r="BM38" s="1466" t="s">
        <v>2438</v>
      </c>
      <c r="BN38" s="740">
        <v>9</v>
      </c>
      <c r="BO38" s="740" t="s">
        <v>2610</v>
      </c>
      <c r="BP38" s="740" t="s">
        <v>2611</v>
      </c>
      <c r="BQ38" s="1130" t="s">
        <v>2334</v>
      </c>
      <c r="BR38" s="740" t="s">
        <v>292</v>
      </c>
      <c r="BS38" s="1503" t="s">
        <v>2334</v>
      </c>
      <c r="BT38" s="621">
        <v>0.79039999999999999</v>
      </c>
    </row>
    <row r="39" spans="1:72" s="159" customFormat="1" ht="12.6" customHeight="1">
      <c r="A39" s="781">
        <v>34</v>
      </c>
      <c r="B39" s="781" t="s">
        <v>2229</v>
      </c>
      <c r="C39" s="781">
        <v>5</v>
      </c>
      <c r="D39" s="781" t="s">
        <v>2230</v>
      </c>
      <c r="E39" s="781" t="s">
        <v>2258</v>
      </c>
      <c r="F39" s="681">
        <v>9</v>
      </c>
      <c r="G39" s="781" t="s">
        <v>3009</v>
      </c>
      <c r="H39" s="681">
        <v>9.66</v>
      </c>
      <c r="I39" s="521">
        <f>3500+2500</f>
        <v>6000</v>
      </c>
      <c r="J39" s="763">
        <v>81</v>
      </c>
      <c r="K39" s="763" t="s">
        <v>1623</v>
      </c>
      <c r="L39" s="763">
        <v>15</v>
      </c>
      <c r="M39" s="763" t="s">
        <v>675</v>
      </c>
      <c r="N39" s="763" t="s">
        <v>676</v>
      </c>
      <c r="O39" s="795">
        <v>9.3000000000000007</v>
      </c>
      <c r="P39" s="763" t="s">
        <v>292</v>
      </c>
      <c r="Q39" s="795">
        <v>9.3000000000000007</v>
      </c>
      <c r="R39" s="795">
        <v>250</v>
      </c>
      <c r="S39" s="781">
        <v>127</v>
      </c>
      <c r="T39" s="781" t="s">
        <v>1647</v>
      </c>
      <c r="U39" s="781">
        <v>15</v>
      </c>
      <c r="V39" s="806" t="s">
        <v>1488</v>
      </c>
      <c r="W39" s="781" t="s">
        <v>1489</v>
      </c>
      <c r="X39" s="521">
        <v>7.55</v>
      </c>
      <c r="Y39" s="781" t="s">
        <v>1818</v>
      </c>
      <c r="Z39" s="521">
        <v>5.87</v>
      </c>
      <c r="AA39" s="521">
        <v>4150</v>
      </c>
      <c r="AB39" s="781">
        <v>173</v>
      </c>
      <c r="AC39" s="781" t="s">
        <v>1642</v>
      </c>
      <c r="AD39" s="781">
        <v>20</v>
      </c>
      <c r="AE39" s="806" t="s">
        <v>666</v>
      </c>
      <c r="AF39" s="781" t="s">
        <v>667</v>
      </c>
      <c r="AG39" s="521">
        <v>9.4499999999999993</v>
      </c>
      <c r="AH39" s="781" t="s">
        <v>292</v>
      </c>
      <c r="AI39" s="521">
        <v>9.4499999999999993</v>
      </c>
      <c r="AJ39" s="521">
        <v>125</v>
      </c>
      <c r="AK39" s="781">
        <v>219</v>
      </c>
      <c r="AL39" s="781" t="s">
        <v>1671</v>
      </c>
      <c r="AM39" s="781">
        <v>20</v>
      </c>
      <c r="AN39" s="806" t="s">
        <v>1049</v>
      </c>
      <c r="AO39" s="781" t="s">
        <v>1051</v>
      </c>
      <c r="AP39" s="521">
        <v>11.98</v>
      </c>
      <c r="AQ39" s="781" t="s">
        <v>292</v>
      </c>
      <c r="AR39" s="521">
        <v>11.98</v>
      </c>
      <c r="AS39" s="521">
        <v>250</v>
      </c>
      <c r="AT39" s="781">
        <v>18</v>
      </c>
      <c r="AU39" s="1459" t="s">
        <v>2337</v>
      </c>
      <c r="AV39" s="781">
        <v>10</v>
      </c>
      <c r="AW39" s="806" t="s">
        <v>2341</v>
      </c>
      <c r="AX39" s="781" t="s">
        <v>2359</v>
      </c>
      <c r="AY39" s="521" t="s">
        <v>2334</v>
      </c>
      <c r="AZ39" s="781" t="s">
        <v>292</v>
      </c>
      <c r="BA39" s="521" t="s">
        <v>2334</v>
      </c>
      <c r="BB39" s="521">
        <v>666.11</v>
      </c>
      <c r="BC39" s="806">
        <v>64</v>
      </c>
      <c r="BD39" s="1465" t="s">
        <v>2450</v>
      </c>
      <c r="BE39" s="763">
        <v>10</v>
      </c>
      <c r="BF39" s="763" t="s">
        <v>2414</v>
      </c>
      <c r="BG39" s="763" t="s">
        <v>2449</v>
      </c>
      <c r="BH39" s="1131" t="s">
        <v>2334</v>
      </c>
      <c r="BI39" s="763" t="s">
        <v>292</v>
      </c>
      <c r="BJ39" s="1504" t="s">
        <v>2334</v>
      </c>
      <c r="BK39" s="795">
        <v>23.218399999999999</v>
      </c>
      <c r="BL39" s="806">
        <v>110</v>
      </c>
      <c r="BM39" s="1465" t="s">
        <v>2425</v>
      </c>
      <c r="BN39" s="763">
        <v>10</v>
      </c>
      <c r="BO39" s="763" t="s">
        <v>2610</v>
      </c>
      <c r="BP39" s="763" t="s">
        <v>2612</v>
      </c>
      <c r="BQ39" s="1131" t="s">
        <v>2334</v>
      </c>
      <c r="BR39" s="763" t="s">
        <v>292</v>
      </c>
      <c r="BS39" s="1504" t="s">
        <v>2334</v>
      </c>
      <c r="BT39" s="795">
        <v>5.82</v>
      </c>
    </row>
    <row r="40" spans="1:72" s="159" customFormat="1" ht="12.6" customHeight="1">
      <c r="A40" s="729">
        <v>35</v>
      </c>
      <c r="B40" s="809" t="s">
        <v>2256</v>
      </c>
      <c r="C40" s="729">
        <v>5</v>
      </c>
      <c r="D40" s="729" t="s">
        <v>2257</v>
      </c>
      <c r="E40" s="729" t="s">
        <v>2259</v>
      </c>
      <c r="F40" s="732">
        <v>9.1</v>
      </c>
      <c r="G40" s="794" t="s">
        <v>2976</v>
      </c>
      <c r="H40" s="732">
        <v>10.46</v>
      </c>
      <c r="I40" s="732">
        <v>6289.83</v>
      </c>
      <c r="J40" s="740">
        <v>82</v>
      </c>
      <c r="K40" s="741" t="s">
        <v>1628</v>
      </c>
      <c r="L40" s="741">
        <v>15</v>
      </c>
      <c r="M40" s="741" t="s">
        <v>963</v>
      </c>
      <c r="N40" s="741" t="s">
        <v>964</v>
      </c>
      <c r="O40" s="739">
        <v>9.35</v>
      </c>
      <c r="P40" s="741" t="s">
        <v>292</v>
      </c>
      <c r="Q40" s="739">
        <v>9.35</v>
      </c>
      <c r="R40" s="739">
        <v>250</v>
      </c>
      <c r="S40" s="729">
        <v>128</v>
      </c>
      <c r="T40" s="809" t="s">
        <v>1652</v>
      </c>
      <c r="U40" s="794">
        <v>15</v>
      </c>
      <c r="V40" s="794" t="s">
        <v>1653</v>
      </c>
      <c r="W40" s="732" t="s">
        <v>1654</v>
      </c>
      <c r="X40" s="732">
        <v>8.9</v>
      </c>
      <c r="Y40" s="794" t="s">
        <v>2263</v>
      </c>
      <c r="Z40" s="732">
        <v>10.55</v>
      </c>
      <c r="AA40" s="732">
        <v>5227.32</v>
      </c>
      <c r="AB40" s="249">
        <v>174</v>
      </c>
      <c r="AC40" s="809" t="s">
        <v>1649</v>
      </c>
      <c r="AD40" s="794">
        <v>20</v>
      </c>
      <c r="AE40" s="794" t="s">
        <v>668</v>
      </c>
      <c r="AF40" s="732" t="s">
        <v>1065</v>
      </c>
      <c r="AG40" s="732">
        <v>9.57</v>
      </c>
      <c r="AH40" s="794" t="s">
        <v>292</v>
      </c>
      <c r="AI40" s="732">
        <v>9.57</v>
      </c>
      <c r="AJ40" s="732">
        <v>125</v>
      </c>
      <c r="AK40" s="729">
        <v>220</v>
      </c>
      <c r="AL40" s="809" t="s">
        <v>1675</v>
      </c>
      <c r="AM40" s="794">
        <v>20</v>
      </c>
      <c r="AN40" s="794" t="s">
        <v>1059</v>
      </c>
      <c r="AO40" s="732" t="s">
        <v>1064</v>
      </c>
      <c r="AP40" s="732">
        <v>11.98</v>
      </c>
      <c r="AQ40" s="794" t="s">
        <v>292</v>
      </c>
      <c r="AR40" s="732">
        <v>11.98</v>
      </c>
      <c r="AS40" s="732">
        <v>250</v>
      </c>
      <c r="AT40" s="729">
        <v>19</v>
      </c>
      <c r="AU40" s="1583" t="s">
        <v>2335</v>
      </c>
      <c r="AV40" s="794">
        <v>10</v>
      </c>
      <c r="AW40" s="794" t="s">
        <v>2341</v>
      </c>
      <c r="AX40" s="732" t="s">
        <v>2359</v>
      </c>
      <c r="AY40" s="732" t="s">
        <v>2334</v>
      </c>
      <c r="AZ40" s="794" t="s">
        <v>292</v>
      </c>
      <c r="BA40" s="732" t="s">
        <v>2334</v>
      </c>
      <c r="BB40" s="732">
        <v>504.76</v>
      </c>
      <c r="BC40" s="794">
        <v>65</v>
      </c>
      <c r="BD40" s="1466" t="s">
        <v>2451</v>
      </c>
      <c r="BE40" s="740">
        <v>10</v>
      </c>
      <c r="BF40" s="740" t="s">
        <v>2414</v>
      </c>
      <c r="BG40" s="740" t="s">
        <v>2449</v>
      </c>
      <c r="BH40" s="1130" t="s">
        <v>2334</v>
      </c>
      <c r="BI40" s="740" t="s">
        <v>292</v>
      </c>
      <c r="BJ40" s="1503" t="s">
        <v>2334</v>
      </c>
      <c r="BK40" s="621">
        <v>1023.5085</v>
      </c>
      <c r="BL40" s="794">
        <v>111</v>
      </c>
      <c r="BM40" s="1466" t="s">
        <v>2608</v>
      </c>
      <c r="BN40" s="740">
        <v>10</v>
      </c>
      <c r="BO40" s="740" t="s">
        <v>2610</v>
      </c>
      <c r="BP40" s="740" t="s">
        <v>2612</v>
      </c>
      <c r="BQ40" s="1130" t="s">
        <v>2334</v>
      </c>
      <c r="BR40" s="740" t="s">
        <v>292</v>
      </c>
      <c r="BS40" s="1503" t="s">
        <v>2334</v>
      </c>
      <c r="BT40" s="621">
        <v>9.3963000000000001</v>
      </c>
    </row>
    <row r="41" spans="1:72" s="159" customFormat="1" ht="12.6" customHeight="1">
      <c r="A41" s="781">
        <v>36</v>
      </c>
      <c r="B41" s="781" t="s">
        <v>2268</v>
      </c>
      <c r="C41" s="781">
        <v>5</v>
      </c>
      <c r="D41" s="781" t="s">
        <v>2269</v>
      </c>
      <c r="E41" s="781" t="s">
        <v>2270</v>
      </c>
      <c r="F41" s="681">
        <v>10.99</v>
      </c>
      <c r="G41" s="781" t="s">
        <v>2315</v>
      </c>
      <c r="H41" s="681">
        <v>11.95</v>
      </c>
      <c r="I41" s="521">
        <v>3934.8999999999996</v>
      </c>
      <c r="J41" s="763">
        <v>83</v>
      </c>
      <c r="K41" s="763" t="s">
        <v>1632</v>
      </c>
      <c r="L41" s="763">
        <v>15</v>
      </c>
      <c r="M41" s="763" t="s">
        <v>965</v>
      </c>
      <c r="N41" s="763" t="s">
        <v>966</v>
      </c>
      <c r="O41" s="795">
        <v>9.35</v>
      </c>
      <c r="P41" s="763" t="s">
        <v>292</v>
      </c>
      <c r="Q41" s="795">
        <v>9.35</v>
      </c>
      <c r="R41" s="795">
        <v>250</v>
      </c>
      <c r="S41" s="781">
        <v>129</v>
      </c>
      <c r="T41" s="781" t="s">
        <v>1660</v>
      </c>
      <c r="U41" s="781">
        <v>15</v>
      </c>
      <c r="V41" s="806" t="s">
        <v>1549</v>
      </c>
      <c r="W41" s="781" t="s">
        <v>1550</v>
      </c>
      <c r="X41" s="521">
        <v>8.6999999999999993</v>
      </c>
      <c r="Y41" s="781" t="s">
        <v>2297</v>
      </c>
      <c r="Z41" s="521">
        <v>12</v>
      </c>
      <c r="AA41" s="521">
        <v>5316.0899999999992</v>
      </c>
      <c r="AB41" s="781">
        <v>175</v>
      </c>
      <c r="AC41" s="781" t="s">
        <v>1655</v>
      </c>
      <c r="AD41" s="781">
        <v>20</v>
      </c>
      <c r="AE41" s="806" t="s">
        <v>669</v>
      </c>
      <c r="AF41" s="781" t="s">
        <v>670</v>
      </c>
      <c r="AG41" s="521">
        <v>9.6</v>
      </c>
      <c r="AH41" s="781" t="s">
        <v>292</v>
      </c>
      <c r="AI41" s="521">
        <v>9.6</v>
      </c>
      <c r="AJ41" s="521">
        <v>150</v>
      </c>
      <c r="AK41" s="781">
        <v>221</v>
      </c>
      <c r="AL41" s="781" t="s">
        <v>1679</v>
      </c>
      <c r="AM41" s="781">
        <v>20</v>
      </c>
      <c r="AN41" s="806" t="s">
        <v>1061</v>
      </c>
      <c r="AO41" s="781" t="s">
        <v>1063</v>
      </c>
      <c r="AP41" s="521">
        <v>11.98</v>
      </c>
      <c r="AQ41" s="781" t="s">
        <v>1625</v>
      </c>
      <c r="AR41" s="521">
        <v>11.97</v>
      </c>
      <c r="AS41" s="521">
        <v>680</v>
      </c>
      <c r="AT41" s="781">
        <v>20</v>
      </c>
      <c r="AU41" s="1459" t="s">
        <v>2360</v>
      </c>
      <c r="AV41" s="781">
        <v>10</v>
      </c>
      <c r="AW41" s="806" t="s">
        <v>2341</v>
      </c>
      <c r="AX41" s="781" t="s">
        <v>2359</v>
      </c>
      <c r="AY41" s="521" t="s">
        <v>2334</v>
      </c>
      <c r="AZ41" s="781" t="s">
        <v>292</v>
      </c>
      <c r="BA41" s="521" t="s">
        <v>2334</v>
      </c>
      <c r="BB41" s="521">
        <v>330.53</v>
      </c>
      <c r="BC41" s="763">
        <v>66</v>
      </c>
      <c r="BD41" s="1465" t="s">
        <v>2452</v>
      </c>
      <c r="BE41" s="763">
        <v>10</v>
      </c>
      <c r="BF41" s="763" t="s">
        <v>2414</v>
      </c>
      <c r="BG41" s="763" t="s">
        <v>2449</v>
      </c>
      <c r="BH41" s="1131" t="s">
        <v>2334</v>
      </c>
      <c r="BI41" s="763" t="s">
        <v>292</v>
      </c>
      <c r="BJ41" s="1504" t="s">
        <v>2334</v>
      </c>
      <c r="BK41" s="795">
        <v>8.0681999999999992</v>
      </c>
      <c r="BL41" s="763">
        <v>112</v>
      </c>
      <c r="BM41" s="1465" t="s">
        <v>2442</v>
      </c>
      <c r="BN41" s="763">
        <v>10</v>
      </c>
      <c r="BO41" s="763" t="s">
        <v>2610</v>
      </c>
      <c r="BP41" s="763" t="s">
        <v>2612</v>
      </c>
      <c r="BQ41" s="1131" t="s">
        <v>2334</v>
      </c>
      <c r="BR41" s="763" t="s">
        <v>292</v>
      </c>
      <c r="BS41" s="1504" t="s">
        <v>2334</v>
      </c>
      <c r="BT41" s="795">
        <v>60.087699999999998</v>
      </c>
    </row>
    <row r="42" spans="1:72" s="159" customFormat="1" ht="12.6" customHeight="1">
      <c r="A42" s="729">
        <v>37</v>
      </c>
      <c r="B42" s="809" t="s">
        <v>2285</v>
      </c>
      <c r="C42" s="729">
        <v>5</v>
      </c>
      <c r="D42" s="729" t="s">
        <v>2286</v>
      </c>
      <c r="E42" s="729" t="s">
        <v>2287</v>
      </c>
      <c r="F42" s="732">
        <v>10.35</v>
      </c>
      <c r="G42" s="794" t="s">
        <v>2531</v>
      </c>
      <c r="H42" s="732">
        <v>12.4</v>
      </c>
      <c r="I42" s="732">
        <v>5430.21</v>
      </c>
      <c r="J42" s="740">
        <v>84</v>
      </c>
      <c r="K42" s="741" t="s">
        <v>1636</v>
      </c>
      <c r="L42" s="741">
        <v>15</v>
      </c>
      <c r="M42" s="741" t="s">
        <v>967</v>
      </c>
      <c r="N42" s="741" t="s">
        <v>968</v>
      </c>
      <c r="O42" s="739">
        <v>9.65</v>
      </c>
      <c r="P42" s="741" t="s">
        <v>292</v>
      </c>
      <c r="Q42" s="739">
        <v>9.65</v>
      </c>
      <c r="R42" s="739">
        <v>150</v>
      </c>
      <c r="S42" s="729">
        <v>130</v>
      </c>
      <c r="T42" s="809" t="s">
        <v>1839</v>
      </c>
      <c r="U42" s="794">
        <v>15</v>
      </c>
      <c r="V42" s="794" t="s">
        <v>1840</v>
      </c>
      <c r="W42" s="732" t="s">
        <v>1841</v>
      </c>
      <c r="X42" s="732">
        <v>5.65</v>
      </c>
      <c r="Y42" s="794" t="s">
        <v>292</v>
      </c>
      <c r="Z42" s="732">
        <v>5.65</v>
      </c>
      <c r="AA42" s="732">
        <v>4500</v>
      </c>
      <c r="AB42" s="249">
        <v>176</v>
      </c>
      <c r="AC42" s="809" t="s">
        <v>1661</v>
      </c>
      <c r="AD42" s="794">
        <v>20</v>
      </c>
      <c r="AE42" s="794" t="s">
        <v>671</v>
      </c>
      <c r="AF42" s="732" t="s">
        <v>672</v>
      </c>
      <c r="AG42" s="732">
        <v>9.6</v>
      </c>
      <c r="AH42" s="794" t="s">
        <v>292</v>
      </c>
      <c r="AI42" s="732">
        <v>9.6</v>
      </c>
      <c r="AJ42" s="732">
        <v>150</v>
      </c>
      <c r="AK42" s="729">
        <v>222</v>
      </c>
      <c r="AL42" s="809" t="s">
        <v>1683</v>
      </c>
      <c r="AM42" s="794">
        <v>20</v>
      </c>
      <c r="AN42" s="794" t="s">
        <v>1164</v>
      </c>
      <c r="AO42" s="732" t="s">
        <v>1165</v>
      </c>
      <c r="AP42" s="732">
        <v>10.36</v>
      </c>
      <c r="AQ42" s="794" t="s">
        <v>1421</v>
      </c>
      <c r="AR42" s="732">
        <v>8.09</v>
      </c>
      <c r="AS42" s="732">
        <v>2600</v>
      </c>
      <c r="AT42" s="729">
        <v>21</v>
      </c>
      <c r="AU42" s="1583" t="s">
        <v>2361</v>
      </c>
      <c r="AV42" s="794">
        <v>10</v>
      </c>
      <c r="AW42" s="794" t="s">
        <v>2350</v>
      </c>
      <c r="AX42" s="732" t="s">
        <v>2362</v>
      </c>
      <c r="AY42" s="732" t="s">
        <v>2334</v>
      </c>
      <c r="AZ42" s="794" t="s">
        <v>292</v>
      </c>
      <c r="BA42" s="732" t="s">
        <v>2334</v>
      </c>
      <c r="BB42" s="732">
        <v>5.61</v>
      </c>
      <c r="BC42" s="740">
        <v>67</v>
      </c>
      <c r="BD42" s="1466" t="s">
        <v>2453</v>
      </c>
      <c r="BE42" s="740">
        <v>10</v>
      </c>
      <c r="BF42" s="740" t="s">
        <v>2414</v>
      </c>
      <c r="BG42" s="740" t="s">
        <v>2449</v>
      </c>
      <c r="BH42" s="1130" t="s">
        <v>2334</v>
      </c>
      <c r="BI42" s="740" t="s">
        <v>292</v>
      </c>
      <c r="BJ42" s="1503" t="s">
        <v>2334</v>
      </c>
      <c r="BK42" s="621">
        <v>41.005299999999998</v>
      </c>
      <c r="BL42" s="740">
        <v>113</v>
      </c>
      <c r="BM42" s="1466" t="s">
        <v>2609</v>
      </c>
      <c r="BN42" s="740">
        <v>10</v>
      </c>
      <c r="BO42" s="740" t="s">
        <v>2610</v>
      </c>
      <c r="BP42" s="740" t="s">
        <v>2612</v>
      </c>
      <c r="BQ42" s="1130" t="s">
        <v>2334</v>
      </c>
      <c r="BR42" s="740" t="s">
        <v>292</v>
      </c>
      <c r="BS42" s="1503" t="s">
        <v>2334</v>
      </c>
      <c r="BT42" s="621">
        <v>2.0255999999999998</v>
      </c>
    </row>
    <row r="43" spans="1:72" s="159" customFormat="1" ht="12.6" customHeight="1" thickBot="1">
      <c r="A43" s="781">
        <v>38</v>
      </c>
      <c r="B43" s="781" t="s">
        <v>2403</v>
      </c>
      <c r="C43" s="781">
        <v>5</v>
      </c>
      <c r="D43" s="781" t="s">
        <v>1851</v>
      </c>
      <c r="E43" s="781" t="s">
        <v>2404</v>
      </c>
      <c r="F43" s="681">
        <v>12.1</v>
      </c>
      <c r="G43" s="781" t="s">
        <v>1497</v>
      </c>
      <c r="H43" s="681">
        <v>12.41</v>
      </c>
      <c r="I43" s="521">
        <v>6141.35</v>
      </c>
      <c r="J43" s="763">
        <v>85</v>
      </c>
      <c r="K43" s="763" t="s">
        <v>1640</v>
      </c>
      <c r="L43" s="763">
        <v>15</v>
      </c>
      <c r="M43" s="763" t="s">
        <v>969</v>
      </c>
      <c r="N43" s="763" t="s">
        <v>970</v>
      </c>
      <c r="O43" s="795">
        <v>10.3</v>
      </c>
      <c r="P43" s="763" t="s">
        <v>292</v>
      </c>
      <c r="Q43" s="795">
        <v>10.3</v>
      </c>
      <c r="R43" s="795">
        <v>150</v>
      </c>
      <c r="S43" s="781">
        <v>131</v>
      </c>
      <c r="T43" s="781" t="s">
        <v>2053</v>
      </c>
      <c r="U43" s="781">
        <v>15</v>
      </c>
      <c r="V43" s="806" t="s">
        <v>2054</v>
      </c>
      <c r="W43" s="781" t="s">
        <v>2055</v>
      </c>
      <c r="X43" s="521">
        <v>7.98</v>
      </c>
      <c r="Y43" s="781" t="s">
        <v>2665</v>
      </c>
      <c r="Z43" s="521">
        <v>11.36</v>
      </c>
      <c r="AA43" s="521">
        <v>6766.66</v>
      </c>
      <c r="AB43" s="781">
        <v>177</v>
      </c>
      <c r="AC43" s="781" t="s">
        <v>1664</v>
      </c>
      <c r="AD43" s="781">
        <v>20</v>
      </c>
      <c r="AE43" s="806" t="s">
        <v>673</v>
      </c>
      <c r="AF43" s="781" t="s">
        <v>674</v>
      </c>
      <c r="AG43" s="521">
        <v>9.6300000000000008</v>
      </c>
      <c r="AH43" s="781" t="s">
        <v>292</v>
      </c>
      <c r="AI43" s="521">
        <v>9.6300000000000008</v>
      </c>
      <c r="AJ43" s="521">
        <v>160</v>
      </c>
      <c r="AK43" s="781">
        <v>223</v>
      </c>
      <c r="AL43" s="781" t="s">
        <v>1687</v>
      </c>
      <c r="AM43" s="781">
        <v>20</v>
      </c>
      <c r="AN43" s="806" t="s">
        <v>1170</v>
      </c>
      <c r="AO43" s="781" t="s">
        <v>1171</v>
      </c>
      <c r="AP43" s="521">
        <v>8.6999999999999993</v>
      </c>
      <c r="AQ43" s="781" t="s">
        <v>1512</v>
      </c>
      <c r="AR43" s="521">
        <v>9.43</v>
      </c>
      <c r="AS43" s="521">
        <v>3950</v>
      </c>
      <c r="AT43" s="781">
        <v>22</v>
      </c>
      <c r="AU43" s="1459" t="s">
        <v>2363</v>
      </c>
      <c r="AV43" s="781">
        <v>10</v>
      </c>
      <c r="AW43" s="806" t="s">
        <v>2350</v>
      </c>
      <c r="AX43" s="781" t="s">
        <v>2362</v>
      </c>
      <c r="AY43" s="521" t="s">
        <v>2334</v>
      </c>
      <c r="AZ43" s="781" t="s">
        <v>292</v>
      </c>
      <c r="BA43" s="521" t="s">
        <v>2334</v>
      </c>
      <c r="BB43" s="521">
        <v>50</v>
      </c>
      <c r="BC43" s="763">
        <v>68</v>
      </c>
      <c r="BD43" s="1465" t="s">
        <v>2454</v>
      </c>
      <c r="BE43" s="870">
        <v>10</v>
      </c>
      <c r="BF43" s="822" t="s">
        <v>2414</v>
      </c>
      <c r="BG43" s="822" t="s">
        <v>2449</v>
      </c>
      <c r="BH43" s="1504" t="s">
        <v>2334</v>
      </c>
      <c r="BI43" s="781" t="s">
        <v>292</v>
      </c>
      <c r="BJ43" s="1504" t="s">
        <v>2334</v>
      </c>
      <c r="BK43" s="521">
        <v>71.054400000000001</v>
      </c>
      <c r="BL43" s="1761">
        <v>114</v>
      </c>
      <c r="BM43" s="1762" t="s">
        <v>2429</v>
      </c>
      <c r="BN43" s="1763">
        <v>10</v>
      </c>
      <c r="BO43" s="1764" t="s">
        <v>2610</v>
      </c>
      <c r="BP43" s="1764" t="s">
        <v>2612</v>
      </c>
      <c r="BQ43" s="1765" t="s">
        <v>2334</v>
      </c>
      <c r="BR43" s="1766" t="s">
        <v>292</v>
      </c>
      <c r="BS43" s="1765" t="s">
        <v>2334</v>
      </c>
      <c r="BT43" s="1767">
        <v>5.2679999999999998</v>
      </c>
    </row>
    <row r="44" spans="1:72" s="159" customFormat="1" ht="12.6" customHeight="1">
      <c r="A44" s="729">
        <v>39</v>
      </c>
      <c r="B44" s="809" t="s">
        <v>2415</v>
      </c>
      <c r="C44" s="729">
        <v>5</v>
      </c>
      <c r="D44" s="729" t="s">
        <v>2416</v>
      </c>
      <c r="E44" s="729" t="s">
        <v>2417</v>
      </c>
      <c r="F44" s="732">
        <v>12.4</v>
      </c>
      <c r="G44" s="794" t="s">
        <v>2551</v>
      </c>
      <c r="H44" s="732">
        <v>12.37</v>
      </c>
      <c r="I44" s="732">
        <v>7760.69</v>
      </c>
      <c r="J44" s="740">
        <v>86</v>
      </c>
      <c r="K44" s="741" t="s">
        <v>1644</v>
      </c>
      <c r="L44" s="741">
        <v>15</v>
      </c>
      <c r="M44" s="741" t="s">
        <v>1645</v>
      </c>
      <c r="N44" s="741" t="s">
        <v>1646</v>
      </c>
      <c r="O44" s="739">
        <v>10.99</v>
      </c>
      <c r="P44" s="741" t="s">
        <v>292</v>
      </c>
      <c r="Q44" s="739">
        <v>10.99</v>
      </c>
      <c r="R44" s="739">
        <v>200</v>
      </c>
      <c r="S44" s="729">
        <v>132</v>
      </c>
      <c r="T44" s="809" t="s">
        <v>2086</v>
      </c>
      <c r="U44" s="794">
        <v>15</v>
      </c>
      <c r="V44" s="794" t="s">
        <v>2084</v>
      </c>
      <c r="W44" s="732" t="s">
        <v>2087</v>
      </c>
      <c r="X44" s="732">
        <v>8.5500000000000007</v>
      </c>
      <c r="Y44" s="794" t="s">
        <v>2639</v>
      </c>
      <c r="Z44" s="732">
        <v>11.92</v>
      </c>
      <c r="AA44" s="732">
        <v>8154.22</v>
      </c>
      <c r="AB44" s="249">
        <v>178</v>
      </c>
      <c r="AC44" s="809" t="s">
        <v>1670</v>
      </c>
      <c r="AD44" s="794">
        <v>20</v>
      </c>
      <c r="AE44" s="794" t="s">
        <v>677</v>
      </c>
      <c r="AF44" s="732" t="s">
        <v>678</v>
      </c>
      <c r="AG44" s="732">
        <v>9.65</v>
      </c>
      <c r="AH44" s="794" t="s">
        <v>292</v>
      </c>
      <c r="AI44" s="732">
        <v>9.65</v>
      </c>
      <c r="AJ44" s="732">
        <v>175</v>
      </c>
      <c r="AK44" s="729">
        <v>224</v>
      </c>
      <c r="AL44" s="809" t="s">
        <v>1691</v>
      </c>
      <c r="AM44" s="794">
        <v>20</v>
      </c>
      <c r="AN44" s="794" t="s">
        <v>1183</v>
      </c>
      <c r="AO44" s="732" t="s">
        <v>1184</v>
      </c>
      <c r="AP44" s="732">
        <v>8.24</v>
      </c>
      <c r="AQ44" s="794" t="s">
        <v>1447</v>
      </c>
      <c r="AR44" s="732">
        <v>7.97</v>
      </c>
      <c r="AS44" s="732">
        <v>2850</v>
      </c>
      <c r="AT44" s="729">
        <v>23</v>
      </c>
      <c r="AU44" s="1583" t="s">
        <v>2364</v>
      </c>
      <c r="AV44" s="794">
        <v>10</v>
      </c>
      <c r="AW44" s="794" t="s">
        <v>2350</v>
      </c>
      <c r="AX44" s="732" t="s">
        <v>2362</v>
      </c>
      <c r="AY44" s="732" t="s">
        <v>2334</v>
      </c>
      <c r="AZ44" s="794" t="s">
        <v>292</v>
      </c>
      <c r="BA44" s="732" t="s">
        <v>2334</v>
      </c>
      <c r="BB44" s="732">
        <v>3.69</v>
      </c>
      <c r="BC44" s="740">
        <v>69</v>
      </c>
      <c r="BD44" s="1466" t="s">
        <v>2430</v>
      </c>
      <c r="BE44" s="869">
        <v>9</v>
      </c>
      <c r="BF44" s="823" t="s">
        <v>2484</v>
      </c>
      <c r="BG44" s="740" t="s">
        <v>2486</v>
      </c>
      <c r="BH44" s="1503" t="s">
        <v>2334</v>
      </c>
      <c r="BI44" s="729" t="s">
        <v>292</v>
      </c>
      <c r="BJ44" s="1503" t="s">
        <v>2334</v>
      </c>
      <c r="BK44" s="520">
        <v>64.721900000000005</v>
      </c>
    </row>
    <row r="45" spans="1:72" s="159" customFormat="1" ht="12.6" customHeight="1">
      <c r="A45" s="781">
        <v>40</v>
      </c>
      <c r="B45" s="781" t="s">
        <v>2564</v>
      </c>
      <c r="C45" s="781">
        <v>5</v>
      </c>
      <c r="D45" s="781" t="s">
        <v>2565</v>
      </c>
      <c r="E45" s="781" t="s">
        <v>2566</v>
      </c>
      <c r="F45" s="681">
        <v>12.3</v>
      </c>
      <c r="G45" s="781" t="s">
        <v>2601</v>
      </c>
      <c r="H45" s="681">
        <v>12.45</v>
      </c>
      <c r="I45" s="521">
        <v>7510.16</v>
      </c>
      <c r="J45" s="763">
        <v>87</v>
      </c>
      <c r="K45" s="763" t="s">
        <v>1651</v>
      </c>
      <c r="L45" s="763">
        <v>15</v>
      </c>
      <c r="M45" s="763" t="s">
        <v>971</v>
      </c>
      <c r="N45" s="763" t="s">
        <v>972</v>
      </c>
      <c r="O45" s="795">
        <v>11</v>
      </c>
      <c r="P45" s="763" t="s">
        <v>292</v>
      </c>
      <c r="Q45" s="795">
        <v>11</v>
      </c>
      <c r="R45" s="795">
        <v>200</v>
      </c>
      <c r="S45" s="781">
        <v>133</v>
      </c>
      <c r="T45" s="781" t="s">
        <v>2390</v>
      </c>
      <c r="U45" s="781">
        <v>15</v>
      </c>
      <c r="V45" s="806" t="s">
        <v>2391</v>
      </c>
      <c r="W45" s="781" t="s">
        <v>2392</v>
      </c>
      <c r="X45" s="521">
        <v>12.15</v>
      </c>
      <c r="Y45" s="781" t="s">
        <v>2625</v>
      </c>
      <c r="Z45" s="521">
        <v>12.63</v>
      </c>
      <c r="AA45" s="521">
        <v>8257.2800000000007</v>
      </c>
      <c r="AB45" s="781">
        <v>179</v>
      </c>
      <c r="AC45" s="781" t="s">
        <v>1674</v>
      </c>
      <c r="AD45" s="781">
        <v>20</v>
      </c>
      <c r="AE45" s="806" t="s">
        <v>1193</v>
      </c>
      <c r="AF45" s="781" t="s">
        <v>1186</v>
      </c>
      <c r="AG45" s="521">
        <v>9.65</v>
      </c>
      <c r="AH45" s="781" t="s">
        <v>292</v>
      </c>
      <c r="AI45" s="521">
        <v>9.65</v>
      </c>
      <c r="AJ45" s="521">
        <v>175</v>
      </c>
      <c r="AK45" s="781">
        <v>225</v>
      </c>
      <c r="AL45" s="781" t="s">
        <v>1695</v>
      </c>
      <c r="AM45" s="781">
        <v>20</v>
      </c>
      <c r="AN45" s="806" t="s">
        <v>1488</v>
      </c>
      <c r="AO45" s="781" t="s">
        <v>1490</v>
      </c>
      <c r="AP45" s="521">
        <v>8.24</v>
      </c>
      <c r="AQ45" s="781" t="s">
        <v>1496</v>
      </c>
      <c r="AR45" s="521">
        <v>8.68</v>
      </c>
      <c r="AS45" s="521">
        <v>3000</v>
      </c>
      <c r="AT45" s="781">
        <v>24</v>
      </c>
      <c r="AU45" s="1459" t="s">
        <v>2365</v>
      </c>
      <c r="AV45" s="781">
        <v>8</v>
      </c>
      <c r="AW45" s="806" t="s">
        <v>2341</v>
      </c>
      <c r="AX45" s="781" t="s">
        <v>2366</v>
      </c>
      <c r="AY45" s="521" t="s">
        <v>2334</v>
      </c>
      <c r="AZ45" s="781" t="s">
        <v>292</v>
      </c>
      <c r="BA45" s="521" t="s">
        <v>2334</v>
      </c>
      <c r="BB45" s="521">
        <v>778.81</v>
      </c>
      <c r="BC45" s="763">
        <v>70</v>
      </c>
      <c r="BD45" s="1465" t="s">
        <v>2428</v>
      </c>
      <c r="BE45" s="870">
        <v>10</v>
      </c>
      <c r="BF45" s="822" t="s">
        <v>2484</v>
      </c>
      <c r="BG45" s="822" t="s">
        <v>2485</v>
      </c>
      <c r="BH45" s="1504" t="s">
        <v>2334</v>
      </c>
      <c r="BI45" s="781" t="s">
        <v>292</v>
      </c>
      <c r="BJ45" s="1504" t="s">
        <v>2334</v>
      </c>
      <c r="BK45" s="521">
        <v>256.83819999999997</v>
      </c>
    </row>
    <row r="46" spans="1:72" s="159" customFormat="1" ht="12.6" customHeight="1">
      <c r="A46" s="729">
        <v>41</v>
      </c>
      <c r="B46" s="809" t="s">
        <v>2622</v>
      </c>
      <c r="C46" s="729">
        <v>5</v>
      </c>
      <c r="D46" s="729" t="s">
        <v>2569</v>
      </c>
      <c r="E46" s="729" t="s">
        <v>2623</v>
      </c>
      <c r="F46" s="732">
        <v>12.38</v>
      </c>
      <c r="G46" s="794" t="s">
        <v>1516</v>
      </c>
      <c r="H46" s="732">
        <v>12.38</v>
      </c>
      <c r="I46" s="732">
        <v>7000</v>
      </c>
      <c r="J46" s="740">
        <v>88</v>
      </c>
      <c r="K46" s="741" t="s">
        <v>1657</v>
      </c>
      <c r="L46" s="741">
        <v>15</v>
      </c>
      <c r="M46" s="741" t="s">
        <v>1658</v>
      </c>
      <c r="N46" s="741" t="s">
        <v>1659</v>
      </c>
      <c r="O46" s="739">
        <v>11</v>
      </c>
      <c r="P46" s="741" t="s">
        <v>292</v>
      </c>
      <c r="Q46" s="739">
        <v>11</v>
      </c>
      <c r="R46" s="739">
        <v>200</v>
      </c>
      <c r="S46" s="729">
        <v>134</v>
      </c>
      <c r="T46" s="809" t="s">
        <v>2680</v>
      </c>
      <c r="U46" s="794">
        <v>15</v>
      </c>
      <c r="V46" s="794" t="s">
        <v>2681</v>
      </c>
      <c r="W46" s="732" t="s">
        <v>2682</v>
      </c>
      <c r="X46" s="732">
        <v>12.28</v>
      </c>
      <c r="Y46" s="794" t="s">
        <v>2750</v>
      </c>
      <c r="Z46" s="732">
        <v>10.477499999999999</v>
      </c>
      <c r="AA46" s="732">
        <v>6500</v>
      </c>
      <c r="AB46" s="249">
        <v>180</v>
      </c>
      <c r="AC46" s="809" t="s">
        <v>1678</v>
      </c>
      <c r="AD46" s="794">
        <v>20</v>
      </c>
      <c r="AE46" s="794" t="s">
        <v>1194</v>
      </c>
      <c r="AF46" s="732" t="s">
        <v>1191</v>
      </c>
      <c r="AG46" s="732">
        <v>9.65</v>
      </c>
      <c r="AH46" s="794" t="s">
        <v>292</v>
      </c>
      <c r="AI46" s="732">
        <v>9.65</v>
      </c>
      <c r="AJ46" s="732">
        <v>185</v>
      </c>
      <c r="AK46" s="729">
        <v>226</v>
      </c>
      <c r="AL46" s="809" t="s">
        <v>1698</v>
      </c>
      <c r="AM46" s="794">
        <v>20</v>
      </c>
      <c r="AN46" s="794" t="s">
        <v>1500</v>
      </c>
      <c r="AO46" s="732" t="s">
        <v>1501</v>
      </c>
      <c r="AP46" s="732">
        <v>9.2899999999999991</v>
      </c>
      <c r="AQ46" s="794" t="s">
        <v>1648</v>
      </c>
      <c r="AR46" s="732">
        <v>8.77</v>
      </c>
      <c r="AS46" s="732">
        <v>3650</v>
      </c>
      <c r="AT46" s="729">
        <v>25</v>
      </c>
      <c r="AU46" s="1583" t="s">
        <v>2367</v>
      </c>
      <c r="AV46" s="794">
        <v>8</v>
      </c>
      <c r="AW46" s="794" t="s">
        <v>2344</v>
      </c>
      <c r="AX46" s="732" t="s">
        <v>2368</v>
      </c>
      <c r="AY46" s="732" t="s">
        <v>2334</v>
      </c>
      <c r="AZ46" s="794" t="s">
        <v>292</v>
      </c>
      <c r="BA46" s="732" t="s">
        <v>2334</v>
      </c>
      <c r="BB46" s="732">
        <v>340.09</v>
      </c>
      <c r="BC46" s="740">
        <v>71</v>
      </c>
      <c r="BD46" s="1466" t="s">
        <v>2487</v>
      </c>
      <c r="BE46" s="869">
        <v>10</v>
      </c>
      <c r="BF46" s="823" t="s">
        <v>2484</v>
      </c>
      <c r="BG46" s="740" t="s">
        <v>2485</v>
      </c>
      <c r="BH46" s="1503" t="s">
        <v>2334</v>
      </c>
      <c r="BI46" s="729" t="s">
        <v>292</v>
      </c>
      <c r="BJ46" s="1503" t="s">
        <v>2334</v>
      </c>
      <c r="BK46" s="520">
        <v>12.002700000000001</v>
      </c>
    </row>
    <row r="47" spans="1:72" s="159" customFormat="1" ht="12.6" customHeight="1">
      <c r="A47" s="781">
        <v>42</v>
      </c>
      <c r="B47" s="781" t="s">
        <v>2661</v>
      </c>
      <c r="C47" s="781">
        <v>5</v>
      </c>
      <c r="D47" s="781" t="s">
        <v>2662</v>
      </c>
      <c r="E47" s="781" t="s">
        <v>2663</v>
      </c>
      <c r="F47" s="681">
        <v>10.47</v>
      </c>
      <c r="G47" s="781" t="s">
        <v>2676</v>
      </c>
      <c r="H47" s="681">
        <v>11.5</v>
      </c>
      <c r="I47" s="521">
        <v>8000</v>
      </c>
      <c r="J47" s="763">
        <v>89</v>
      </c>
      <c r="K47" s="763" t="s">
        <v>1663</v>
      </c>
      <c r="L47" s="763">
        <v>15</v>
      </c>
      <c r="M47" s="763" t="s">
        <v>973</v>
      </c>
      <c r="N47" s="763" t="s">
        <v>974</v>
      </c>
      <c r="O47" s="795">
        <v>11.5</v>
      </c>
      <c r="P47" s="763" t="s">
        <v>292</v>
      </c>
      <c r="Q47" s="795">
        <v>11.5</v>
      </c>
      <c r="R47" s="795">
        <v>275</v>
      </c>
      <c r="S47" s="781">
        <v>135</v>
      </c>
      <c r="T47" s="781" t="s">
        <v>2772</v>
      </c>
      <c r="U47" s="781">
        <v>15</v>
      </c>
      <c r="V47" s="806" t="s">
        <v>2773</v>
      </c>
      <c r="W47" s="781" t="s">
        <v>2774</v>
      </c>
      <c r="X47" s="521">
        <v>10.28</v>
      </c>
      <c r="Y47" s="781" t="s">
        <v>3008</v>
      </c>
      <c r="Z47" s="521">
        <v>10.5</v>
      </c>
      <c r="AA47" s="521">
        <f>1000+6500</f>
        <v>7500</v>
      </c>
      <c r="AB47" s="781">
        <v>181</v>
      </c>
      <c r="AC47" s="781" t="s">
        <v>1682</v>
      </c>
      <c r="AD47" s="781">
        <v>20</v>
      </c>
      <c r="AE47" s="806" t="s">
        <v>1195</v>
      </c>
      <c r="AF47" s="781" t="s">
        <v>1192</v>
      </c>
      <c r="AG47" s="521">
        <v>10</v>
      </c>
      <c r="AH47" s="781" t="s">
        <v>292</v>
      </c>
      <c r="AI47" s="521">
        <v>10</v>
      </c>
      <c r="AJ47" s="521">
        <v>150</v>
      </c>
      <c r="AK47" s="781">
        <v>227</v>
      </c>
      <c r="AL47" s="781" t="s">
        <v>1702</v>
      </c>
      <c r="AM47" s="781">
        <v>20</v>
      </c>
      <c r="AN47" s="806" t="s">
        <v>1703</v>
      </c>
      <c r="AO47" s="781" t="s">
        <v>1704</v>
      </c>
      <c r="AP47" s="521">
        <v>9.1999999999999993</v>
      </c>
      <c r="AQ47" s="781" t="s">
        <v>2297</v>
      </c>
      <c r="AR47" s="521">
        <v>12.1</v>
      </c>
      <c r="AS47" s="521">
        <v>5029.96</v>
      </c>
      <c r="AT47" s="781">
        <v>26</v>
      </c>
      <c r="AU47" s="1459" t="s">
        <v>2369</v>
      </c>
      <c r="AV47" s="781">
        <v>8</v>
      </c>
      <c r="AW47" s="806" t="s">
        <v>2344</v>
      </c>
      <c r="AX47" s="781" t="s">
        <v>2368</v>
      </c>
      <c r="AY47" s="521" t="s">
        <v>2334</v>
      </c>
      <c r="AZ47" s="781" t="s">
        <v>292</v>
      </c>
      <c r="BA47" s="521" t="s">
        <v>2334</v>
      </c>
      <c r="BB47" s="521">
        <v>623.30999999999995</v>
      </c>
      <c r="BC47" s="763">
        <v>72</v>
      </c>
      <c r="BD47" s="1465" t="s">
        <v>2488</v>
      </c>
      <c r="BE47" s="870">
        <v>9</v>
      </c>
      <c r="BF47" s="822" t="s">
        <v>2484</v>
      </c>
      <c r="BG47" s="822" t="s">
        <v>2486</v>
      </c>
      <c r="BH47" s="1504" t="s">
        <v>2334</v>
      </c>
      <c r="BI47" s="781" t="s">
        <v>292</v>
      </c>
      <c r="BJ47" s="1504" t="s">
        <v>2334</v>
      </c>
      <c r="BK47" s="521">
        <v>72.0214</v>
      </c>
    </row>
    <row r="48" spans="1:72" s="159" customFormat="1" ht="12.6" customHeight="1">
      <c r="A48" s="729">
        <v>43</v>
      </c>
      <c r="B48" s="809" t="s">
        <v>2696</v>
      </c>
      <c r="C48" s="729">
        <v>5</v>
      </c>
      <c r="D48" s="729" t="s">
        <v>2694</v>
      </c>
      <c r="E48" s="729" t="s">
        <v>2697</v>
      </c>
      <c r="F48" s="732">
        <v>12.39</v>
      </c>
      <c r="G48" s="794" t="s">
        <v>2718</v>
      </c>
      <c r="H48" s="732">
        <v>11.99</v>
      </c>
      <c r="I48" s="732">
        <v>8500</v>
      </c>
      <c r="J48" s="740">
        <v>90</v>
      </c>
      <c r="K48" s="741" t="s">
        <v>1666</v>
      </c>
      <c r="L48" s="741">
        <v>15</v>
      </c>
      <c r="M48" s="741" t="s">
        <v>975</v>
      </c>
      <c r="N48" s="741" t="s">
        <v>976</v>
      </c>
      <c r="O48" s="739">
        <v>11.6</v>
      </c>
      <c r="P48" s="741" t="s">
        <v>292</v>
      </c>
      <c r="Q48" s="739">
        <v>11.6</v>
      </c>
      <c r="R48" s="739">
        <v>275</v>
      </c>
      <c r="S48" s="729">
        <v>136</v>
      </c>
      <c r="T48" s="809" t="s">
        <v>2751</v>
      </c>
      <c r="U48" s="794">
        <v>20</v>
      </c>
      <c r="V48" s="794" t="s">
        <v>2752</v>
      </c>
      <c r="W48" s="732" t="s">
        <v>2753</v>
      </c>
      <c r="X48" s="732">
        <v>15.950000000000001</v>
      </c>
      <c r="Y48" s="794" t="s">
        <v>292</v>
      </c>
      <c r="Z48" s="732">
        <v>15.950000000000001</v>
      </c>
      <c r="AA48" s="732">
        <v>50</v>
      </c>
      <c r="AB48" s="249">
        <v>182</v>
      </c>
      <c r="AC48" s="809" t="s">
        <v>1686</v>
      </c>
      <c r="AD48" s="794">
        <v>20</v>
      </c>
      <c r="AE48" s="794" t="s">
        <v>1204</v>
      </c>
      <c r="AF48" s="732" t="s">
        <v>1196</v>
      </c>
      <c r="AG48" s="732">
        <v>10.25</v>
      </c>
      <c r="AH48" s="794" t="s">
        <v>3011</v>
      </c>
      <c r="AI48" s="732">
        <v>10.199999999999999</v>
      </c>
      <c r="AJ48" s="732">
        <f>2500+5150</f>
        <v>7650</v>
      </c>
      <c r="AK48" s="729">
        <v>228</v>
      </c>
      <c r="AL48" s="809" t="s">
        <v>1709</v>
      </c>
      <c r="AM48" s="794">
        <v>20</v>
      </c>
      <c r="AN48" s="794" t="s">
        <v>1549</v>
      </c>
      <c r="AO48" s="732" t="s">
        <v>1551</v>
      </c>
      <c r="AP48" s="732">
        <v>8.94</v>
      </c>
      <c r="AQ48" s="794" t="s">
        <v>2271</v>
      </c>
      <c r="AR48" s="732">
        <v>11.26</v>
      </c>
      <c r="AS48" s="732">
        <v>5184.3499999999995</v>
      </c>
      <c r="AT48" s="729">
        <v>27</v>
      </c>
      <c r="AU48" s="1558" t="s">
        <v>2370</v>
      </c>
      <c r="AV48" s="729">
        <v>8</v>
      </c>
      <c r="AW48" s="794" t="s">
        <v>2344</v>
      </c>
      <c r="AX48" s="729" t="s">
        <v>2368</v>
      </c>
      <c r="AY48" s="520" t="s">
        <v>2334</v>
      </c>
      <c r="AZ48" s="729" t="s">
        <v>292</v>
      </c>
      <c r="BA48" s="520" t="s">
        <v>2334</v>
      </c>
      <c r="BB48" s="520">
        <v>172.17</v>
      </c>
      <c r="BC48" s="740">
        <v>73</v>
      </c>
      <c r="BD48" s="1466" t="s">
        <v>2452</v>
      </c>
      <c r="BE48" s="869">
        <v>10</v>
      </c>
      <c r="BF48" s="823" t="s">
        <v>2484</v>
      </c>
      <c r="BG48" s="740" t="s">
        <v>2485</v>
      </c>
      <c r="BH48" s="1503" t="s">
        <v>2334</v>
      </c>
      <c r="BI48" s="729" t="s">
        <v>292</v>
      </c>
      <c r="BJ48" s="1503" t="s">
        <v>2334</v>
      </c>
      <c r="BK48" s="520">
        <v>68.582800000000006</v>
      </c>
    </row>
    <row r="49" spans="1:72" s="159" customFormat="1" ht="12.6" customHeight="1">
      <c r="A49" s="781">
        <v>44</v>
      </c>
      <c r="B49" s="781" t="s">
        <v>2722</v>
      </c>
      <c r="C49" s="781">
        <v>5</v>
      </c>
      <c r="D49" s="781" t="s">
        <v>2723</v>
      </c>
      <c r="E49" s="781" t="s">
        <v>2724</v>
      </c>
      <c r="F49" s="681">
        <v>12.4</v>
      </c>
      <c r="G49" s="781" t="s">
        <v>2771</v>
      </c>
      <c r="H49" s="681">
        <v>10.275</v>
      </c>
      <c r="I49" s="521">
        <v>8949.18</v>
      </c>
      <c r="J49" s="763">
        <v>91</v>
      </c>
      <c r="K49" s="763" t="s">
        <v>1672</v>
      </c>
      <c r="L49" s="763">
        <v>15</v>
      </c>
      <c r="M49" s="763" t="s">
        <v>977</v>
      </c>
      <c r="N49" s="763" t="s">
        <v>978</v>
      </c>
      <c r="O49" s="795">
        <v>11.65</v>
      </c>
      <c r="P49" s="763" t="s">
        <v>292</v>
      </c>
      <c r="Q49" s="795">
        <v>11.65</v>
      </c>
      <c r="R49" s="795">
        <v>275</v>
      </c>
      <c r="S49" s="781">
        <v>137</v>
      </c>
      <c r="T49" s="781" t="s">
        <v>1667</v>
      </c>
      <c r="U49" s="781">
        <v>20</v>
      </c>
      <c r="V49" s="806" t="s">
        <v>1668</v>
      </c>
      <c r="W49" s="781" t="s">
        <v>1669</v>
      </c>
      <c r="X49" s="521">
        <v>15.440000000000001</v>
      </c>
      <c r="Y49" s="781" t="s">
        <v>292</v>
      </c>
      <c r="Z49" s="521">
        <v>15.440000000000001</v>
      </c>
      <c r="AA49" s="521">
        <v>50</v>
      </c>
      <c r="AB49" s="781">
        <v>183</v>
      </c>
      <c r="AC49" s="781" t="s">
        <v>1690</v>
      </c>
      <c r="AD49" s="781">
        <v>20</v>
      </c>
      <c r="AE49" s="806" t="s">
        <v>1205</v>
      </c>
      <c r="AF49" s="781" t="s">
        <v>1202</v>
      </c>
      <c r="AG49" s="521">
        <v>10.85</v>
      </c>
      <c r="AH49" s="781" t="s">
        <v>292</v>
      </c>
      <c r="AI49" s="521">
        <v>10.85</v>
      </c>
      <c r="AJ49" s="521">
        <v>150</v>
      </c>
      <c r="AK49" s="781">
        <v>229</v>
      </c>
      <c r="AL49" s="781" t="s">
        <v>1830</v>
      </c>
      <c r="AM49" s="781">
        <v>20</v>
      </c>
      <c r="AN49" s="806" t="s">
        <v>1829</v>
      </c>
      <c r="AO49" s="781" t="s">
        <v>1831</v>
      </c>
      <c r="AP49" s="521">
        <v>6.07</v>
      </c>
      <c r="AQ49" s="781" t="s">
        <v>2015</v>
      </c>
      <c r="AR49" s="521">
        <v>7.64</v>
      </c>
      <c r="AS49" s="521">
        <v>4400</v>
      </c>
      <c r="AT49" s="781">
        <v>28</v>
      </c>
      <c r="AU49" s="1459" t="s">
        <v>2371</v>
      </c>
      <c r="AV49" s="781">
        <v>8</v>
      </c>
      <c r="AW49" s="806" t="s">
        <v>2344</v>
      </c>
      <c r="AX49" s="781" t="s">
        <v>2368</v>
      </c>
      <c r="AY49" s="521" t="s">
        <v>2334</v>
      </c>
      <c r="AZ49" s="781" t="s">
        <v>292</v>
      </c>
      <c r="BA49" s="521" t="s">
        <v>2334</v>
      </c>
      <c r="BB49" s="521">
        <v>120.95</v>
      </c>
      <c r="BC49" s="763">
        <v>74</v>
      </c>
      <c r="BD49" s="1465" t="s">
        <v>2448</v>
      </c>
      <c r="BE49" s="870">
        <v>9</v>
      </c>
      <c r="BF49" s="822" t="s">
        <v>2484</v>
      </c>
      <c r="BG49" s="822" t="s">
        <v>2486</v>
      </c>
      <c r="BH49" s="1504" t="s">
        <v>1823</v>
      </c>
      <c r="BI49" s="781" t="s">
        <v>292</v>
      </c>
      <c r="BJ49" s="1504" t="s">
        <v>1823</v>
      </c>
      <c r="BK49" s="521">
        <v>747.0127</v>
      </c>
    </row>
    <row r="50" spans="1:72" s="159" customFormat="1" ht="12.6" customHeight="1" thickBot="1">
      <c r="A50" s="1497">
        <v>45</v>
      </c>
      <c r="B50" s="1497" t="s">
        <v>2801</v>
      </c>
      <c r="C50" s="1497">
        <v>5</v>
      </c>
      <c r="D50" s="1497" t="s">
        <v>2802</v>
      </c>
      <c r="E50" s="1497" t="s">
        <v>2803</v>
      </c>
      <c r="F50" s="679">
        <v>10.029999999999999</v>
      </c>
      <c r="G50" s="1497" t="s">
        <v>2837</v>
      </c>
      <c r="H50" s="679">
        <v>10.15</v>
      </c>
      <c r="I50" s="1498">
        <v>8000</v>
      </c>
      <c r="J50" s="1499">
        <v>92</v>
      </c>
      <c r="K50" s="1499" t="s">
        <v>1676</v>
      </c>
      <c r="L50" s="1499">
        <v>15</v>
      </c>
      <c r="M50" s="1499" t="s">
        <v>935</v>
      </c>
      <c r="N50" s="1499" t="s">
        <v>936</v>
      </c>
      <c r="O50" s="1500">
        <v>11.7</v>
      </c>
      <c r="P50" s="1499" t="s">
        <v>292</v>
      </c>
      <c r="Q50" s="1500">
        <v>11.7</v>
      </c>
      <c r="R50" s="1500">
        <v>500</v>
      </c>
      <c r="S50" s="1497">
        <v>138</v>
      </c>
      <c r="T50" s="1497" t="s">
        <v>1673</v>
      </c>
      <c r="U50" s="1497">
        <v>20</v>
      </c>
      <c r="V50" s="724" t="s">
        <v>465</v>
      </c>
      <c r="W50" s="1497" t="s">
        <v>468</v>
      </c>
      <c r="X50" s="1498">
        <v>14.23</v>
      </c>
      <c r="Y50" s="1497" t="s">
        <v>292</v>
      </c>
      <c r="Z50" s="1498">
        <v>14.23</v>
      </c>
      <c r="AA50" s="1498">
        <v>50</v>
      </c>
      <c r="AB50" s="1497">
        <v>184</v>
      </c>
      <c r="AC50" s="1497" t="s">
        <v>1694</v>
      </c>
      <c r="AD50" s="1497">
        <v>20</v>
      </c>
      <c r="AE50" s="724" t="s">
        <v>1203</v>
      </c>
      <c r="AF50" s="1497" t="s">
        <v>1206</v>
      </c>
      <c r="AG50" s="1498">
        <v>11.5</v>
      </c>
      <c r="AH50" s="1497" t="s">
        <v>292</v>
      </c>
      <c r="AI50" s="1498">
        <v>11.5</v>
      </c>
      <c r="AJ50" s="1498">
        <v>175</v>
      </c>
      <c r="AK50" s="1497">
        <v>230</v>
      </c>
      <c r="AL50" s="1497" t="s">
        <v>2032</v>
      </c>
      <c r="AM50" s="1497">
        <v>20</v>
      </c>
      <c r="AN50" s="724" t="s">
        <v>2031</v>
      </c>
      <c r="AO50" s="1497" t="s">
        <v>2033</v>
      </c>
      <c r="AP50" s="1498">
        <v>7.75</v>
      </c>
      <c r="AQ50" s="1497" t="s">
        <v>2141</v>
      </c>
      <c r="AR50" s="1498">
        <v>8.9</v>
      </c>
      <c r="AS50" s="1498">
        <v>4500</v>
      </c>
      <c r="AT50" s="1497">
        <v>29</v>
      </c>
      <c r="AU50" s="1584" t="s">
        <v>2372</v>
      </c>
      <c r="AV50" s="1497">
        <v>8</v>
      </c>
      <c r="AW50" s="724" t="s">
        <v>2350</v>
      </c>
      <c r="AX50" s="1497" t="s">
        <v>2373</v>
      </c>
      <c r="AY50" s="1498" t="s">
        <v>2334</v>
      </c>
      <c r="AZ50" s="1497" t="s">
        <v>292</v>
      </c>
      <c r="BA50" s="1498" t="s">
        <v>2334</v>
      </c>
      <c r="BB50" s="1498">
        <v>21.68</v>
      </c>
      <c r="BC50" s="1499">
        <v>75</v>
      </c>
      <c r="BD50" s="1555" t="s">
        <v>2489</v>
      </c>
      <c r="BE50" s="1501">
        <v>10</v>
      </c>
      <c r="BF50" s="1502" t="s">
        <v>2484</v>
      </c>
      <c r="BG50" s="1499" t="s">
        <v>2485</v>
      </c>
      <c r="BH50" s="1505" t="s">
        <v>1823</v>
      </c>
      <c r="BI50" s="1497" t="s">
        <v>292</v>
      </c>
      <c r="BJ50" s="1505" t="s">
        <v>1823</v>
      </c>
      <c r="BK50" s="1498">
        <v>125.4759</v>
      </c>
    </row>
    <row r="51" spans="1:72" s="159" customFormat="1" ht="9.75" customHeight="1">
      <c r="A51" s="810" t="s">
        <v>30</v>
      </c>
      <c r="B51" s="247" t="s">
        <v>1785</v>
      </c>
      <c r="C51" s="8"/>
      <c r="D51" s="8"/>
      <c r="E51" s="8"/>
      <c r="AT51" s="356" t="s">
        <v>1117</v>
      </c>
      <c r="AU51" s="979" t="s">
        <v>2903</v>
      </c>
      <c r="AV51" s="962"/>
      <c r="AW51" s="962"/>
      <c r="AX51" s="729"/>
      <c r="AY51" s="740"/>
      <c r="AZ51" s="520"/>
      <c r="BA51" s="234"/>
      <c r="BB51" s="157"/>
    </row>
    <row r="52" spans="1:72" s="159" customFormat="1" ht="13.35" customHeight="1">
      <c r="A52" s="810"/>
      <c r="B52" s="247" t="s">
        <v>2978</v>
      </c>
      <c r="C52" s="8"/>
      <c r="D52" s="8"/>
      <c r="E52" s="8"/>
      <c r="F52" s="8"/>
      <c r="G52" s="873"/>
      <c r="H52" s="873"/>
      <c r="I52" s="9" t="s">
        <v>1940</v>
      </c>
      <c r="K52" s="943"/>
      <c r="L52" s="9"/>
      <c r="M52" s="9"/>
      <c r="N52" s="9"/>
      <c r="O52" s="739"/>
      <c r="P52" s="741"/>
      <c r="Q52" s="739"/>
      <c r="R52" s="739"/>
      <c r="AT52" s="978" t="s">
        <v>261</v>
      </c>
      <c r="AU52" s="979" t="s">
        <v>1937</v>
      </c>
      <c r="AV52" s="962"/>
      <c r="AW52" s="962"/>
      <c r="AX52" s="729"/>
      <c r="AY52" s="740"/>
      <c r="AZ52" s="247"/>
      <c r="BA52" s="234"/>
      <c r="BB52" s="9" t="s">
        <v>2016</v>
      </c>
      <c r="BK52" s="239"/>
    </row>
    <row r="53" spans="1:72" s="159" customFormat="1" ht="13.35" customHeight="1">
      <c r="S53" s="9"/>
      <c r="T53" s="740"/>
      <c r="U53" s="740"/>
      <c r="V53" s="740"/>
      <c r="W53" s="740"/>
      <c r="X53" s="621"/>
      <c r="Y53" s="740"/>
      <c r="Z53" s="621"/>
      <c r="AA53" s="621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2"/>
      <c r="AU53" s="62"/>
      <c r="AV53" s="62"/>
      <c r="AW53" s="160"/>
      <c r="AX53" s="160"/>
      <c r="AY53" s="160"/>
      <c r="AZ53" s="160"/>
      <c r="BA53" s="160"/>
      <c r="BB53" s="6"/>
    </row>
    <row r="54" spans="1:72" s="159" customFormat="1" ht="12.95" customHeight="1">
      <c r="O54" s="9"/>
      <c r="S54" s="9"/>
      <c r="T54" s="740"/>
      <c r="U54" s="740"/>
      <c r="V54" s="740"/>
      <c r="W54" s="740"/>
      <c r="X54" s="621"/>
      <c r="Y54" s="740"/>
      <c r="Z54" s="621"/>
      <c r="AA54" s="621"/>
      <c r="AB54" s="9"/>
      <c r="AC54" s="9"/>
      <c r="AD54" s="9"/>
      <c r="AE54" s="9"/>
      <c r="AF54" s="9"/>
      <c r="AG54" s="9"/>
      <c r="AH54" s="154"/>
      <c r="AI54" s="9"/>
      <c r="AJ54" s="157"/>
      <c r="AK54" s="9"/>
      <c r="AL54" s="9"/>
      <c r="AM54" s="9"/>
      <c r="AN54" s="9"/>
      <c r="AO54" s="9"/>
      <c r="AP54" s="9"/>
      <c r="AQ54" s="9"/>
      <c r="AR54" s="9"/>
      <c r="AS54" s="9"/>
      <c r="AT54" s="62"/>
      <c r="AU54" s="62"/>
      <c r="AV54" s="62"/>
      <c r="AW54" s="160"/>
      <c r="AX54" s="160"/>
      <c r="AY54" s="160"/>
      <c r="AZ54" s="160"/>
      <c r="BA54" s="160"/>
      <c r="BB54" s="157"/>
      <c r="BL54" s="160"/>
      <c r="BM54" s="160"/>
      <c r="BN54" s="160"/>
      <c r="BO54" s="160"/>
      <c r="BP54" s="160"/>
      <c r="BQ54" s="160"/>
      <c r="BR54" s="94"/>
      <c r="BS54" s="94"/>
      <c r="BT54" s="94"/>
    </row>
    <row r="55" spans="1:72" s="9" customFormat="1" ht="12.95" customHeight="1">
      <c r="I55" s="157"/>
      <c r="Q55" s="52"/>
      <c r="R55" s="628"/>
      <c r="T55" s="740"/>
      <c r="U55" s="740"/>
      <c r="V55" s="740"/>
      <c r="W55" s="740"/>
      <c r="X55" s="621"/>
      <c r="Y55" s="740"/>
      <c r="Z55" s="621"/>
      <c r="AA55" s="621"/>
      <c r="AJ55" s="157"/>
      <c r="AS55" s="157"/>
      <c r="AT55" s="160"/>
      <c r="AU55" s="160"/>
      <c r="AV55" s="160"/>
      <c r="AW55" s="160"/>
      <c r="AX55" s="160"/>
      <c r="AY55" s="160"/>
      <c r="AZ55" s="160"/>
      <c r="BA55" s="160"/>
      <c r="BB55" s="1331"/>
      <c r="BD55" s="157"/>
      <c r="BL55" s="244"/>
      <c r="BM55" s="244"/>
      <c r="BN55" s="244"/>
      <c r="BO55" s="244"/>
      <c r="BP55" s="244"/>
      <c r="BQ55" s="244"/>
      <c r="BR55" s="94"/>
      <c r="BS55" s="94"/>
      <c r="BT55" s="94"/>
    </row>
    <row r="56" spans="1:72" s="9" customFormat="1" ht="11.25" customHeight="1">
      <c r="B56" s="62"/>
      <c r="C56" s="40"/>
      <c r="D56" s="40"/>
      <c r="E56" s="62"/>
      <c r="F56" s="36"/>
      <c r="G56" s="873"/>
      <c r="H56" s="873"/>
      <c r="J56" s="159"/>
      <c r="T56" s="740"/>
      <c r="U56" s="740"/>
      <c r="V56" s="740"/>
      <c r="W56" s="740"/>
      <c r="X56" s="621"/>
      <c r="Y56" s="740"/>
      <c r="Z56" s="621"/>
      <c r="AA56" s="621"/>
      <c r="AH56" s="154"/>
      <c r="AJ56" s="157"/>
      <c r="AT56" s="160"/>
      <c r="AU56" s="160"/>
      <c r="AV56" s="160"/>
      <c r="AW56" s="160"/>
      <c r="AX56" s="160"/>
      <c r="AY56" s="160"/>
      <c r="AZ56" s="160"/>
      <c r="BA56" s="160"/>
      <c r="BB56" s="258"/>
      <c r="BC56" s="160"/>
      <c r="BD56" s="160"/>
      <c r="BE56" s="160"/>
      <c r="BF56" s="160"/>
      <c r="BG56" s="160"/>
      <c r="BH56" s="160"/>
      <c r="BI56" s="160"/>
      <c r="BJ56" s="234"/>
      <c r="BK56" s="248"/>
      <c r="BL56" s="244"/>
      <c r="BM56" s="244"/>
      <c r="BN56" s="244"/>
      <c r="BO56" s="244"/>
      <c r="BP56" s="244"/>
      <c r="BQ56" s="244"/>
      <c r="BR56" s="94"/>
      <c r="BS56" s="94"/>
      <c r="BT56" s="94"/>
    </row>
    <row r="57" spans="1:72" s="9" customFormat="1" ht="10.5" customHeight="1">
      <c r="I57" s="157"/>
      <c r="J57" s="159"/>
      <c r="R57" s="157"/>
      <c r="T57" s="159"/>
      <c r="U57" s="159"/>
      <c r="V57" s="159"/>
      <c r="W57" s="159"/>
      <c r="X57" s="159"/>
      <c r="Y57" s="159"/>
      <c r="Z57" s="159"/>
      <c r="AA57" s="157"/>
      <c r="AJ57" s="157"/>
      <c r="AR57" s="160"/>
      <c r="AS57" s="157"/>
      <c r="AT57" s="160"/>
      <c r="AU57" s="160"/>
      <c r="AV57" s="160"/>
      <c r="AW57" s="160"/>
      <c r="AX57" s="160"/>
      <c r="AY57" s="160"/>
      <c r="AZ57" s="160"/>
      <c r="BA57" s="160"/>
      <c r="BB57" s="258"/>
      <c r="BC57" s="160"/>
      <c r="BD57" s="475"/>
      <c r="BE57" s="160"/>
      <c r="BF57" s="160"/>
      <c r="BG57" s="160"/>
      <c r="BH57" s="160"/>
      <c r="BI57" s="160"/>
      <c r="BJ57" s="234"/>
      <c r="BK57" s="248"/>
      <c r="BL57" s="244"/>
      <c r="BM57" s="244"/>
      <c r="BN57" s="244"/>
      <c r="BO57" s="244"/>
      <c r="BP57" s="244"/>
      <c r="BQ57" s="244"/>
      <c r="BR57" s="94"/>
      <c r="BS57" s="94"/>
      <c r="BT57" s="94"/>
    </row>
    <row r="58" spans="1:72" s="62" customFormat="1" ht="10.5" customHeight="1">
      <c r="B58" s="729"/>
      <c r="C58" s="740"/>
      <c r="D58" s="740"/>
      <c r="E58" s="740"/>
      <c r="F58" s="621"/>
      <c r="G58" s="740"/>
      <c r="H58" s="621"/>
      <c r="I58" s="621"/>
      <c r="J58" s="170"/>
      <c r="R58" s="6"/>
      <c r="T58" s="170"/>
      <c r="U58" s="170"/>
      <c r="V58" s="170"/>
      <c r="W58" s="170"/>
      <c r="X58" s="170"/>
      <c r="Y58" s="170"/>
      <c r="Z58" s="170"/>
      <c r="AA58" s="1338"/>
      <c r="AJ58" s="6"/>
      <c r="AR58" s="160"/>
      <c r="AS58" s="1331"/>
      <c r="AT58" s="160"/>
      <c r="AU58" s="160"/>
      <c r="AV58" s="160"/>
      <c r="AW58" s="160"/>
      <c r="AX58" s="160"/>
      <c r="AY58" s="160"/>
      <c r="AZ58" s="160"/>
      <c r="BA58" s="160"/>
      <c r="BB58" s="258"/>
      <c r="BC58" s="160"/>
      <c r="BD58" s="475"/>
      <c r="BE58" s="160"/>
      <c r="BF58" s="160"/>
      <c r="BG58" s="160"/>
      <c r="BH58" s="160"/>
      <c r="BI58" s="160"/>
      <c r="BJ58" s="234"/>
      <c r="BK58" s="248"/>
      <c r="BL58" s="244"/>
      <c r="BM58" s="244"/>
      <c r="BN58" s="244"/>
      <c r="BO58" s="244"/>
      <c r="BP58" s="259"/>
      <c r="BQ58" s="244"/>
      <c r="BR58" s="94"/>
      <c r="BS58" s="94"/>
      <c r="BT58" s="94"/>
    </row>
    <row r="59" spans="1:72" s="62" customFormat="1" ht="11.25" customHeight="1">
      <c r="B59" s="809"/>
      <c r="C59" s="740"/>
      <c r="D59" s="740"/>
      <c r="E59" s="740"/>
      <c r="F59" s="621"/>
      <c r="G59" s="740"/>
      <c r="H59" s="621"/>
      <c r="I59" s="621"/>
      <c r="J59" s="255"/>
      <c r="K59" s="170"/>
      <c r="L59" s="170"/>
      <c r="M59" s="170"/>
      <c r="N59" s="170"/>
      <c r="O59" s="170"/>
      <c r="P59" s="170"/>
      <c r="R59" s="6"/>
      <c r="T59" s="740"/>
      <c r="U59" s="740"/>
      <c r="V59" s="740"/>
      <c r="W59" s="740"/>
      <c r="X59" s="621"/>
      <c r="Y59" s="740"/>
      <c r="Z59" s="621"/>
      <c r="AA59" s="621"/>
      <c r="AJ59" s="6"/>
      <c r="AR59" s="160"/>
      <c r="AS59" s="1331"/>
      <c r="AT59" s="160"/>
      <c r="AU59" s="160"/>
      <c r="AV59" s="160"/>
      <c r="AW59" s="160"/>
      <c r="AX59" s="160"/>
      <c r="AY59" s="160"/>
      <c r="AZ59" s="160"/>
      <c r="BA59" s="160"/>
      <c r="BB59" s="258"/>
      <c r="BC59" s="160"/>
      <c r="BD59" s="160"/>
      <c r="BE59" s="160"/>
      <c r="BF59" s="160"/>
      <c r="BG59" s="160"/>
      <c r="BH59" s="160"/>
      <c r="BI59" s="160"/>
      <c r="BJ59" s="234"/>
      <c r="BK59" s="248"/>
      <c r="BL59" s="244"/>
      <c r="BM59" s="244"/>
      <c r="BN59" s="244"/>
      <c r="BO59" s="244"/>
      <c r="BP59" s="259"/>
      <c r="BQ59" s="244"/>
      <c r="BR59" s="94"/>
      <c r="BS59" s="94"/>
      <c r="BT59" s="94"/>
    </row>
    <row r="60" spans="1:72" ht="13.5" customHeight="1">
      <c r="H60" s="887"/>
      <c r="I60" s="84"/>
      <c r="BK60" s="248"/>
      <c r="BL60" s="244"/>
      <c r="BM60" s="244"/>
      <c r="BN60" s="244"/>
      <c r="BO60" s="244"/>
      <c r="BP60" s="259"/>
      <c r="BQ60" s="244"/>
      <c r="BR60" s="94"/>
      <c r="BS60" s="94"/>
      <c r="BT60" s="94"/>
    </row>
    <row r="61" spans="1:72" ht="12" customHeight="1">
      <c r="BB61" s="160"/>
      <c r="BK61" s="248"/>
      <c r="BL61" s="244"/>
      <c r="BM61" s="244"/>
      <c r="BN61" s="244"/>
      <c r="BO61" s="244"/>
      <c r="BP61" s="244"/>
      <c r="BQ61" s="244"/>
      <c r="BR61" s="94"/>
      <c r="BS61" s="94"/>
      <c r="BT61" s="94"/>
    </row>
    <row r="62" spans="1:72" ht="12.75" customHeight="1">
      <c r="BK62" s="248"/>
      <c r="BL62" s="244"/>
      <c r="BM62" s="244"/>
      <c r="BN62" s="244"/>
      <c r="BO62" s="244"/>
      <c r="BP62" s="244"/>
      <c r="BQ62" s="244"/>
      <c r="BR62" s="94"/>
      <c r="BS62" s="94"/>
      <c r="BT62" s="94"/>
    </row>
    <row r="63" spans="1:72" ht="12" customHeight="1">
      <c r="BK63" s="248"/>
      <c r="BL63" s="244"/>
      <c r="BM63" s="244"/>
      <c r="BN63" s="244"/>
      <c r="BO63" s="244"/>
      <c r="BP63" s="244"/>
      <c r="BQ63" s="244"/>
      <c r="BR63" s="94"/>
      <c r="BS63" s="94"/>
      <c r="BT63" s="94"/>
    </row>
    <row r="64" spans="1:72" ht="11.25" customHeight="1">
      <c r="I64" s="84"/>
      <c r="BK64" s="248"/>
      <c r="BL64" s="244"/>
      <c r="BM64" s="244"/>
      <c r="BN64" s="244"/>
      <c r="BO64" s="244"/>
      <c r="BP64" s="244"/>
      <c r="BQ64" s="244"/>
      <c r="BR64" s="94"/>
      <c r="BS64" s="94"/>
      <c r="BT64" s="94"/>
    </row>
    <row r="65" spans="2:72" s="160" customFormat="1" ht="22.5" customHeight="1">
      <c r="B65" s="257"/>
      <c r="H65" s="257"/>
      <c r="J65" s="256"/>
      <c r="O65" s="257"/>
      <c r="R65" s="256"/>
      <c r="W65" s="257"/>
      <c r="Z65" s="258"/>
      <c r="AK65" s="258"/>
      <c r="AS65" s="258"/>
      <c r="BA65" s="244"/>
      <c r="BB65" s="258"/>
      <c r="BC65" s="244"/>
      <c r="BD65" s="244"/>
      <c r="BE65" s="244"/>
      <c r="BF65" s="244"/>
      <c r="BG65" s="244"/>
      <c r="BH65" s="244"/>
      <c r="BI65" s="244"/>
      <c r="BK65" s="258"/>
      <c r="BL65" s="244"/>
      <c r="BM65" s="244"/>
      <c r="BN65" s="244"/>
      <c r="BO65" s="244"/>
      <c r="BP65" s="244"/>
      <c r="BQ65" s="244"/>
      <c r="BR65" s="94"/>
      <c r="BS65" s="94"/>
      <c r="BT65" s="94"/>
    </row>
    <row r="66" spans="2:72" s="160" customFormat="1" ht="22.5" customHeight="1">
      <c r="B66" s="257"/>
      <c r="H66" s="257"/>
      <c r="J66" s="256"/>
      <c r="O66" s="257"/>
      <c r="R66" s="256"/>
      <c r="W66" s="257"/>
      <c r="Z66" s="258"/>
      <c r="AK66" s="258"/>
      <c r="AS66" s="258"/>
      <c r="BA66" s="244"/>
      <c r="BB66" s="258"/>
      <c r="BC66" s="244"/>
      <c r="BD66" s="244"/>
      <c r="BE66" s="244"/>
      <c r="BF66" s="244"/>
      <c r="BG66" s="244"/>
      <c r="BH66" s="244"/>
      <c r="BI66" s="244"/>
      <c r="BK66" s="258"/>
      <c r="BL66" s="244"/>
      <c r="BM66" s="244"/>
      <c r="BN66" s="244"/>
      <c r="BO66" s="244"/>
      <c r="BP66" s="244"/>
      <c r="BQ66" s="244"/>
      <c r="BR66" s="94"/>
      <c r="BS66" s="94"/>
      <c r="BT66" s="94"/>
    </row>
    <row r="67" spans="2:72" s="160" customFormat="1" ht="22.5" customHeight="1">
      <c r="B67" s="257"/>
      <c r="H67" s="257"/>
      <c r="J67" s="256"/>
      <c r="O67" s="257"/>
      <c r="R67" s="256"/>
      <c r="W67" s="257"/>
      <c r="Z67" s="258"/>
      <c r="AK67" s="258"/>
      <c r="AS67" s="258"/>
      <c r="AT67" s="94"/>
      <c r="AU67" s="94"/>
      <c r="AV67" s="94"/>
      <c r="AW67" s="244"/>
      <c r="AX67" s="244"/>
      <c r="AY67" s="244"/>
      <c r="AZ67" s="244"/>
      <c r="BA67" s="244"/>
      <c r="BB67" s="258"/>
      <c r="BC67" s="244"/>
      <c r="BD67" s="244"/>
      <c r="BE67" s="244"/>
      <c r="BF67" s="244"/>
      <c r="BG67" s="244"/>
      <c r="BH67" s="244"/>
      <c r="BI67" s="244"/>
      <c r="BK67" s="258"/>
      <c r="BL67" s="244"/>
      <c r="BM67" s="244"/>
      <c r="BN67" s="244"/>
      <c r="BO67" s="244"/>
      <c r="BP67" s="244"/>
      <c r="BQ67" s="244"/>
      <c r="BR67" s="94"/>
      <c r="BS67" s="94"/>
      <c r="BT67" s="94"/>
    </row>
    <row r="68" spans="2:72" s="160" customFormat="1" ht="22.5" customHeight="1">
      <c r="B68" s="257"/>
      <c r="H68" s="257"/>
      <c r="J68" s="256"/>
      <c r="O68" s="257"/>
      <c r="R68" s="256"/>
      <c r="W68" s="257"/>
      <c r="Z68" s="258"/>
      <c r="AK68" s="258"/>
      <c r="AS68" s="258"/>
      <c r="AT68" s="94"/>
      <c r="AU68" s="94"/>
      <c r="AV68" s="94"/>
      <c r="AW68" s="244"/>
      <c r="AX68" s="244"/>
      <c r="AY68" s="244"/>
      <c r="AZ68" s="244"/>
      <c r="BA68" s="244"/>
      <c r="BB68" s="258"/>
      <c r="BC68" s="244"/>
      <c r="BD68" s="244"/>
      <c r="BE68" s="244"/>
      <c r="BF68" s="244"/>
      <c r="BG68" s="244"/>
      <c r="BH68" s="244"/>
      <c r="BI68" s="244"/>
      <c r="BJ68" s="244"/>
      <c r="BK68" s="258"/>
      <c r="BL68" s="244"/>
      <c r="BM68" s="244"/>
      <c r="BN68" s="244"/>
      <c r="BO68" s="244"/>
      <c r="BP68" s="244"/>
      <c r="BQ68" s="244"/>
      <c r="BR68" s="94"/>
      <c r="BS68" s="94"/>
      <c r="BT68" s="94"/>
    </row>
    <row r="69" spans="2:72" s="160" customFormat="1" ht="22.5" customHeight="1">
      <c r="B69" s="257"/>
      <c r="H69" s="257"/>
      <c r="J69" s="256"/>
      <c r="O69" s="257"/>
      <c r="R69" s="256"/>
      <c r="W69" s="257"/>
      <c r="Z69" s="258"/>
      <c r="AK69" s="258"/>
      <c r="AS69" s="258"/>
      <c r="AT69" s="94"/>
      <c r="AU69" s="94"/>
      <c r="AV69" s="94"/>
      <c r="AW69" s="244"/>
      <c r="AX69" s="244"/>
      <c r="AY69" s="244"/>
      <c r="AZ69" s="244"/>
      <c r="BA69" s="244"/>
      <c r="BB69" s="258"/>
      <c r="BC69" s="244"/>
      <c r="BD69" s="244"/>
      <c r="BE69" s="244"/>
      <c r="BF69" s="244"/>
      <c r="BG69" s="244"/>
      <c r="BH69" s="244"/>
      <c r="BI69" s="244"/>
      <c r="BJ69" s="244"/>
      <c r="BK69" s="258"/>
      <c r="BL69" s="244"/>
      <c r="BM69" s="244"/>
      <c r="BN69" s="244"/>
      <c r="BO69" s="244"/>
      <c r="BP69" s="244"/>
      <c r="BQ69" s="244"/>
      <c r="BR69" s="94"/>
      <c r="BS69" s="94"/>
      <c r="BT69" s="94"/>
    </row>
    <row r="70" spans="2:72" s="160" customFormat="1" ht="22.5" customHeight="1">
      <c r="B70" s="257"/>
      <c r="H70" s="257"/>
      <c r="J70" s="256"/>
      <c r="O70" s="257"/>
      <c r="R70" s="256"/>
      <c r="W70" s="257"/>
      <c r="Z70" s="258"/>
      <c r="AK70" s="258"/>
      <c r="AT70" s="94"/>
      <c r="AU70" s="94"/>
      <c r="AV70" s="94"/>
      <c r="AW70" s="244"/>
      <c r="AX70" s="244"/>
      <c r="AY70" s="259"/>
      <c r="AZ70" s="244"/>
      <c r="BA70" s="244"/>
      <c r="BB70" s="258"/>
      <c r="BC70" s="244"/>
      <c r="BD70" s="244"/>
      <c r="BE70" s="244"/>
      <c r="BF70" s="244"/>
      <c r="BG70" s="244"/>
      <c r="BH70" s="244"/>
      <c r="BI70" s="244"/>
      <c r="BJ70" s="244"/>
      <c r="BK70" s="258"/>
      <c r="BL70" s="244"/>
      <c r="BM70" s="244"/>
      <c r="BN70" s="244"/>
      <c r="BO70" s="244"/>
      <c r="BP70" s="244"/>
      <c r="BQ70" s="244"/>
      <c r="BR70" s="94"/>
      <c r="BS70" s="94"/>
      <c r="BT70" s="94"/>
    </row>
    <row r="71" spans="2:72" s="160" customFormat="1" ht="22.5" customHeight="1">
      <c r="B71" s="257"/>
      <c r="H71" s="257"/>
      <c r="J71" s="256"/>
      <c r="O71" s="257"/>
      <c r="R71" s="256"/>
      <c r="W71" s="257"/>
      <c r="Z71" s="258"/>
      <c r="AK71" s="258"/>
      <c r="AS71" s="258"/>
      <c r="AT71" s="94"/>
      <c r="AU71" s="94"/>
      <c r="AV71" s="94"/>
      <c r="AW71" s="244"/>
      <c r="AX71" s="244"/>
      <c r="AY71" s="259"/>
      <c r="AZ71" s="244"/>
      <c r="BA71" s="244"/>
      <c r="BB71" s="258"/>
      <c r="BC71" s="244"/>
      <c r="BD71" s="244"/>
      <c r="BE71" s="244"/>
      <c r="BF71" s="244"/>
      <c r="BG71" s="244"/>
      <c r="BH71" s="244"/>
      <c r="BI71" s="244"/>
      <c r="BJ71" s="234"/>
      <c r="BK71" s="258"/>
      <c r="BL71" s="244"/>
      <c r="BM71" s="244"/>
      <c r="BN71" s="244"/>
      <c r="BO71" s="244"/>
      <c r="BP71" s="244"/>
      <c r="BQ71" s="244"/>
      <c r="BR71" s="94"/>
      <c r="BS71" s="94"/>
      <c r="BT71" s="94"/>
    </row>
    <row r="72" spans="2:72" s="160" customFormat="1" ht="22.5" customHeight="1">
      <c r="B72" s="257"/>
      <c r="H72" s="257"/>
      <c r="J72" s="256"/>
      <c r="O72" s="257"/>
      <c r="R72" s="256"/>
      <c r="W72" s="257"/>
      <c r="Z72" s="258"/>
      <c r="AK72" s="258"/>
      <c r="AS72" s="258"/>
      <c r="AT72" s="94"/>
      <c r="AU72" s="94"/>
      <c r="AV72" s="94"/>
      <c r="AW72" s="244"/>
      <c r="AX72" s="244"/>
      <c r="AY72" s="259"/>
      <c r="AZ72" s="244"/>
      <c r="BA72" s="244"/>
      <c r="BB72" s="258"/>
      <c r="BC72" s="244"/>
      <c r="BD72" s="244"/>
      <c r="BE72" s="244"/>
      <c r="BF72" s="244"/>
      <c r="BG72" s="244"/>
      <c r="BH72" s="244"/>
      <c r="BI72" s="244"/>
      <c r="BJ72" s="234"/>
      <c r="BK72" s="258"/>
      <c r="BL72" s="244"/>
      <c r="BM72" s="244"/>
      <c r="BN72" s="244"/>
      <c r="BO72" s="244"/>
      <c r="BP72" s="244"/>
      <c r="BQ72" s="244"/>
      <c r="BR72" s="94"/>
      <c r="BS72" s="94"/>
      <c r="BT72" s="94"/>
    </row>
    <row r="73" spans="2:72" s="160" customFormat="1" ht="22.5" customHeight="1">
      <c r="B73" s="257"/>
      <c r="H73" s="257"/>
      <c r="J73" s="256"/>
      <c r="O73" s="257"/>
      <c r="R73" s="256"/>
      <c r="W73" s="257"/>
      <c r="Z73" s="258"/>
      <c r="AK73" s="258"/>
      <c r="AS73" s="258"/>
      <c r="AT73" s="244"/>
      <c r="AU73" s="244"/>
      <c r="AV73" s="244"/>
      <c r="AW73" s="244"/>
      <c r="AX73" s="244"/>
      <c r="AY73" s="244"/>
      <c r="AZ73" s="244"/>
      <c r="BA73" s="244"/>
      <c r="BB73" s="258"/>
      <c r="BC73" s="244"/>
      <c r="BD73" s="244"/>
      <c r="BE73" s="244"/>
      <c r="BF73" s="244"/>
      <c r="BG73" s="244"/>
      <c r="BH73" s="244"/>
      <c r="BI73" s="244"/>
      <c r="BJ73" s="234"/>
      <c r="BK73" s="258"/>
      <c r="BL73" s="244"/>
      <c r="BM73" s="244"/>
      <c r="BN73" s="244"/>
      <c r="BO73" s="244"/>
      <c r="BP73" s="244"/>
      <c r="BQ73" s="244"/>
      <c r="BR73" s="94"/>
      <c r="BS73" s="94"/>
      <c r="BT73" s="94"/>
    </row>
    <row r="74" spans="2:72" ht="22.5" customHeight="1">
      <c r="AT74" s="244"/>
      <c r="AU74" s="244"/>
      <c r="AV74" s="244"/>
      <c r="AW74" s="244"/>
      <c r="AX74" s="244"/>
      <c r="AY74" s="244"/>
      <c r="AZ74" s="244"/>
      <c r="BA74" s="244"/>
      <c r="BC74" s="244"/>
      <c r="BD74" s="244"/>
      <c r="BE74" s="244"/>
      <c r="BF74" s="244"/>
      <c r="BG74" s="244"/>
      <c r="BH74" s="244"/>
      <c r="BI74" s="244"/>
      <c r="BJ74" s="244"/>
      <c r="BL74" s="244"/>
      <c r="BM74" s="244"/>
      <c r="BN74" s="244"/>
      <c r="BO74" s="244"/>
      <c r="BP74" s="244"/>
      <c r="BQ74" s="244"/>
      <c r="BR74" s="94"/>
      <c r="BS74" s="94"/>
      <c r="BT74" s="94"/>
    </row>
    <row r="75" spans="2:72" s="94" customFormat="1" ht="22.5" customHeight="1">
      <c r="J75" s="258"/>
      <c r="K75" s="244"/>
      <c r="L75" s="244"/>
      <c r="M75" s="244"/>
      <c r="N75" s="244"/>
      <c r="O75" s="244"/>
      <c r="P75" s="244"/>
      <c r="Q75" s="244"/>
      <c r="R75" s="258"/>
      <c r="S75" s="244"/>
      <c r="T75" s="244"/>
      <c r="U75" s="244"/>
      <c r="V75" s="244"/>
      <c r="W75" s="244"/>
      <c r="X75" s="244"/>
      <c r="AR75" s="244"/>
      <c r="AS75" s="258"/>
      <c r="AT75" s="244"/>
      <c r="AU75" s="244"/>
      <c r="AV75" s="244"/>
      <c r="AW75" s="244"/>
      <c r="AX75" s="244"/>
      <c r="AY75" s="244"/>
      <c r="AZ75" s="244"/>
      <c r="BA75" s="244"/>
      <c r="BB75" s="258"/>
      <c r="BC75" s="244"/>
      <c r="BD75" s="244"/>
      <c r="BE75" s="244"/>
      <c r="BF75" s="244"/>
      <c r="BG75" s="244"/>
      <c r="BH75" s="244"/>
      <c r="BI75" s="244"/>
      <c r="BJ75" s="244"/>
      <c r="BK75" s="258"/>
      <c r="BL75" s="244"/>
      <c r="BM75" s="244"/>
      <c r="BN75" s="244"/>
      <c r="BO75" s="244"/>
      <c r="BP75" s="244"/>
      <c r="BQ75" s="244"/>
    </row>
    <row r="76" spans="2:72" s="94" customFormat="1" ht="22.5" customHeight="1">
      <c r="J76" s="258"/>
      <c r="K76" s="244"/>
      <c r="L76" s="244"/>
      <c r="M76" s="244"/>
      <c r="N76" s="244"/>
      <c r="O76" s="244"/>
      <c r="P76" s="244"/>
      <c r="Q76" s="244"/>
      <c r="R76" s="258"/>
      <c r="S76" s="244"/>
      <c r="T76" s="244"/>
      <c r="U76" s="244"/>
      <c r="V76" s="244"/>
      <c r="W76" s="244"/>
      <c r="X76" s="244"/>
      <c r="Y76" s="244"/>
      <c r="Z76" s="258"/>
      <c r="AA76" s="244"/>
      <c r="AB76" s="244"/>
      <c r="AC76" s="244"/>
      <c r="AD76" s="244"/>
      <c r="AE76" s="244"/>
      <c r="AF76" s="244"/>
      <c r="AG76" s="244"/>
      <c r="AH76" s="244"/>
      <c r="AI76" s="244"/>
      <c r="AR76" s="244"/>
      <c r="AS76" s="258"/>
      <c r="AT76" s="244"/>
      <c r="AU76" s="244"/>
      <c r="AV76" s="244"/>
      <c r="AW76" s="244"/>
      <c r="AX76" s="244"/>
      <c r="AY76" s="244"/>
      <c r="AZ76" s="244"/>
      <c r="BA76" s="244"/>
      <c r="BB76" s="258"/>
      <c r="BC76" s="244"/>
      <c r="BD76" s="244"/>
      <c r="BE76" s="244"/>
      <c r="BF76" s="244"/>
      <c r="BG76" s="244"/>
      <c r="BH76" s="244"/>
      <c r="BI76" s="244"/>
      <c r="BJ76" s="244"/>
      <c r="BK76" s="258"/>
      <c r="BL76" s="244"/>
      <c r="BM76" s="244"/>
      <c r="BN76" s="244"/>
      <c r="BO76" s="244"/>
      <c r="BP76" s="244"/>
      <c r="BQ76" s="244"/>
    </row>
    <row r="77" spans="2:72" s="94" customFormat="1" ht="22.5" customHeight="1">
      <c r="J77" s="258"/>
      <c r="K77" s="244"/>
      <c r="L77" s="244"/>
      <c r="M77" s="244"/>
      <c r="N77" s="244"/>
      <c r="O77" s="244"/>
      <c r="P77" s="244"/>
      <c r="Q77" s="244"/>
      <c r="R77" s="258"/>
      <c r="S77" s="244"/>
      <c r="T77" s="244"/>
      <c r="U77" s="244"/>
      <c r="V77" s="244"/>
      <c r="W77" s="244"/>
      <c r="X77" s="244"/>
      <c r="Y77" s="244"/>
      <c r="Z77" s="258"/>
      <c r="AA77" s="244"/>
      <c r="AB77" s="244"/>
      <c r="AC77" s="244"/>
      <c r="AD77" s="244"/>
      <c r="AE77" s="244"/>
      <c r="AF77" s="244"/>
      <c r="AG77" s="244"/>
      <c r="AH77" s="244"/>
      <c r="AI77" s="244"/>
      <c r="AR77" s="244"/>
      <c r="AS77" s="258"/>
      <c r="AT77" s="244"/>
      <c r="AU77" s="244"/>
      <c r="AV77" s="244"/>
      <c r="AW77" s="244"/>
      <c r="AX77" s="244"/>
      <c r="AY77" s="244"/>
      <c r="AZ77" s="244"/>
      <c r="BA77" s="244"/>
      <c r="BB77" s="258"/>
      <c r="BC77" s="244"/>
      <c r="BD77" s="244"/>
      <c r="BE77" s="244"/>
      <c r="BF77" s="244"/>
      <c r="BG77" s="244"/>
      <c r="BH77" s="244"/>
      <c r="BI77" s="244"/>
      <c r="BJ77" s="244"/>
      <c r="BK77" s="258"/>
      <c r="BL77" s="244"/>
      <c r="BM77" s="244"/>
      <c r="BN77" s="244"/>
      <c r="BO77" s="244"/>
      <c r="BP77" s="244"/>
      <c r="BQ77" s="244"/>
    </row>
    <row r="78" spans="2:72" s="94" customFormat="1" ht="22.5" customHeight="1">
      <c r="J78" s="258"/>
      <c r="K78" s="244"/>
      <c r="L78" s="244"/>
      <c r="M78" s="244"/>
      <c r="N78" s="244"/>
      <c r="O78" s="244"/>
      <c r="P78" s="244"/>
      <c r="Q78" s="244"/>
      <c r="R78" s="258"/>
      <c r="S78" s="244"/>
      <c r="T78" s="244"/>
      <c r="U78" s="244"/>
      <c r="V78" s="244"/>
      <c r="W78" s="244"/>
      <c r="X78" s="244"/>
      <c r="Y78" s="244"/>
      <c r="Z78" s="258"/>
      <c r="AA78" s="244"/>
      <c r="AB78" s="244"/>
      <c r="AC78" s="244"/>
      <c r="AD78" s="244"/>
      <c r="AE78" s="244"/>
      <c r="AF78" s="244"/>
      <c r="AG78" s="244"/>
      <c r="AH78" s="244"/>
      <c r="AI78" s="244"/>
      <c r="AJ78" s="244"/>
      <c r="AK78" s="258"/>
      <c r="AL78" s="244"/>
      <c r="AM78" s="244"/>
      <c r="AN78" s="244"/>
      <c r="AO78" s="244"/>
      <c r="AP78" s="244"/>
      <c r="AQ78" s="244"/>
      <c r="AR78" s="234"/>
      <c r="AS78" s="258"/>
      <c r="AT78" s="244"/>
      <c r="AU78" s="244"/>
      <c r="AV78" s="244"/>
      <c r="AW78" s="244"/>
      <c r="AX78" s="244"/>
      <c r="AY78" s="244"/>
      <c r="AZ78" s="244"/>
      <c r="BA78" s="244"/>
      <c r="BB78" s="258"/>
      <c r="BC78" s="244"/>
      <c r="BD78" s="244"/>
      <c r="BE78" s="244"/>
      <c r="BF78" s="244"/>
      <c r="BG78" s="244"/>
      <c r="BH78" s="244"/>
      <c r="BI78" s="244"/>
      <c r="BJ78" s="244"/>
      <c r="BK78" s="258"/>
      <c r="BL78" s="244"/>
      <c r="BM78" s="244"/>
      <c r="BN78" s="244"/>
      <c r="BO78" s="244"/>
      <c r="BP78" s="244"/>
      <c r="BQ78" s="244"/>
    </row>
    <row r="79" spans="2:72" s="94" customFormat="1" ht="22.5" customHeight="1">
      <c r="J79" s="258"/>
      <c r="K79" s="244"/>
      <c r="L79" s="244"/>
      <c r="M79" s="244"/>
      <c r="N79" s="244"/>
      <c r="O79" s="244"/>
      <c r="P79" s="244"/>
      <c r="Q79" s="244"/>
      <c r="R79" s="258"/>
      <c r="S79" s="244"/>
      <c r="T79" s="244"/>
      <c r="U79" s="244"/>
      <c r="V79" s="244"/>
      <c r="W79" s="244"/>
      <c r="X79" s="244"/>
      <c r="Y79" s="244"/>
      <c r="Z79" s="258"/>
      <c r="AA79" s="244"/>
      <c r="AB79" s="244"/>
      <c r="AC79" s="244"/>
      <c r="AD79" s="244"/>
      <c r="AE79" s="244"/>
      <c r="AF79" s="244"/>
      <c r="AG79" s="244"/>
      <c r="AH79" s="244"/>
      <c r="AI79" s="244"/>
      <c r="AR79" s="234"/>
      <c r="AS79" s="258"/>
      <c r="AT79" s="244"/>
      <c r="AU79" s="244"/>
      <c r="AV79" s="244"/>
      <c r="AW79" s="244"/>
      <c r="AX79" s="244"/>
      <c r="AY79" s="244"/>
      <c r="AZ79" s="244"/>
      <c r="BA79" s="244"/>
      <c r="BB79" s="258"/>
      <c r="BC79" s="244"/>
      <c r="BD79" s="244"/>
      <c r="BE79" s="244"/>
      <c r="BF79" s="244"/>
      <c r="BG79" s="244"/>
      <c r="BH79" s="244"/>
      <c r="BI79" s="244"/>
      <c r="BJ79" s="244"/>
      <c r="BK79" s="258"/>
      <c r="BL79" s="244"/>
      <c r="BM79" s="244"/>
      <c r="BN79" s="244"/>
      <c r="BO79" s="244"/>
      <c r="BP79" s="244"/>
      <c r="BQ79" s="244"/>
    </row>
    <row r="80" spans="2:72" s="94" customFormat="1" ht="22.5" customHeight="1">
      <c r="J80" s="258"/>
      <c r="K80" s="244"/>
      <c r="L80" s="244"/>
      <c r="M80" s="244"/>
      <c r="N80" s="244"/>
      <c r="O80" s="244"/>
      <c r="P80" s="244"/>
      <c r="Q80" s="244"/>
      <c r="R80" s="258"/>
      <c r="S80" s="244"/>
      <c r="T80" s="244"/>
      <c r="U80" s="244"/>
      <c r="V80" s="244"/>
      <c r="W80" s="244"/>
      <c r="X80" s="244"/>
      <c r="Y80" s="244"/>
      <c r="Z80" s="258"/>
      <c r="AA80" s="244"/>
      <c r="AB80" s="244"/>
      <c r="AC80" s="244"/>
      <c r="AD80" s="244"/>
      <c r="AE80" s="244"/>
      <c r="AF80" s="244"/>
      <c r="AG80" s="244"/>
      <c r="AH80" s="244"/>
      <c r="AI80" s="244"/>
      <c r="AR80" s="234"/>
      <c r="AS80" s="258"/>
      <c r="AT80" s="244"/>
      <c r="AU80" s="244"/>
      <c r="AV80" s="244"/>
      <c r="AW80" s="244"/>
      <c r="AX80" s="244"/>
      <c r="AY80" s="244"/>
      <c r="AZ80" s="244"/>
      <c r="BA80" s="244"/>
      <c r="BB80" s="258"/>
      <c r="BC80" s="244"/>
      <c r="BD80" s="244"/>
      <c r="BE80" s="244"/>
      <c r="BF80" s="244"/>
      <c r="BG80" s="244"/>
      <c r="BH80" s="244"/>
      <c r="BI80" s="244"/>
      <c r="BJ80" s="244"/>
      <c r="BK80" s="258"/>
      <c r="BL80" s="244"/>
      <c r="BM80" s="244"/>
      <c r="BN80" s="244"/>
      <c r="BO80" s="244"/>
      <c r="BP80" s="244"/>
      <c r="BQ80" s="244"/>
    </row>
    <row r="81" spans="10:72" s="94" customFormat="1" ht="22.5" customHeight="1">
      <c r="J81" s="258"/>
      <c r="K81" s="244"/>
      <c r="L81" s="244"/>
      <c r="M81" s="244"/>
      <c r="N81" s="244"/>
      <c r="O81" s="244"/>
      <c r="P81" s="244"/>
      <c r="Q81" s="244"/>
      <c r="R81" s="258"/>
      <c r="S81" s="244"/>
      <c r="T81" s="244"/>
      <c r="U81" s="244"/>
      <c r="V81" s="244"/>
      <c r="W81" s="244"/>
      <c r="X81" s="244"/>
      <c r="Y81" s="244"/>
      <c r="Z81" s="258"/>
      <c r="AA81" s="244"/>
      <c r="AB81" s="244"/>
      <c r="AC81" s="244"/>
      <c r="AD81" s="244"/>
      <c r="AE81" s="244"/>
      <c r="AF81" s="244"/>
      <c r="AG81" s="244"/>
      <c r="AH81" s="244"/>
      <c r="AI81" s="244"/>
      <c r="AR81" s="244"/>
      <c r="AS81" s="258"/>
      <c r="AT81" s="244"/>
      <c r="AU81" s="244"/>
      <c r="AV81" s="244"/>
      <c r="AW81" s="244"/>
      <c r="AX81" s="244"/>
      <c r="AY81" s="244"/>
      <c r="AZ81" s="244"/>
      <c r="BA81" s="244"/>
      <c r="BB81" s="258"/>
      <c r="BC81" s="244"/>
      <c r="BD81" s="244"/>
      <c r="BE81" s="244"/>
      <c r="BF81" s="244"/>
      <c r="BG81" s="244"/>
      <c r="BH81" s="244"/>
      <c r="BI81" s="244"/>
      <c r="BJ81" s="244"/>
      <c r="BK81" s="258"/>
      <c r="BL81" s="244"/>
      <c r="BM81" s="244"/>
      <c r="BN81" s="244"/>
      <c r="BO81" s="244"/>
      <c r="BP81" s="244"/>
      <c r="BQ81" s="244"/>
    </row>
    <row r="82" spans="10:72" s="94" customFormat="1" ht="22.5" customHeight="1">
      <c r="J82" s="258"/>
      <c r="K82" s="244"/>
      <c r="L82" s="244"/>
      <c r="M82" s="244"/>
      <c r="N82" s="244"/>
      <c r="O82" s="244"/>
      <c r="P82" s="244"/>
      <c r="Q82" s="244"/>
      <c r="R82" s="258"/>
      <c r="S82" s="244"/>
      <c r="T82" s="244"/>
      <c r="U82" s="244"/>
      <c r="V82" s="244"/>
      <c r="W82" s="244"/>
      <c r="X82" s="244"/>
      <c r="Y82" s="244"/>
      <c r="Z82" s="258"/>
      <c r="AA82" s="244"/>
      <c r="AB82" s="244"/>
      <c r="AC82" s="244"/>
      <c r="AD82" s="244"/>
      <c r="AE82" s="244"/>
      <c r="AF82" s="244"/>
      <c r="AG82" s="244"/>
      <c r="AH82" s="244"/>
      <c r="AI82" s="244"/>
      <c r="AR82" s="244"/>
      <c r="AS82" s="258"/>
      <c r="AT82" s="244"/>
      <c r="AU82" s="244"/>
      <c r="AV82" s="244"/>
      <c r="AW82" s="244"/>
      <c r="AX82" s="244"/>
      <c r="AY82" s="244"/>
      <c r="AZ82" s="244"/>
      <c r="BA82" s="244"/>
      <c r="BB82" s="258"/>
      <c r="BC82" s="244"/>
      <c r="BD82" s="244"/>
      <c r="BE82" s="244"/>
      <c r="BF82" s="244"/>
      <c r="BG82" s="244"/>
      <c r="BH82" s="244"/>
      <c r="BI82" s="244"/>
      <c r="BJ82" s="244"/>
      <c r="BK82" s="258"/>
      <c r="BL82" s="244"/>
      <c r="BM82" s="244"/>
      <c r="BN82" s="244"/>
      <c r="BO82" s="244"/>
      <c r="BP82" s="244"/>
      <c r="BQ82" s="244"/>
    </row>
    <row r="83" spans="10:72" s="94" customFormat="1" ht="22.5" customHeight="1">
      <c r="J83" s="258"/>
      <c r="K83" s="244"/>
      <c r="L83" s="244"/>
      <c r="M83" s="244"/>
      <c r="N83" s="244"/>
      <c r="O83" s="244"/>
      <c r="P83" s="244"/>
      <c r="Q83" s="244"/>
      <c r="R83" s="258"/>
      <c r="S83" s="244"/>
      <c r="T83" s="244"/>
      <c r="U83" s="244"/>
      <c r="V83" s="244"/>
      <c r="W83" s="244"/>
      <c r="X83" s="244"/>
      <c r="Y83" s="244"/>
      <c r="Z83" s="258"/>
      <c r="AA83" s="244"/>
      <c r="AB83" s="244"/>
      <c r="AC83" s="244"/>
      <c r="AD83" s="244"/>
      <c r="AE83" s="244"/>
      <c r="AF83" s="244"/>
      <c r="AG83" s="244"/>
      <c r="AH83" s="244"/>
      <c r="AI83" s="244"/>
      <c r="AR83" s="244"/>
      <c r="AS83" s="258"/>
      <c r="AT83" s="244"/>
      <c r="AU83" s="244"/>
      <c r="AV83" s="244"/>
      <c r="AW83" s="244"/>
      <c r="AX83" s="244"/>
      <c r="AY83" s="244"/>
      <c r="AZ83" s="244"/>
      <c r="BA83" s="244"/>
      <c r="BB83" s="258"/>
      <c r="BC83" s="244"/>
      <c r="BD83" s="244"/>
      <c r="BE83" s="244"/>
      <c r="BF83" s="244"/>
      <c r="BG83" s="244"/>
      <c r="BH83" s="244"/>
      <c r="BI83" s="244"/>
      <c r="BJ83" s="244"/>
      <c r="BK83" s="258"/>
      <c r="BL83" s="244"/>
      <c r="BM83" s="244"/>
      <c r="BN83" s="244"/>
      <c r="BO83" s="244"/>
      <c r="BP83" s="244"/>
      <c r="BQ83" s="244"/>
    </row>
    <row r="84" spans="10:72" s="94" customFormat="1" ht="22.5" customHeight="1">
      <c r="J84" s="258"/>
      <c r="K84" s="244"/>
      <c r="L84" s="244"/>
      <c r="M84" s="244"/>
      <c r="N84" s="244"/>
      <c r="O84" s="244"/>
      <c r="P84" s="244"/>
      <c r="Q84" s="244"/>
      <c r="R84" s="258"/>
      <c r="S84" s="244"/>
      <c r="T84" s="244"/>
      <c r="U84" s="244"/>
      <c r="V84" s="244"/>
      <c r="W84" s="244"/>
      <c r="X84" s="244"/>
      <c r="Y84" s="244"/>
      <c r="Z84" s="258"/>
      <c r="AA84" s="244"/>
      <c r="AB84" s="244"/>
      <c r="AC84" s="244"/>
      <c r="AD84" s="244"/>
      <c r="AE84" s="244"/>
      <c r="AF84" s="244"/>
      <c r="AG84" s="244"/>
      <c r="AH84" s="244"/>
      <c r="AI84" s="244"/>
      <c r="AR84" s="244"/>
      <c r="AS84" s="258"/>
      <c r="AT84" s="244"/>
      <c r="AU84" s="244"/>
      <c r="AV84" s="244"/>
      <c r="AW84" s="244"/>
      <c r="AX84" s="244"/>
      <c r="AY84" s="244"/>
      <c r="AZ84" s="244"/>
      <c r="BA84" s="244"/>
      <c r="BB84" s="258"/>
      <c r="BC84" s="244"/>
      <c r="BD84" s="244"/>
      <c r="BE84" s="244"/>
      <c r="BF84" s="244"/>
      <c r="BG84" s="244"/>
      <c r="BH84" s="244"/>
      <c r="BI84" s="244"/>
      <c r="BJ84" s="244"/>
      <c r="BK84" s="258"/>
      <c r="BL84" s="244"/>
      <c r="BM84" s="244"/>
      <c r="BN84" s="244"/>
      <c r="BO84" s="244"/>
      <c r="BP84" s="244"/>
      <c r="BQ84" s="244"/>
    </row>
    <row r="85" spans="10:72" s="94" customFormat="1" ht="22.5" customHeight="1">
      <c r="J85" s="258"/>
      <c r="K85" s="244"/>
      <c r="L85" s="244"/>
      <c r="M85" s="244"/>
      <c r="N85" s="244"/>
      <c r="O85" s="244"/>
      <c r="P85" s="244"/>
      <c r="Q85" s="244"/>
      <c r="R85" s="258"/>
      <c r="S85" s="244"/>
      <c r="T85" s="244"/>
      <c r="U85" s="244"/>
      <c r="V85" s="244"/>
      <c r="W85" s="244"/>
      <c r="X85" s="244"/>
      <c r="Y85" s="244"/>
      <c r="Z85" s="258"/>
      <c r="AA85" s="244"/>
      <c r="AB85" s="244"/>
      <c r="AC85" s="244"/>
      <c r="AD85" s="244"/>
      <c r="AE85" s="244"/>
      <c r="AF85" s="244"/>
      <c r="AG85" s="244"/>
      <c r="AH85" s="244"/>
      <c r="AI85" s="244"/>
      <c r="AR85" s="244"/>
      <c r="AS85" s="258"/>
      <c r="AT85" s="244"/>
      <c r="AU85" s="244"/>
      <c r="AV85" s="244"/>
      <c r="AW85" s="244"/>
      <c r="AX85" s="244"/>
      <c r="AY85" s="244"/>
      <c r="AZ85" s="244"/>
      <c r="BA85" s="244"/>
      <c r="BB85" s="258"/>
      <c r="BC85" s="244"/>
      <c r="BD85" s="244"/>
      <c r="BE85" s="244"/>
      <c r="BF85" s="244"/>
      <c r="BG85" s="244"/>
      <c r="BH85" s="244"/>
      <c r="BI85" s="244"/>
      <c r="BJ85" s="244"/>
      <c r="BK85" s="258"/>
      <c r="BL85" s="244"/>
      <c r="BM85" s="244"/>
      <c r="BN85" s="244"/>
      <c r="BO85" s="244"/>
      <c r="BP85" s="244"/>
      <c r="BQ85" s="244"/>
    </row>
    <row r="86" spans="10:72" s="94" customFormat="1" ht="22.5" customHeight="1">
      <c r="J86" s="258"/>
      <c r="K86" s="244"/>
      <c r="L86" s="244"/>
      <c r="M86" s="244"/>
      <c r="N86" s="244"/>
      <c r="O86" s="244"/>
      <c r="P86" s="244"/>
      <c r="Q86" s="244"/>
      <c r="R86" s="258"/>
      <c r="S86" s="244"/>
      <c r="T86" s="244"/>
      <c r="U86" s="244"/>
      <c r="V86" s="244"/>
      <c r="W86" s="244"/>
      <c r="X86" s="244"/>
      <c r="Y86" s="244"/>
      <c r="Z86" s="258"/>
      <c r="AA86" s="244"/>
      <c r="AB86" s="244"/>
      <c r="AC86" s="244"/>
      <c r="AD86" s="244"/>
      <c r="AE86" s="244"/>
      <c r="AF86" s="244"/>
      <c r="AG86" s="244"/>
      <c r="AH86" s="244"/>
      <c r="AI86" s="244"/>
      <c r="AR86" s="244"/>
      <c r="AS86" s="258"/>
      <c r="AT86" s="244"/>
      <c r="AU86" s="244"/>
      <c r="AV86" s="244"/>
      <c r="AW86" s="244"/>
      <c r="AX86" s="244"/>
      <c r="AY86" s="244"/>
      <c r="AZ86" s="244"/>
      <c r="BA86" s="244"/>
      <c r="BB86" s="258"/>
      <c r="BC86" s="244"/>
      <c r="BD86" s="244"/>
      <c r="BE86" s="244"/>
      <c r="BF86" s="244"/>
      <c r="BG86" s="244"/>
      <c r="BH86" s="244"/>
      <c r="BI86" s="244"/>
      <c r="BJ86" s="244"/>
      <c r="BK86" s="258"/>
      <c r="BL86" s="244"/>
      <c r="BM86" s="244"/>
      <c r="BN86" s="244"/>
      <c r="BO86" s="244"/>
      <c r="BP86" s="244"/>
      <c r="BQ86" s="244"/>
    </row>
    <row r="87" spans="10:72" s="94" customFormat="1" ht="22.5" customHeight="1">
      <c r="J87" s="258"/>
      <c r="K87" s="244"/>
      <c r="L87" s="244"/>
      <c r="M87" s="244"/>
      <c r="N87" s="244"/>
      <c r="O87" s="244"/>
      <c r="P87" s="244"/>
      <c r="Q87" s="244"/>
      <c r="R87" s="258"/>
      <c r="S87" s="244"/>
      <c r="T87" s="244"/>
      <c r="U87" s="244"/>
      <c r="V87" s="244"/>
      <c r="W87" s="244"/>
      <c r="X87" s="244"/>
      <c r="Y87" s="244"/>
      <c r="Z87" s="258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58"/>
      <c r="AL87" s="244"/>
      <c r="AM87" s="244"/>
      <c r="AN87" s="244"/>
      <c r="AO87" s="244"/>
      <c r="AP87" s="244"/>
      <c r="AQ87" s="244"/>
      <c r="AR87" s="244"/>
      <c r="AS87" s="258"/>
      <c r="AT87" s="244"/>
      <c r="AU87" s="244"/>
      <c r="AV87" s="244"/>
      <c r="AW87" s="244"/>
      <c r="AX87" s="244"/>
      <c r="AY87" s="244"/>
      <c r="AZ87" s="244"/>
      <c r="BA87" s="244"/>
      <c r="BB87" s="258"/>
      <c r="BC87" s="244"/>
      <c r="BD87" s="244"/>
      <c r="BE87" s="244"/>
      <c r="BF87" s="244"/>
      <c r="BG87" s="244"/>
      <c r="BH87" s="244"/>
      <c r="BI87" s="244"/>
      <c r="BJ87" s="244"/>
      <c r="BK87" s="258"/>
      <c r="BL87" s="244"/>
      <c r="BM87" s="244"/>
      <c r="BN87" s="244"/>
      <c r="BO87" s="244"/>
      <c r="BP87" s="244"/>
      <c r="BQ87" s="244"/>
      <c r="BR87" s="8"/>
      <c r="BS87" s="8"/>
      <c r="BT87" s="8"/>
    </row>
    <row r="88" spans="10:72" s="94" customFormat="1" ht="22.5" customHeight="1">
      <c r="J88" s="258"/>
      <c r="K88" s="244"/>
      <c r="L88" s="244"/>
      <c r="M88" s="244"/>
      <c r="N88" s="244"/>
      <c r="O88" s="244"/>
      <c r="P88" s="244"/>
      <c r="Q88" s="244"/>
      <c r="R88" s="258"/>
      <c r="S88" s="244"/>
      <c r="T88" s="244"/>
      <c r="U88" s="244"/>
      <c r="V88" s="244"/>
      <c r="W88" s="244"/>
      <c r="X88" s="244"/>
      <c r="Y88" s="244"/>
      <c r="Z88" s="258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58"/>
      <c r="AL88" s="244"/>
      <c r="AM88" s="244"/>
      <c r="AN88" s="244"/>
      <c r="AO88" s="244"/>
      <c r="AP88" s="244"/>
      <c r="AQ88" s="244"/>
      <c r="AR88" s="244"/>
      <c r="AS88" s="258"/>
      <c r="AT88" s="244"/>
      <c r="AU88" s="244"/>
      <c r="AV88" s="244"/>
      <c r="AW88" s="244"/>
      <c r="AX88" s="244"/>
      <c r="AY88" s="244"/>
      <c r="AZ88" s="244"/>
      <c r="BA88" s="244"/>
      <c r="BB88" s="258"/>
      <c r="BC88" s="244"/>
      <c r="BD88" s="244"/>
      <c r="BE88" s="244"/>
      <c r="BF88" s="244"/>
      <c r="BG88" s="244"/>
      <c r="BH88" s="244"/>
      <c r="BI88" s="244"/>
      <c r="BJ88" s="244"/>
      <c r="BK88" s="258"/>
      <c r="BL88" s="244"/>
      <c r="BM88" s="244"/>
      <c r="BN88" s="244"/>
      <c r="BO88" s="244"/>
      <c r="BP88" s="244"/>
      <c r="BQ88" s="244"/>
      <c r="BR88" s="196"/>
      <c r="BS88" s="196"/>
      <c r="BT88" s="196"/>
    </row>
    <row r="89" spans="10:72" s="94" customFormat="1" ht="22.5" customHeight="1">
      <c r="J89" s="258"/>
      <c r="K89" s="244"/>
      <c r="L89" s="244"/>
      <c r="M89" s="244"/>
      <c r="N89" s="244"/>
      <c r="O89" s="244"/>
      <c r="P89" s="244"/>
      <c r="Q89" s="244"/>
      <c r="R89" s="258"/>
      <c r="S89" s="244"/>
      <c r="T89" s="244"/>
      <c r="U89" s="244"/>
      <c r="V89" s="244"/>
      <c r="W89" s="244"/>
      <c r="X89" s="244"/>
      <c r="Y89" s="244"/>
      <c r="Z89" s="258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58"/>
      <c r="AL89" s="244"/>
      <c r="AM89" s="244"/>
      <c r="AN89" s="244"/>
      <c r="AO89" s="244"/>
      <c r="AP89" s="244"/>
      <c r="AQ89" s="244"/>
      <c r="AR89" s="244"/>
      <c r="AS89" s="258"/>
      <c r="AT89" s="244"/>
      <c r="AU89" s="244"/>
      <c r="AV89" s="244"/>
      <c r="AW89" s="244"/>
      <c r="AX89" s="244"/>
      <c r="AY89" s="244"/>
      <c r="AZ89" s="244"/>
      <c r="BA89" s="244"/>
      <c r="BB89" s="258"/>
      <c r="BC89" s="244"/>
      <c r="BD89" s="244"/>
      <c r="BE89" s="244"/>
      <c r="BF89" s="244"/>
      <c r="BG89" s="244"/>
      <c r="BH89" s="244"/>
      <c r="BI89" s="244"/>
      <c r="BJ89" s="244"/>
      <c r="BK89" s="258"/>
      <c r="BL89" s="244"/>
      <c r="BM89" s="244"/>
      <c r="BN89" s="244"/>
      <c r="BO89" s="244"/>
      <c r="BP89" s="244"/>
      <c r="BQ89" s="244"/>
      <c r="BR89" s="196"/>
      <c r="BS89" s="196"/>
      <c r="BT89" s="196"/>
    </row>
    <row r="90" spans="10:72" s="94" customFormat="1" ht="22.5" customHeight="1">
      <c r="J90" s="258"/>
      <c r="K90" s="244"/>
      <c r="L90" s="244"/>
      <c r="M90" s="244"/>
      <c r="N90" s="244"/>
      <c r="O90" s="244"/>
      <c r="P90" s="244"/>
      <c r="Q90" s="244"/>
      <c r="R90" s="258"/>
      <c r="S90" s="244"/>
      <c r="T90" s="244"/>
      <c r="U90" s="244"/>
      <c r="V90" s="244"/>
      <c r="W90" s="244"/>
      <c r="X90" s="244"/>
      <c r="Y90" s="244"/>
      <c r="Z90" s="258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58"/>
      <c r="AL90" s="244"/>
      <c r="AM90" s="244"/>
      <c r="AN90" s="244"/>
      <c r="AO90" s="244"/>
      <c r="AP90" s="244"/>
      <c r="AQ90" s="244"/>
      <c r="AR90" s="244"/>
      <c r="AS90" s="258"/>
      <c r="AT90" s="244"/>
      <c r="AU90" s="244"/>
      <c r="AV90" s="244"/>
      <c r="AW90" s="244"/>
      <c r="AX90" s="244"/>
      <c r="AY90" s="244"/>
      <c r="AZ90" s="244"/>
      <c r="BA90" s="244"/>
      <c r="BB90" s="258"/>
      <c r="BC90" s="244"/>
      <c r="BD90" s="244"/>
      <c r="BE90" s="244"/>
      <c r="BF90" s="244"/>
      <c r="BG90" s="244"/>
      <c r="BH90" s="244"/>
      <c r="BI90" s="244"/>
      <c r="BJ90" s="244"/>
      <c r="BK90" s="258"/>
      <c r="BL90" s="244"/>
      <c r="BM90" s="244"/>
      <c r="BN90" s="244"/>
      <c r="BO90" s="244"/>
      <c r="BP90" s="244"/>
      <c r="BQ90" s="244"/>
      <c r="BR90" s="36"/>
      <c r="BS90" s="36"/>
      <c r="BT90" s="36"/>
    </row>
    <row r="91" spans="10:72" s="94" customFormat="1" ht="22.5" customHeight="1">
      <c r="J91" s="258"/>
      <c r="K91" s="244"/>
      <c r="L91" s="244"/>
      <c r="M91" s="244"/>
      <c r="N91" s="244"/>
      <c r="O91" s="244"/>
      <c r="P91" s="244"/>
      <c r="Q91" s="244"/>
      <c r="R91" s="258"/>
      <c r="S91" s="244"/>
      <c r="T91" s="244"/>
      <c r="U91" s="244"/>
      <c r="V91" s="244"/>
      <c r="W91" s="244"/>
      <c r="X91" s="244"/>
      <c r="Y91" s="244"/>
      <c r="Z91" s="258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58"/>
      <c r="AL91" s="244"/>
      <c r="AM91" s="244"/>
      <c r="AN91" s="244"/>
      <c r="AO91" s="244"/>
      <c r="AP91" s="244"/>
      <c r="AQ91" s="244"/>
      <c r="AR91" s="244"/>
      <c r="AS91" s="258"/>
      <c r="AT91" s="244"/>
      <c r="AU91" s="244"/>
      <c r="AV91" s="244"/>
      <c r="AW91" s="244"/>
      <c r="AX91" s="244"/>
      <c r="AY91" s="244"/>
      <c r="AZ91" s="244"/>
      <c r="BA91" s="244"/>
      <c r="BB91" s="258"/>
      <c r="BC91" s="244"/>
      <c r="BD91" s="244"/>
      <c r="BE91" s="244"/>
      <c r="BF91" s="244"/>
      <c r="BG91" s="244"/>
      <c r="BH91" s="244"/>
      <c r="BI91" s="244"/>
      <c r="BJ91" s="244"/>
      <c r="BK91" s="258"/>
      <c r="BL91" s="160"/>
      <c r="BM91" s="160"/>
      <c r="BN91" s="160"/>
      <c r="BO91" s="160"/>
      <c r="BP91" s="160"/>
      <c r="BQ91" s="160"/>
      <c r="BR91" s="36"/>
      <c r="BS91" s="36"/>
      <c r="BT91" s="36"/>
    </row>
    <row r="92" spans="10:72" s="94" customFormat="1" ht="22.5" customHeight="1">
      <c r="J92" s="258"/>
      <c r="K92" s="244"/>
      <c r="L92" s="244"/>
      <c r="M92" s="244"/>
      <c r="N92" s="244"/>
      <c r="O92" s="244"/>
      <c r="P92" s="244"/>
      <c r="Q92" s="244"/>
      <c r="R92" s="258"/>
      <c r="S92" s="244"/>
      <c r="T92" s="244"/>
      <c r="U92" s="244"/>
      <c r="V92" s="244"/>
      <c r="W92" s="244"/>
      <c r="X92" s="244"/>
      <c r="Y92" s="244"/>
      <c r="Z92" s="258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58"/>
      <c r="AL92" s="244"/>
      <c r="AM92" s="244"/>
      <c r="AN92" s="244"/>
      <c r="AO92" s="244"/>
      <c r="AP92" s="244"/>
      <c r="AQ92" s="244"/>
      <c r="AR92" s="244"/>
      <c r="AS92" s="258"/>
      <c r="AT92" s="244"/>
      <c r="AU92" s="244"/>
      <c r="AV92" s="244"/>
      <c r="AW92" s="244"/>
      <c r="AX92" s="244"/>
      <c r="AY92" s="244"/>
      <c r="AZ92" s="244"/>
      <c r="BA92" s="244"/>
      <c r="BB92" s="258"/>
      <c r="BC92" s="244"/>
      <c r="BD92" s="244"/>
      <c r="BE92" s="244"/>
      <c r="BF92" s="244"/>
      <c r="BG92" s="244"/>
      <c r="BH92" s="244"/>
      <c r="BI92" s="244"/>
      <c r="BJ92" s="244"/>
      <c r="BK92" s="258"/>
      <c r="BL92" s="260"/>
      <c r="BM92" s="260"/>
      <c r="BN92" s="260"/>
      <c r="BO92" s="260"/>
      <c r="BP92" s="260"/>
      <c r="BQ92" s="260"/>
      <c r="BR92" s="36"/>
      <c r="BS92" s="36"/>
      <c r="BT92" s="36"/>
    </row>
    <row r="93" spans="10:72" s="94" customFormat="1" ht="22.5" customHeight="1">
      <c r="J93" s="258"/>
      <c r="K93" s="244"/>
      <c r="L93" s="244"/>
      <c r="M93" s="244"/>
      <c r="N93" s="244"/>
      <c r="O93" s="244"/>
      <c r="P93" s="244"/>
      <c r="Q93" s="244"/>
      <c r="R93" s="258"/>
      <c r="S93" s="244"/>
      <c r="T93" s="244"/>
      <c r="U93" s="244"/>
      <c r="V93" s="244"/>
      <c r="W93" s="244"/>
      <c r="X93" s="244"/>
      <c r="Y93" s="244"/>
      <c r="Z93" s="258"/>
      <c r="AA93" s="244"/>
      <c r="AB93" s="244"/>
      <c r="AC93" s="244"/>
      <c r="AD93" s="244"/>
      <c r="AE93" s="244"/>
      <c r="AF93" s="244"/>
      <c r="AG93" s="244"/>
      <c r="AH93" s="244"/>
      <c r="AI93" s="244"/>
      <c r="AJ93" s="244"/>
      <c r="AK93" s="258"/>
      <c r="AL93" s="244"/>
      <c r="AM93" s="244"/>
      <c r="AN93" s="244"/>
      <c r="AO93" s="244"/>
      <c r="AP93" s="244"/>
      <c r="AQ93" s="244"/>
      <c r="AR93" s="244"/>
      <c r="AS93" s="258"/>
      <c r="AT93" s="244"/>
      <c r="AU93" s="244"/>
      <c r="AV93" s="244"/>
      <c r="AW93" s="244"/>
      <c r="AX93" s="244"/>
      <c r="AY93" s="244"/>
      <c r="AZ93" s="244"/>
      <c r="BA93" s="244"/>
      <c r="BB93" s="258"/>
      <c r="BC93" s="244"/>
      <c r="BD93" s="244"/>
      <c r="BE93" s="244"/>
      <c r="BF93" s="244"/>
      <c r="BG93" s="244"/>
      <c r="BH93" s="244"/>
      <c r="BI93" s="244"/>
      <c r="BJ93" s="244"/>
      <c r="BK93" s="258"/>
      <c r="BL93" s="260"/>
      <c r="BM93" s="260"/>
      <c r="BN93" s="260"/>
      <c r="BO93" s="260"/>
      <c r="BP93" s="260"/>
      <c r="BQ93" s="260"/>
      <c r="BR93" s="36"/>
      <c r="BS93" s="36"/>
      <c r="BT93" s="36"/>
    </row>
    <row r="94" spans="10:72" s="94" customFormat="1" ht="22.5" customHeight="1">
      <c r="J94" s="258"/>
      <c r="K94" s="244"/>
      <c r="L94" s="244"/>
      <c r="M94" s="244"/>
      <c r="N94" s="244"/>
      <c r="O94" s="244"/>
      <c r="P94" s="244"/>
      <c r="Q94" s="244"/>
      <c r="R94" s="258"/>
      <c r="S94" s="244"/>
      <c r="T94" s="244"/>
      <c r="U94" s="244"/>
      <c r="V94" s="244"/>
      <c r="W94" s="244"/>
      <c r="X94" s="244"/>
      <c r="Y94" s="244"/>
      <c r="Z94" s="258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58"/>
      <c r="AL94" s="244"/>
      <c r="AM94" s="244"/>
      <c r="AN94" s="244"/>
      <c r="AO94" s="244"/>
      <c r="AP94" s="244"/>
      <c r="AQ94" s="244"/>
      <c r="AR94" s="244"/>
      <c r="AS94" s="258"/>
      <c r="AT94" s="244"/>
      <c r="AU94" s="244"/>
      <c r="AV94" s="244"/>
      <c r="AW94" s="244"/>
      <c r="AX94" s="244"/>
      <c r="AY94" s="244"/>
      <c r="AZ94" s="244"/>
      <c r="BA94" s="244"/>
      <c r="BB94" s="258"/>
      <c r="BC94" s="244"/>
      <c r="BD94" s="244"/>
      <c r="BE94" s="244"/>
      <c r="BF94" s="244"/>
      <c r="BG94" s="244"/>
      <c r="BH94" s="244"/>
      <c r="BI94" s="244"/>
      <c r="BJ94" s="244"/>
      <c r="BK94" s="258"/>
      <c r="BL94" s="257"/>
      <c r="BM94" s="257"/>
      <c r="BN94" s="257"/>
      <c r="BO94" s="257"/>
      <c r="BP94" s="257"/>
      <c r="BQ94" s="257"/>
      <c r="BR94" s="36"/>
      <c r="BS94" s="36"/>
      <c r="BT94" s="36"/>
    </row>
    <row r="95" spans="10:72" s="94" customFormat="1" ht="22.5" customHeight="1">
      <c r="J95" s="258"/>
      <c r="K95" s="244"/>
      <c r="L95" s="244"/>
      <c r="M95" s="244"/>
      <c r="N95" s="244"/>
      <c r="O95" s="244"/>
      <c r="P95" s="244"/>
      <c r="Q95" s="244"/>
      <c r="R95" s="258"/>
      <c r="S95" s="244"/>
      <c r="T95" s="244"/>
      <c r="U95" s="244"/>
      <c r="V95" s="244"/>
      <c r="W95" s="244"/>
      <c r="X95" s="244"/>
      <c r="Y95" s="244"/>
      <c r="Z95" s="258"/>
      <c r="AA95" s="244"/>
      <c r="AB95" s="244"/>
      <c r="AC95" s="244"/>
      <c r="AD95" s="244"/>
      <c r="AE95" s="244"/>
      <c r="AF95" s="244"/>
      <c r="AG95" s="244"/>
      <c r="AH95" s="244"/>
      <c r="AI95" s="244"/>
      <c r="AJ95" s="244"/>
      <c r="AK95" s="258"/>
      <c r="AL95" s="244"/>
      <c r="AM95" s="244"/>
      <c r="AN95" s="244"/>
      <c r="AO95" s="244"/>
      <c r="AP95" s="244"/>
      <c r="AQ95" s="244"/>
      <c r="AR95" s="244"/>
      <c r="AS95" s="258"/>
      <c r="AT95" s="244"/>
      <c r="AU95" s="244"/>
      <c r="AV95" s="244"/>
      <c r="AW95" s="244"/>
      <c r="AX95" s="244"/>
      <c r="AY95" s="244"/>
      <c r="AZ95" s="244"/>
      <c r="BA95" s="244"/>
      <c r="BB95" s="258"/>
      <c r="BC95" s="244"/>
      <c r="BD95" s="244"/>
      <c r="BE95" s="244"/>
      <c r="BF95" s="244"/>
      <c r="BG95" s="244"/>
      <c r="BH95" s="244"/>
      <c r="BI95" s="244"/>
      <c r="BJ95" s="244"/>
      <c r="BK95" s="258"/>
      <c r="BL95" s="257"/>
      <c r="BM95" s="257"/>
      <c r="BN95" s="257"/>
      <c r="BO95" s="257"/>
      <c r="BP95" s="257"/>
      <c r="BQ95" s="257"/>
      <c r="BR95" s="36"/>
      <c r="BS95" s="36"/>
      <c r="BT95" s="36"/>
    </row>
    <row r="96" spans="10:72" s="94" customFormat="1" ht="22.5" customHeight="1">
      <c r="J96" s="258"/>
      <c r="K96" s="244"/>
      <c r="L96" s="244"/>
      <c r="M96" s="244"/>
      <c r="N96" s="244"/>
      <c r="O96" s="244"/>
      <c r="P96" s="244"/>
      <c r="Q96" s="244"/>
      <c r="R96" s="258"/>
      <c r="S96" s="244"/>
      <c r="T96" s="244"/>
      <c r="U96" s="244"/>
      <c r="V96" s="244"/>
      <c r="W96" s="244"/>
      <c r="X96" s="244"/>
      <c r="Y96" s="244"/>
      <c r="Z96" s="258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58"/>
      <c r="AL96" s="244"/>
      <c r="AM96" s="244"/>
      <c r="AN96" s="244"/>
      <c r="AO96" s="244"/>
      <c r="AP96" s="244"/>
      <c r="AQ96" s="244"/>
      <c r="AR96" s="244"/>
      <c r="AS96" s="258"/>
      <c r="AT96" s="244"/>
      <c r="AU96" s="244"/>
      <c r="AV96" s="244"/>
      <c r="AW96" s="244"/>
      <c r="AX96" s="244"/>
      <c r="AY96" s="244"/>
      <c r="AZ96" s="244"/>
      <c r="BA96" s="244"/>
      <c r="BB96" s="258"/>
      <c r="BC96" s="244"/>
      <c r="BD96" s="244"/>
      <c r="BE96" s="244"/>
      <c r="BF96" s="244"/>
      <c r="BG96" s="244"/>
      <c r="BH96" s="244"/>
      <c r="BI96" s="244"/>
      <c r="BJ96" s="244"/>
      <c r="BK96" s="258"/>
      <c r="BL96" s="257"/>
      <c r="BM96" s="257"/>
      <c r="BN96" s="257"/>
      <c r="BO96" s="257"/>
      <c r="BP96" s="257"/>
      <c r="BQ96" s="257"/>
      <c r="BR96" s="198"/>
      <c r="BS96" s="198"/>
      <c r="BT96" s="198"/>
    </row>
    <row r="97" spans="2:72" s="94" customFormat="1" ht="22.5" customHeight="1">
      <c r="J97" s="258"/>
      <c r="K97" s="244"/>
      <c r="L97" s="244"/>
      <c r="M97" s="244"/>
      <c r="N97" s="244"/>
      <c r="O97" s="244"/>
      <c r="P97" s="244"/>
      <c r="Q97" s="244"/>
      <c r="R97" s="258"/>
      <c r="S97" s="244"/>
      <c r="T97" s="244"/>
      <c r="U97" s="244"/>
      <c r="V97" s="244"/>
      <c r="W97" s="244"/>
      <c r="X97" s="244"/>
      <c r="Y97" s="244"/>
      <c r="Z97" s="258"/>
      <c r="AA97" s="244"/>
      <c r="AB97" s="244"/>
      <c r="AC97" s="244"/>
      <c r="AD97" s="244"/>
      <c r="AE97" s="244"/>
      <c r="AF97" s="244"/>
      <c r="AG97" s="244"/>
      <c r="AH97" s="244"/>
      <c r="AI97" s="244"/>
      <c r="AJ97" s="244"/>
      <c r="AK97" s="258"/>
      <c r="AL97" s="244"/>
      <c r="AM97" s="244"/>
      <c r="AN97" s="244"/>
      <c r="AO97" s="244"/>
      <c r="AP97" s="244"/>
      <c r="AQ97" s="244"/>
      <c r="AR97" s="244"/>
      <c r="AS97" s="258"/>
      <c r="AT97" s="244"/>
      <c r="AU97" s="244"/>
      <c r="AV97" s="244"/>
      <c r="AW97" s="244"/>
      <c r="AX97" s="244"/>
      <c r="AY97" s="244"/>
      <c r="AZ97" s="244"/>
      <c r="BA97" s="244"/>
      <c r="BB97" s="258"/>
      <c r="BC97" s="244"/>
      <c r="BD97" s="244"/>
      <c r="BE97" s="244"/>
      <c r="BF97" s="244"/>
      <c r="BG97" s="244"/>
      <c r="BH97" s="244"/>
      <c r="BI97" s="244"/>
      <c r="BJ97" s="244"/>
      <c r="BK97" s="258"/>
      <c r="BL97" s="257"/>
      <c r="BM97" s="257"/>
      <c r="BN97" s="257"/>
      <c r="BO97" s="257"/>
      <c r="BP97" s="257"/>
      <c r="BQ97" s="257"/>
      <c r="BR97" s="198"/>
      <c r="BS97" s="198"/>
      <c r="BT97" s="198"/>
    </row>
    <row r="98" spans="2:72" s="94" customFormat="1" ht="22.5" customHeight="1">
      <c r="J98" s="258"/>
      <c r="K98" s="244"/>
      <c r="L98" s="244"/>
      <c r="M98" s="244"/>
      <c r="N98" s="244"/>
      <c r="O98" s="244"/>
      <c r="P98" s="244"/>
      <c r="Q98" s="244"/>
      <c r="R98" s="258"/>
      <c r="S98" s="244"/>
      <c r="T98" s="244"/>
      <c r="U98" s="244"/>
      <c r="V98" s="244"/>
      <c r="W98" s="244"/>
      <c r="X98" s="244"/>
      <c r="Y98" s="244"/>
      <c r="Z98" s="258"/>
      <c r="AA98" s="244"/>
      <c r="AB98" s="244"/>
      <c r="AC98" s="244"/>
      <c r="AD98" s="244"/>
      <c r="AE98" s="244"/>
      <c r="AF98" s="244"/>
      <c r="AG98" s="244"/>
      <c r="AH98" s="244"/>
      <c r="AI98" s="244"/>
      <c r="AJ98" s="244"/>
      <c r="AK98" s="258"/>
      <c r="AL98" s="244"/>
      <c r="AM98" s="244"/>
      <c r="AN98" s="244"/>
      <c r="AO98" s="244"/>
      <c r="AP98" s="244"/>
      <c r="AQ98" s="244"/>
      <c r="AR98" s="244"/>
      <c r="AS98" s="258"/>
      <c r="AT98" s="244"/>
      <c r="AU98" s="244"/>
      <c r="AV98" s="244"/>
      <c r="AW98" s="244"/>
      <c r="AX98" s="244"/>
      <c r="AY98" s="244"/>
      <c r="AZ98" s="244"/>
      <c r="BA98" s="244"/>
      <c r="BB98" s="258"/>
      <c r="BC98" s="244"/>
      <c r="BD98" s="244"/>
      <c r="BE98" s="244"/>
      <c r="BF98" s="244"/>
      <c r="BG98" s="244"/>
      <c r="BH98" s="244"/>
      <c r="BI98" s="244"/>
      <c r="BJ98" s="244"/>
      <c r="BK98" s="258"/>
      <c r="BL98" s="257"/>
      <c r="BM98" s="257"/>
      <c r="BN98" s="257"/>
      <c r="BO98" s="257"/>
      <c r="BP98" s="257"/>
      <c r="BQ98" s="257"/>
      <c r="BR98" s="198"/>
      <c r="BS98" s="198"/>
      <c r="BT98" s="198"/>
    </row>
    <row r="99" spans="2:72" s="94" customFormat="1" ht="22.5" customHeight="1">
      <c r="J99" s="258"/>
      <c r="K99" s="244"/>
      <c r="L99" s="244"/>
      <c r="M99" s="244"/>
      <c r="N99" s="244"/>
      <c r="O99" s="244"/>
      <c r="P99" s="244"/>
      <c r="Q99" s="244"/>
      <c r="R99" s="258"/>
      <c r="S99" s="244"/>
      <c r="T99" s="244"/>
      <c r="U99" s="244"/>
      <c r="V99" s="244"/>
      <c r="W99" s="244"/>
      <c r="X99" s="244"/>
      <c r="Y99" s="244"/>
      <c r="Z99" s="258"/>
      <c r="AA99" s="244"/>
      <c r="AB99" s="244"/>
      <c r="AC99" s="244"/>
      <c r="AD99" s="244"/>
      <c r="AE99" s="244"/>
      <c r="AF99" s="244"/>
      <c r="AG99" s="244"/>
      <c r="AH99" s="244"/>
      <c r="AI99" s="244"/>
      <c r="AJ99" s="244"/>
      <c r="AK99" s="258"/>
      <c r="AL99" s="244"/>
      <c r="AM99" s="244"/>
      <c r="AN99" s="244"/>
      <c r="AO99" s="244"/>
      <c r="AP99" s="244"/>
      <c r="AQ99" s="244"/>
      <c r="AR99" s="244"/>
      <c r="AS99" s="258"/>
      <c r="AT99" s="244"/>
      <c r="AU99" s="244"/>
      <c r="AV99" s="244"/>
      <c r="AW99" s="244"/>
      <c r="AX99" s="244"/>
      <c r="AY99" s="244"/>
      <c r="AZ99" s="244"/>
      <c r="BA99" s="244"/>
      <c r="BB99" s="258"/>
      <c r="BC99" s="244"/>
      <c r="BD99" s="244"/>
      <c r="BE99" s="244"/>
      <c r="BF99" s="244"/>
      <c r="BG99" s="244"/>
      <c r="BH99" s="244"/>
      <c r="BI99" s="244"/>
      <c r="BJ99" s="244"/>
      <c r="BK99" s="258"/>
      <c r="BL99" s="257"/>
      <c r="BM99" s="257"/>
      <c r="BN99" s="257"/>
      <c r="BO99" s="257"/>
      <c r="BP99" s="257"/>
      <c r="BQ99" s="257"/>
      <c r="BR99" s="198"/>
      <c r="BS99" s="198"/>
      <c r="BT99" s="198"/>
    </row>
    <row r="100" spans="2:72" s="94" customFormat="1" ht="22.5" customHeight="1">
      <c r="J100" s="258"/>
      <c r="K100" s="244"/>
      <c r="L100" s="244"/>
      <c r="M100" s="244"/>
      <c r="N100" s="244"/>
      <c r="O100" s="244"/>
      <c r="P100" s="244"/>
      <c r="Q100" s="244"/>
      <c r="R100" s="258"/>
      <c r="S100" s="244"/>
      <c r="T100" s="244"/>
      <c r="U100" s="244"/>
      <c r="V100" s="244"/>
      <c r="W100" s="244"/>
      <c r="X100" s="244"/>
      <c r="Y100" s="244"/>
      <c r="Z100" s="258"/>
      <c r="AA100" s="244"/>
      <c r="AB100" s="244"/>
      <c r="AC100" s="244"/>
      <c r="AD100" s="244"/>
      <c r="AE100" s="244"/>
      <c r="AF100" s="244"/>
      <c r="AG100" s="244"/>
      <c r="AH100" s="244"/>
      <c r="AI100" s="244"/>
      <c r="AJ100" s="244"/>
      <c r="AK100" s="258"/>
      <c r="AL100" s="244"/>
      <c r="AM100" s="244"/>
      <c r="AN100" s="244"/>
      <c r="AO100" s="244"/>
      <c r="AP100" s="244"/>
      <c r="AQ100" s="244"/>
      <c r="AR100" s="244"/>
      <c r="AS100" s="258"/>
      <c r="AT100" s="244"/>
      <c r="AU100" s="244"/>
      <c r="AV100" s="244"/>
      <c r="AW100" s="244"/>
      <c r="AX100" s="244"/>
      <c r="AY100" s="244"/>
      <c r="AZ100" s="244"/>
      <c r="BA100" s="244"/>
      <c r="BB100" s="258"/>
      <c r="BC100" s="244"/>
      <c r="BD100" s="244"/>
      <c r="BE100" s="244"/>
      <c r="BF100" s="244"/>
      <c r="BG100" s="259"/>
      <c r="BH100" s="259"/>
      <c r="BI100" s="244"/>
      <c r="BJ100" s="244"/>
      <c r="BK100" s="258"/>
      <c r="BL100" s="259"/>
      <c r="BM100" s="259"/>
      <c r="BN100" s="259"/>
      <c r="BO100" s="259"/>
      <c r="BP100" s="259"/>
      <c r="BQ100" s="259"/>
      <c r="BR100" s="199"/>
      <c r="BS100" s="199"/>
      <c r="BT100" s="199"/>
    </row>
    <row r="101" spans="2:72" s="94" customFormat="1" ht="22.5" customHeight="1">
      <c r="J101" s="258"/>
      <c r="K101" s="244"/>
      <c r="L101" s="244"/>
      <c r="M101" s="244"/>
      <c r="N101" s="244"/>
      <c r="O101" s="244"/>
      <c r="P101" s="244"/>
      <c r="Q101" s="244"/>
      <c r="R101" s="258"/>
      <c r="S101" s="244"/>
      <c r="T101" s="244"/>
      <c r="U101" s="244"/>
      <c r="V101" s="244"/>
      <c r="W101" s="244"/>
      <c r="X101" s="244"/>
      <c r="Y101" s="244"/>
      <c r="Z101" s="258"/>
      <c r="AA101" s="244"/>
      <c r="AB101" s="244"/>
      <c r="AC101" s="244"/>
      <c r="AD101" s="244"/>
      <c r="AE101" s="244"/>
      <c r="AF101" s="244"/>
      <c r="AG101" s="244"/>
      <c r="AH101" s="244"/>
      <c r="AI101" s="244"/>
      <c r="AJ101" s="244"/>
      <c r="AK101" s="258"/>
      <c r="AL101" s="244"/>
      <c r="AM101" s="244"/>
      <c r="AN101" s="244"/>
      <c r="AO101" s="244"/>
      <c r="AP101" s="244"/>
      <c r="AQ101" s="244"/>
      <c r="AR101" s="244"/>
      <c r="AS101" s="258"/>
      <c r="AT101" s="244"/>
      <c r="AU101" s="244"/>
      <c r="AV101" s="244"/>
      <c r="AW101" s="244"/>
      <c r="AX101" s="244"/>
      <c r="AY101" s="244"/>
      <c r="AZ101" s="244"/>
      <c r="BA101" s="160"/>
      <c r="BB101" s="256"/>
      <c r="BC101" s="160"/>
      <c r="BD101" s="160"/>
      <c r="BE101" s="160"/>
      <c r="BF101" s="160"/>
      <c r="BG101" s="160"/>
      <c r="BH101" s="160"/>
      <c r="BI101" s="160"/>
      <c r="BJ101" s="244"/>
      <c r="BK101" s="258"/>
      <c r="BL101" s="259"/>
      <c r="BM101" s="259"/>
      <c r="BN101" s="259"/>
      <c r="BO101" s="259"/>
      <c r="BP101" s="259"/>
      <c r="BQ101" s="259"/>
      <c r="BR101" s="198"/>
      <c r="BS101" s="198"/>
      <c r="BT101" s="198"/>
    </row>
    <row r="102" spans="2:72" s="94" customFormat="1" ht="22.5" customHeight="1">
      <c r="J102" s="258"/>
      <c r="K102" s="244"/>
      <c r="L102" s="244"/>
      <c r="M102" s="244"/>
      <c r="N102" s="244"/>
      <c r="O102" s="244"/>
      <c r="P102" s="244"/>
      <c r="Q102" s="244"/>
      <c r="R102" s="258"/>
      <c r="S102" s="244"/>
      <c r="T102" s="244"/>
      <c r="U102" s="244"/>
      <c r="V102" s="244"/>
      <c r="W102" s="244"/>
      <c r="X102" s="244"/>
      <c r="Y102" s="244"/>
      <c r="Z102" s="258"/>
      <c r="AA102" s="244"/>
      <c r="AB102" s="244"/>
      <c r="AC102" s="244"/>
      <c r="AD102" s="244"/>
      <c r="AE102" s="244"/>
      <c r="AF102" s="244"/>
      <c r="AG102" s="244"/>
      <c r="AH102" s="244"/>
      <c r="AI102" s="244"/>
      <c r="AJ102" s="244"/>
      <c r="AK102" s="258"/>
      <c r="AL102" s="244"/>
      <c r="AM102" s="244"/>
      <c r="AN102" s="244"/>
      <c r="AO102" s="244"/>
      <c r="AP102" s="244"/>
      <c r="AQ102" s="244"/>
      <c r="AR102" s="244"/>
      <c r="AS102" s="258"/>
      <c r="AT102" s="244"/>
      <c r="AU102" s="244"/>
      <c r="AV102" s="244"/>
      <c r="AW102" s="244"/>
      <c r="AX102" s="244"/>
      <c r="AY102" s="244"/>
      <c r="AZ102" s="244"/>
      <c r="BA102" s="260"/>
      <c r="BB102" s="258"/>
      <c r="BC102" s="260"/>
      <c r="BD102" s="260"/>
      <c r="BE102" s="260"/>
      <c r="BF102" s="260"/>
      <c r="BG102" s="260"/>
      <c r="BH102" s="260"/>
      <c r="BI102" s="260"/>
      <c r="BJ102" s="244"/>
      <c r="BK102" s="258"/>
      <c r="BL102" s="259"/>
      <c r="BM102" s="259"/>
      <c r="BN102" s="259"/>
      <c r="BO102" s="259"/>
      <c r="BP102" s="259"/>
      <c r="BQ102" s="259"/>
      <c r="BR102" s="196"/>
      <c r="BS102" s="196"/>
      <c r="BT102" s="196"/>
    </row>
    <row r="103" spans="2:72" s="94" customFormat="1" ht="22.5" customHeight="1">
      <c r="J103" s="258"/>
      <c r="K103" s="244"/>
      <c r="L103" s="244"/>
      <c r="M103" s="244"/>
      <c r="N103" s="244"/>
      <c r="O103" s="244"/>
      <c r="P103" s="244"/>
      <c r="Q103" s="244"/>
      <c r="R103" s="258"/>
      <c r="S103" s="244"/>
      <c r="T103" s="244"/>
      <c r="U103" s="244"/>
      <c r="V103" s="244"/>
      <c r="W103" s="244"/>
      <c r="X103" s="244"/>
      <c r="Y103" s="244"/>
      <c r="Z103" s="258"/>
      <c r="AA103" s="244"/>
      <c r="AB103" s="244"/>
      <c r="AC103" s="244"/>
      <c r="AD103" s="244"/>
      <c r="AE103" s="244"/>
      <c r="AF103" s="244"/>
      <c r="AG103" s="244"/>
      <c r="AH103" s="244"/>
      <c r="AI103" s="244"/>
      <c r="AJ103" s="244"/>
      <c r="AK103" s="258"/>
      <c r="AL103" s="244"/>
      <c r="AM103" s="244"/>
      <c r="AN103" s="244"/>
      <c r="AO103" s="244"/>
      <c r="AP103" s="244"/>
      <c r="AQ103" s="244"/>
      <c r="AR103" s="244"/>
      <c r="AS103" s="258"/>
      <c r="AT103" s="160"/>
      <c r="AU103" s="160"/>
      <c r="AV103" s="160"/>
      <c r="AW103" s="160"/>
      <c r="AX103" s="160"/>
      <c r="AY103" s="160"/>
      <c r="AZ103" s="160"/>
      <c r="BA103" s="260"/>
      <c r="BB103" s="261"/>
      <c r="BC103" s="260"/>
      <c r="BD103" s="260"/>
      <c r="BE103" s="260"/>
      <c r="BF103" s="260"/>
      <c r="BG103" s="260"/>
      <c r="BH103" s="260"/>
      <c r="BI103" s="260"/>
      <c r="BJ103" s="244"/>
      <c r="BK103" s="258"/>
      <c r="BL103" s="259"/>
      <c r="BM103" s="259"/>
      <c r="BN103" s="259"/>
      <c r="BO103" s="259"/>
      <c r="BP103" s="259"/>
      <c r="BQ103" s="259"/>
      <c r="BR103" s="196"/>
      <c r="BS103" s="196"/>
      <c r="BT103" s="196"/>
    </row>
    <row r="104" spans="2:72" s="94" customFormat="1" ht="22.5" customHeight="1">
      <c r="J104" s="258"/>
      <c r="K104" s="244"/>
      <c r="L104" s="244"/>
      <c r="M104" s="244"/>
      <c r="N104" s="244"/>
      <c r="O104" s="244"/>
      <c r="P104" s="244"/>
      <c r="Q104" s="244"/>
      <c r="R104" s="258"/>
      <c r="S104" s="244"/>
      <c r="T104" s="244"/>
      <c r="U104" s="244"/>
      <c r="V104" s="244"/>
      <c r="W104" s="244"/>
      <c r="X104" s="244"/>
      <c r="Y104" s="244"/>
      <c r="Z104" s="258"/>
      <c r="AA104" s="244"/>
      <c r="AB104" s="244"/>
      <c r="AC104" s="244"/>
      <c r="AD104" s="244"/>
      <c r="AE104" s="244"/>
      <c r="AF104" s="244"/>
      <c r="AG104" s="244"/>
      <c r="AH104" s="244"/>
      <c r="AI104" s="244"/>
      <c r="AJ104" s="244"/>
      <c r="AK104" s="258"/>
      <c r="AL104" s="244"/>
      <c r="AM104" s="244"/>
      <c r="AN104" s="244"/>
      <c r="AO104" s="244"/>
      <c r="AP104" s="244"/>
      <c r="AQ104" s="244"/>
      <c r="AR104" s="244"/>
      <c r="AS104" s="258"/>
      <c r="AT104" s="260"/>
      <c r="AU104" s="260"/>
      <c r="AV104" s="260"/>
      <c r="AW104" s="260"/>
      <c r="AX104" s="260"/>
      <c r="AY104" s="260"/>
      <c r="AZ104" s="260"/>
      <c r="BA104" s="257"/>
      <c r="BB104" s="261"/>
      <c r="BC104" s="257"/>
      <c r="BD104" s="257"/>
      <c r="BE104" s="257"/>
      <c r="BF104" s="257"/>
      <c r="BG104" s="257"/>
      <c r="BH104" s="257"/>
      <c r="BI104" s="257"/>
      <c r="BJ104" s="160"/>
      <c r="BK104" s="258"/>
      <c r="BL104" s="263"/>
      <c r="BM104" s="263"/>
      <c r="BN104" s="263"/>
      <c r="BO104" s="263"/>
      <c r="BP104" s="263"/>
      <c r="BQ104" s="263"/>
      <c r="BR104" s="196"/>
      <c r="BS104" s="196"/>
      <c r="BT104" s="196"/>
    </row>
    <row r="105" spans="2:72" s="94" customFormat="1" ht="22.5" customHeight="1">
      <c r="J105" s="258"/>
      <c r="K105" s="244"/>
      <c r="L105" s="244"/>
      <c r="M105" s="244"/>
      <c r="N105" s="244"/>
      <c r="O105" s="244"/>
      <c r="P105" s="244"/>
      <c r="Q105" s="244"/>
      <c r="R105" s="258"/>
      <c r="S105" s="244"/>
      <c r="T105" s="244"/>
      <c r="U105" s="244"/>
      <c r="V105" s="244"/>
      <c r="W105" s="244"/>
      <c r="X105" s="244"/>
      <c r="Y105" s="244"/>
      <c r="Z105" s="258"/>
      <c r="AA105" s="244"/>
      <c r="AB105" s="244"/>
      <c r="AC105" s="244"/>
      <c r="AD105" s="244"/>
      <c r="AE105" s="244"/>
      <c r="AF105" s="244"/>
      <c r="AG105" s="244"/>
      <c r="AH105" s="244"/>
      <c r="AI105" s="244"/>
      <c r="AJ105" s="244"/>
      <c r="AK105" s="258"/>
      <c r="AL105" s="244"/>
      <c r="AM105" s="244"/>
      <c r="AN105" s="244"/>
      <c r="AO105" s="244"/>
      <c r="AP105" s="244"/>
      <c r="AQ105" s="244"/>
      <c r="AR105" s="244"/>
      <c r="AS105" s="258"/>
      <c r="AT105" s="260"/>
      <c r="AU105" s="260"/>
      <c r="AV105" s="260"/>
      <c r="AW105" s="260"/>
      <c r="AX105" s="260"/>
      <c r="AY105" s="260"/>
      <c r="AZ105" s="260"/>
      <c r="BA105" s="257"/>
      <c r="BB105" s="262"/>
      <c r="BC105" s="257"/>
      <c r="BD105" s="257"/>
      <c r="BE105" s="257"/>
      <c r="BF105" s="257"/>
      <c r="BG105" s="257"/>
      <c r="BH105" s="257"/>
      <c r="BI105" s="257"/>
      <c r="BJ105" s="260"/>
      <c r="BK105" s="258"/>
      <c r="BL105" s="259"/>
      <c r="BM105" s="259"/>
      <c r="BN105" s="259"/>
      <c r="BO105" s="259"/>
      <c r="BP105" s="259"/>
      <c r="BQ105" s="259"/>
      <c r="BR105" s="196"/>
      <c r="BS105" s="196"/>
      <c r="BT105" s="196"/>
    </row>
    <row r="106" spans="2:72" s="94" customFormat="1" ht="22.5" customHeight="1">
      <c r="J106" s="258"/>
      <c r="K106" s="244"/>
      <c r="L106" s="244"/>
      <c r="M106" s="244"/>
      <c r="N106" s="244"/>
      <c r="O106" s="244"/>
      <c r="P106" s="244"/>
      <c r="Q106" s="244"/>
      <c r="R106" s="258"/>
      <c r="S106" s="244"/>
      <c r="T106" s="244"/>
      <c r="U106" s="244"/>
      <c r="V106" s="244"/>
      <c r="W106" s="244"/>
      <c r="X106" s="244"/>
      <c r="Y106" s="244"/>
      <c r="Z106" s="258"/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58"/>
      <c r="AL106" s="244"/>
      <c r="AM106" s="244"/>
      <c r="AN106" s="244"/>
      <c r="AO106" s="244"/>
      <c r="AP106" s="244"/>
      <c r="AQ106" s="244"/>
      <c r="AR106" s="244"/>
      <c r="AS106" s="258"/>
      <c r="AT106" s="257"/>
      <c r="AU106" s="257"/>
      <c r="AV106" s="257"/>
      <c r="AW106" s="257"/>
      <c r="AX106" s="257"/>
      <c r="AY106" s="257"/>
      <c r="AZ106" s="257"/>
      <c r="BA106" s="257"/>
      <c r="BB106" s="262"/>
      <c r="BC106" s="257"/>
      <c r="BD106" s="257"/>
      <c r="BE106" s="257"/>
      <c r="BF106" s="257"/>
      <c r="BG106" s="257"/>
      <c r="BH106" s="257"/>
      <c r="BI106" s="257"/>
      <c r="BJ106" s="260"/>
      <c r="BK106" s="261"/>
      <c r="BL106" s="260"/>
      <c r="BM106" s="260"/>
      <c r="BN106" s="260"/>
      <c r="BO106" s="260"/>
      <c r="BP106" s="260"/>
      <c r="BQ106" s="260"/>
      <c r="BR106" s="196"/>
      <c r="BS106" s="196"/>
      <c r="BT106" s="196"/>
    </row>
    <row r="107" spans="2:72" s="94" customFormat="1" ht="22.5" customHeight="1">
      <c r="J107" s="258"/>
      <c r="K107" s="244"/>
      <c r="L107" s="244"/>
      <c r="M107" s="244"/>
      <c r="N107" s="244"/>
      <c r="O107" s="244"/>
      <c r="P107" s="244"/>
      <c r="Q107" s="244"/>
      <c r="R107" s="258"/>
      <c r="S107" s="244"/>
      <c r="T107" s="244"/>
      <c r="U107" s="244"/>
      <c r="V107" s="244"/>
      <c r="W107" s="244"/>
      <c r="X107" s="244"/>
      <c r="Y107" s="244"/>
      <c r="Z107" s="258"/>
      <c r="AA107" s="244"/>
      <c r="AB107" s="244"/>
      <c r="AC107" s="244"/>
      <c r="AD107" s="244"/>
      <c r="AE107" s="244"/>
      <c r="AF107" s="244"/>
      <c r="AG107" s="244"/>
      <c r="AH107" s="244"/>
      <c r="AI107" s="244"/>
      <c r="AJ107" s="244"/>
      <c r="AK107" s="258"/>
      <c r="AL107" s="244"/>
      <c r="AM107" s="244"/>
      <c r="AN107" s="244"/>
      <c r="AO107" s="244"/>
      <c r="AP107" s="244"/>
      <c r="AQ107" s="244"/>
      <c r="AR107" s="244"/>
      <c r="AS107" s="258"/>
      <c r="AT107" s="257"/>
      <c r="AU107" s="257"/>
      <c r="AV107" s="257"/>
      <c r="AW107" s="257"/>
      <c r="AX107" s="257"/>
      <c r="AY107" s="257"/>
      <c r="AZ107" s="257"/>
      <c r="BA107" s="257"/>
      <c r="BB107" s="262"/>
      <c r="BC107" s="257"/>
      <c r="BD107" s="257"/>
      <c r="BE107" s="257"/>
      <c r="BF107" s="257"/>
      <c r="BG107" s="257"/>
      <c r="BH107" s="257"/>
      <c r="BI107" s="257"/>
      <c r="BJ107" s="257"/>
      <c r="BK107" s="261"/>
      <c r="BL107" s="260"/>
      <c r="BM107" s="260"/>
      <c r="BN107" s="260"/>
      <c r="BO107" s="260"/>
      <c r="BP107" s="260"/>
      <c r="BQ107" s="260"/>
      <c r="BR107" s="196"/>
      <c r="BS107" s="196"/>
      <c r="BT107" s="196"/>
    </row>
    <row r="108" spans="2:72" s="94" customFormat="1" ht="22.5" customHeight="1">
      <c r="J108" s="258"/>
      <c r="K108" s="244"/>
      <c r="L108" s="244"/>
      <c r="M108" s="244"/>
      <c r="N108" s="244"/>
      <c r="O108" s="244"/>
      <c r="P108" s="244"/>
      <c r="Q108" s="244"/>
      <c r="R108" s="258"/>
      <c r="S108" s="244"/>
      <c r="T108" s="244"/>
      <c r="U108" s="244"/>
      <c r="V108" s="244"/>
      <c r="W108" s="244"/>
      <c r="X108" s="244"/>
      <c r="Y108" s="244"/>
      <c r="Z108" s="258"/>
      <c r="AA108" s="244"/>
      <c r="AB108" s="244"/>
      <c r="AC108" s="244"/>
      <c r="AD108" s="244"/>
      <c r="AE108" s="244"/>
      <c r="AF108" s="244"/>
      <c r="AG108" s="244"/>
      <c r="AH108" s="244"/>
      <c r="AI108" s="244"/>
      <c r="AJ108" s="244"/>
      <c r="AK108" s="258"/>
      <c r="AL108" s="244"/>
      <c r="AM108" s="244"/>
      <c r="AN108" s="244"/>
      <c r="AO108" s="244"/>
      <c r="AP108" s="244"/>
      <c r="AQ108" s="244"/>
      <c r="AR108" s="244"/>
      <c r="AS108" s="258"/>
      <c r="AT108" s="257"/>
      <c r="AU108" s="257"/>
      <c r="AV108" s="257"/>
      <c r="AW108" s="257"/>
      <c r="AX108" s="257"/>
      <c r="AY108" s="257"/>
      <c r="AZ108" s="257"/>
      <c r="BA108" s="257"/>
      <c r="BB108" s="262"/>
      <c r="BC108" s="257"/>
      <c r="BD108" s="257"/>
      <c r="BE108" s="257"/>
      <c r="BF108" s="257"/>
      <c r="BG108" s="257"/>
      <c r="BH108" s="257"/>
      <c r="BI108" s="257"/>
      <c r="BJ108" s="257"/>
      <c r="BK108" s="262"/>
      <c r="BL108" s="260"/>
      <c r="BM108" s="260"/>
      <c r="BN108" s="260"/>
      <c r="BO108" s="260"/>
      <c r="BP108" s="260"/>
      <c r="BQ108" s="260"/>
      <c r="BR108" s="196"/>
      <c r="BS108" s="196"/>
      <c r="BT108" s="196"/>
    </row>
    <row r="109" spans="2:72" s="94" customFormat="1" ht="22.5" customHeight="1">
      <c r="E109" s="8"/>
      <c r="F109" s="8"/>
      <c r="G109" s="8"/>
      <c r="H109" s="36"/>
      <c r="I109" s="8"/>
      <c r="J109" s="258"/>
      <c r="K109" s="244"/>
      <c r="L109" s="244"/>
      <c r="M109" s="244"/>
      <c r="N109" s="244"/>
      <c r="O109" s="244"/>
      <c r="P109" s="244"/>
      <c r="Q109" s="244"/>
      <c r="R109" s="258"/>
      <c r="S109" s="244"/>
      <c r="T109" s="244"/>
      <c r="U109" s="244"/>
      <c r="V109" s="244"/>
      <c r="W109" s="244"/>
      <c r="X109" s="244"/>
      <c r="Y109" s="244"/>
      <c r="Z109" s="258"/>
      <c r="AA109" s="244"/>
      <c r="AB109" s="244"/>
      <c r="AC109" s="244"/>
      <c r="AD109" s="244"/>
      <c r="AE109" s="244"/>
      <c r="AF109" s="244"/>
      <c r="AG109" s="244"/>
      <c r="AH109" s="244"/>
      <c r="AI109" s="244"/>
      <c r="AJ109" s="244"/>
      <c r="AK109" s="258"/>
      <c r="AL109" s="244"/>
      <c r="AM109" s="244"/>
      <c r="AN109" s="244"/>
      <c r="AO109" s="244"/>
      <c r="AP109" s="244"/>
      <c r="AQ109" s="244"/>
      <c r="AR109" s="244"/>
      <c r="AS109" s="258"/>
      <c r="AT109" s="257"/>
      <c r="AU109" s="257"/>
      <c r="AV109" s="257"/>
      <c r="AW109" s="257"/>
      <c r="AX109" s="257"/>
      <c r="AY109" s="257"/>
      <c r="AZ109" s="257"/>
      <c r="BA109" s="257"/>
      <c r="BB109" s="262"/>
      <c r="BC109" s="257"/>
      <c r="BD109" s="257"/>
      <c r="BE109" s="257"/>
      <c r="BF109" s="257"/>
      <c r="BG109" s="257"/>
      <c r="BH109" s="257"/>
      <c r="BI109" s="257"/>
      <c r="BJ109" s="257"/>
      <c r="BK109" s="262"/>
      <c r="BL109" s="260"/>
      <c r="BM109" s="260"/>
      <c r="BN109" s="260"/>
      <c r="BO109" s="260"/>
      <c r="BP109" s="260"/>
      <c r="BQ109" s="260"/>
      <c r="BR109" s="196"/>
      <c r="BS109" s="196"/>
      <c r="BT109" s="196"/>
    </row>
    <row r="110" spans="2:72" s="94" customFormat="1" ht="22.5" customHeight="1">
      <c r="B110" s="198"/>
      <c r="H110" s="198"/>
      <c r="J110" s="258"/>
      <c r="K110" s="244"/>
      <c r="L110" s="244"/>
      <c r="M110" s="244"/>
      <c r="N110" s="244"/>
      <c r="O110" s="244"/>
      <c r="P110" s="244"/>
      <c r="Q110" s="244"/>
      <c r="R110" s="258"/>
      <c r="S110" s="244"/>
      <c r="T110" s="244"/>
      <c r="U110" s="244"/>
      <c r="V110" s="244"/>
      <c r="W110" s="244"/>
      <c r="X110" s="244"/>
      <c r="Y110" s="244"/>
      <c r="Z110" s="258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56"/>
      <c r="AL110" s="244"/>
      <c r="AM110" s="244"/>
      <c r="AN110" s="244"/>
      <c r="AO110" s="244"/>
      <c r="AP110" s="259"/>
      <c r="AQ110" s="244"/>
      <c r="AR110" s="244"/>
      <c r="AS110" s="258"/>
      <c r="AT110" s="257"/>
      <c r="AU110" s="257"/>
      <c r="AV110" s="257"/>
      <c r="AW110" s="257"/>
      <c r="AX110" s="257"/>
      <c r="AY110" s="257"/>
      <c r="AZ110" s="257"/>
      <c r="BA110" s="259"/>
      <c r="BB110" s="262"/>
      <c r="BC110" s="259"/>
      <c r="BD110" s="259"/>
      <c r="BE110" s="259"/>
      <c r="BF110" s="259"/>
      <c r="BG110" s="259"/>
      <c r="BH110" s="259"/>
      <c r="BI110" s="259"/>
      <c r="BJ110" s="257"/>
      <c r="BK110" s="262"/>
      <c r="BL110" s="260"/>
      <c r="BM110" s="260"/>
      <c r="BN110" s="260"/>
      <c r="BO110" s="260"/>
      <c r="BP110" s="260"/>
      <c r="BQ110" s="260"/>
      <c r="BR110" s="196"/>
      <c r="BS110" s="196"/>
      <c r="BT110" s="196"/>
    </row>
    <row r="111" spans="2:72" ht="22.5" customHeight="1">
      <c r="AT111" s="257"/>
      <c r="AU111" s="257"/>
      <c r="AV111" s="257"/>
      <c r="AW111" s="257"/>
      <c r="AX111" s="257"/>
      <c r="AY111" s="257"/>
      <c r="AZ111" s="257"/>
      <c r="BA111" s="259"/>
      <c r="BB111" s="262"/>
      <c r="BC111" s="259"/>
      <c r="BD111" s="259"/>
      <c r="BE111" s="259"/>
      <c r="BF111" s="259"/>
      <c r="BG111" s="259"/>
      <c r="BH111" s="259"/>
      <c r="BI111" s="259"/>
      <c r="BJ111" s="257"/>
      <c r="BK111" s="262"/>
      <c r="BL111" s="260"/>
      <c r="BM111" s="260"/>
      <c r="BN111" s="260"/>
      <c r="BO111" s="260"/>
      <c r="BP111" s="260"/>
      <c r="BQ111" s="260"/>
      <c r="BR111" s="36"/>
      <c r="BS111" s="36"/>
      <c r="BT111" s="36"/>
    </row>
    <row r="112" spans="2:72" s="196" customFormat="1" ht="22.5" customHeight="1">
      <c r="B112" s="36"/>
      <c r="H112" s="36"/>
      <c r="J112" s="261"/>
      <c r="K112" s="260"/>
      <c r="L112" s="260"/>
      <c r="M112" s="260"/>
      <c r="N112" s="260"/>
      <c r="O112" s="260"/>
      <c r="P112" s="260"/>
      <c r="Q112" s="260"/>
      <c r="R112" s="261"/>
      <c r="S112" s="260"/>
      <c r="T112" s="260"/>
      <c r="U112" s="260"/>
      <c r="V112" s="260"/>
      <c r="W112" s="260"/>
      <c r="X112" s="260"/>
      <c r="Y112" s="260"/>
      <c r="Z112" s="261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1"/>
      <c r="AL112" s="260"/>
      <c r="AM112" s="260"/>
      <c r="AN112" s="260"/>
      <c r="AO112" s="260"/>
      <c r="AP112" s="260"/>
      <c r="AQ112" s="260"/>
      <c r="AR112" s="260"/>
      <c r="AS112" s="261"/>
      <c r="AT112" s="259"/>
      <c r="AU112" s="259"/>
      <c r="AV112" s="259"/>
      <c r="AW112" s="259"/>
      <c r="AX112" s="259"/>
      <c r="AY112" s="259"/>
      <c r="AZ112" s="259"/>
      <c r="BA112" s="259"/>
      <c r="BB112" s="262"/>
      <c r="BC112" s="259"/>
      <c r="BD112" s="259"/>
      <c r="BE112" s="259"/>
      <c r="BF112" s="259"/>
      <c r="BG112" s="259"/>
      <c r="BH112" s="259"/>
      <c r="BI112" s="259"/>
      <c r="BJ112" s="257"/>
      <c r="BK112" s="262"/>
      <c r="BL112" s="260"/>
      <c r="BM112" s="260"/>
      <c r="BN112" s="260"/>
      <c r="BO112" s="260"/>
      <c r="BP112" s="260"/>
      <c r="BQ112" s="260"/>
      <c r="BR112" s="36"/>
      <c r="BS112" s="36"/>
      <c r="BT112" s="36"/>
    </row>
    <row r="113" spans="2:72" s="196" customFormat="1" ht="22.5" customHeight="1">
      <c r="B113" s="36"/>
      <c r="D113" s="203"/>
      <c r="E113" s="203"/>
      <c r="F113" s="203"/>
      <c r="G113" s="203"/>
      <c r="H113" s="198"/>
      <c r="I113" s="203"/>
      <c r="J113" s="261"/>
      <c r="K113" s="260"/>
      <c r="L113" s="260"/>
      <c r="M113" s="260"/>
      <c r="N113" s="260"/>
      <c r="O113" s="260"/>
      <c r="P113" s="260"/>
      <c r="Q113" s="260"/>
      <c r="R113" s="261"/>
      <c r="S113" s="260"/>
      <c r="T113" s="260"/>
      <c r="U113" s="260"/>
      <c r="V113" s="260"/>
      <c r="W113" s="260"/>
      <c r="X113" s="260"/>
      <c r="Y113" s="260"/>
      <c r="Z113" s="261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1"/>
      <c r="AL113" s="260"/>
      <c r="AM113" s="260"/>
      <c r="AN113" s="260"/>
      <c r="AO113" s="260"/>
      <c r="AP113" s="260"/>
      <c r="AQ113" s="260"/>
      <c r="AR113" s="260"/>
      <c r="AS113" s="261"/>
      <c r="AT113" s="259"/>
      <c r="AU113" s="259"/>
      <c r="AV113" s="259"/>
      <c r="AW113" s="259"/>
      <c r="AX113" s="259"/>
      <c r="AY113" s="259"/>
      <c r="AZ113" s="259"/>
      <c r="BA113" s="259"/>
      <c r="BB113" s="262"/>
      <c r="BC113" s="259"/>
      <c r="BD113" s="259"/>
      <c r="BE113" s="259"/>
      <c r="BF113" s="259"/>
      <c r="BG113" s="259"/>
      <c r="BH113" s="259"/>
      <c r="BI113" s="259"/>
      <c r="BJ113" s="259"/>
      <c r="BK113" s="262"/>
      <c r="BL113" s="260"/>
      <c r="BM113" s="260"/>
      <c r="BN113" s="260"/>
      <c r="BO113" s="260"/>
      <c r="BP113" s="260"/>
      <c r="BQ113" s="260"/>
      <c r="BR113" s="36"/>
      <c r="BS113" s="36"/>
      <c r="BT113" s="36"/>
    </row>
    <row r="114" spans="2:72" s="36" customFormat="1" ht="22.5" customHeight="1">
      <c r="J114" s="262"/>
      <c r="K114" s="257"/>
      <c r="L114" s="257"/>
      <c r="M114" s="257"/>
      <c r="N114" s="257"/>
      <c r="O114" s="257"/>
      <c r="P114" s="257"/>
      <c r="Q114" s="257"/>
      <c r="R114" s="262"/>
      <c r="S114" s="257"/>
      <c r="T114" s="257"/>
      <c r="U114" s="257"/>
      <c r="V114" s="257"/>
      <c r="W114" s="257"/>
      <c r="X114" s="257"/>
      <c r="Y114" s="257"/>
      <c r="Z114" s="262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62"/>
      <c r="AL114" s="257"/>
      <c r="AM114" s="257"/>
      <c r="AN114" s="257"/>
      <c r="AO114" s="257"/>
      <c r="AP114" s="257"/>
      <c r="AQ114" s="257"/>
      <c r="AR114" s="257"/>
      <c r="AS114" s="262"/>
      <c r="AT114" s="259"/>
      <c r="AU114" s="259"/>
      <c r="AV114" s="259"/>
      <c r="AW114" s="259"/>
      <c r="AX114" s="259"/>
      <c r="AY114" s="259"/>
      <c r="AZ114" s="259"/>
      <c r="BA114" s="263"/>
      <c r="BB114" s="262"/>
      <c r="BC114" s="263"/>
      <c r="BD114" s="263"/>
      <c r="BE114" s="263"/>
      <c r="BF114" s="263"/>
      <c r="BG114" s="263"/>
      <c r="BH114" s="263"/>
      <c r="BI114" s="263"/>
      <c r="BJ114" s="259"/>
      <c r="BK114" s="262"/>
      <c r="BL114" s="260"/>
      <c r="BM114" s="260"/>
      <c r="BN114" s="260"/>
      <c r="BO114" s="260"/>
      <c r="BP114" s="260"/>
      <c r="BQ114" s="260"/>
    </row>
    <row r="115" spans="2:72" s="36" customFormat="1" ht="22.5" customHeight="1">
      <c r="J115" s="262"/>
      <c r="K115" s="257"/>
      <c r="L115" s="257"/>
      <c r="M115" s="257"/>
      <c r="N115" s="257"/>
      <c r="O115" s="257"/>
      <c r="P115" s="257"/>
      <c r="Q115" s="257"/>
      <c r="R115" s="262"/>
      <c r="S115" s="257"/>
      <c r="T115" s="257"/>
      <c r="U115" s="257"/>
      <c r="V115" s="257"/>
      <c r="W115" s="257"/>
      <c r="X115" s="257"/>
      <c r="Y115" s="257"/>
      <c r="Z115" s="262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62"/>
      <c r="AL115" s="257"/>
      <c r="AM115" s="257"/>
      <c r="AN115" s="257"/>
      <c r="AO115" s="257"/>
      <c r="AP115" s="257"/>
      <c r="AQ115" s="257"/>
      <c r="AR115" s="257"/>
      <c r="AS115" s="262"/>
      <c r="AT115" s="259"/>
      <c r="AU115" s="259"/>
      <c r="AV115" s="259"/>
      <c r="AW115" s="259"/>
      <c r="AX115" s="259"/>
      <c r="AY115" s="259"/>
      <c r="AZ115" s="259"/>
      <c r="BA115" s="259"/>
      <c r="BB115" s="264"/>
      <c r="BC115" s="259"/>
      <c r="BD115" s="259"/>
      <c r="BE115" s="259"/>
      <c r="BF115" s="259"/>
      <c r="BG115" s="259"/>
      <c r="BH115" s="259"/>
      <c r="BI115" s="259"/>
      <c r="BJ115" s="259"/>
      <c r="BK115" s="262"/>
      <c r="BL115" s="257"/>
      <c r="BM115" s="257"/>
      <c r="BN115" s="257"/>
      <c r="BO115" s="257"/>
      <c r="BP115" s="257"/>
      <c r="BQ115" s="257"/>
    </row>
    <row r="116" spans="2:72" s="36" customFormat="1" ht="22.5" customHeight="1">
      <c r="J116" s="262"/>
      <c r="K116" s="257"/>
      <c r="L116" s="257"/>
      <c r="M116" s="257"/>
      <c r="N116" s="257"/>
      <c r="O116" s="257"/>
      <c r="P116" s="257"/>
      <c r="Q116" s="257"/>
      <c r="R116" s="262"/>
      <c r="S116" s="257"/>
      <c r="T116" s="257"/>
      <c r="U116" s="257"/>
      <c r="V116" s="257"/>
      <c r="W116" s="257"/>
      <c r="X116" s="257"/>
      <c r="Y116" s="257"/>
      <c r="Z116" s="262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62"/>
      <c r="AL116" s="257"/>
      <c r="AM116" s="257"/>
      <c r="AN116" s="257"/>
      <c r="AO116" s="257"/>
      <c r="AP116" s="257"/>
      <c r="AQ116" s="257"/>
      <c r="AR116" s="257"/>
      <c r="AS116" s="262"/>
      <c r="AT116" s="263"/>
      <c r="AU116" s="263"/>
      <c r="AV116" s="263"/>
      <c r="AW116" s="263"/>
      <c r="AX116" s="263"/>
      <c r="AY116" s="263"/>
      <c r="AZ116" s="263"/>
      <c r="BA116" s="260"/>
      <c r="BB116" s="262"/>
      <c r="BC116" s="260"/>
      <c r="BD116" s="260"/>
      <c r="BE116" s="260"/>
      <c r="BF116" s="260"/>
      <c r="BG116" s="260"/>
      <c r="BH116" s="260"/>
      <c r="BI116" s="260"/>
      <c r="BJ116" s="259"/>
      <c r="BK116" s="262"/>
      <c r="BL116" s="257"/>
      <c r="BM116" s="257"/>
      <c r="BN116" s="257"/>
      <c r="BO116" s="257"/>
      <c r="BP116" s="257"/>
      <c r="BQ116" s="257"/>
    </row>
    <row r="117" spans="2:72" s="36" customFormat="1" ht="22.5" customHeight="1">
      <c r="J117" s="262"/>
      <c r="K117" s="257"/>
      <c r="L117" s="257"/>
      <c r="M117" s="257"/>
      <c r="N117" s="257"/>
      <c r="O117" s="257"/>
      <c r="P117" s="257"/>
      <c r="Q117" s="257"/>
      <c r="R117" s="262"/>
      <c r="S117" s="257"/>
      <c r="T117" s="257"/>
      <c r="U117" s="257"/>
      <c r="V117" s="257"/>
      <c r="W117" s="257"/>
      <c r="X117" s="257"/>
      <c r="Y117" s="257"/>
      <c r="Z117" s="262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62"/>
      <c r="AL117" s="257"/>
      <c r="AM117" s="257"/>
      <c r="AN117" s="257"/>
      <c r="AO117" s="257"/>
      <c r="AP117" s="257"/>
      <c r="AQ117" s="257"/>
      <c r="AR117" s="257"/>
      <c r="AS117" s="262"/>
      <c r="AT117" s="259"/>
      <c r="AU117" s="259"/>
      <c r="AV117" s="259"/>
      <c r="AW117" s="259"/>
      <c r="AX117" s="259"/>
      <c r="AY117" s="259"/>
      <c r="AZ117" s="259"/>
      <c r="BA117" s="260"/>
      <c r="BB117" s="261"/>
      <c r="BC117" s="260"/>
      <c r="BD117" s="260"/>
      <c r="BE117" s="260"/>
      <c r="BF117" s="260"/>
      <c r="BG117" s="260"/>
      <c r="BH117" s="260"/>
      <c r="BI117" s="260"/>
      <c r="BJ117" s="263"/>
      <c r="BK117" s="262"/>
      <c r="BL117" s="257"/>
      <c r="BM117" s="257"/>
      <c r="BN117" s="257"/>
      <c r="BO117" s="257"/>
      <c r="BP117" s="257"/>
      <c r="BQ117" s="257"/>
    </row>
    <row r="118" spans="2:72" s="36" customFormat="1" ht="22.5" customHeight="1">
      <c r="J118" s="262"/>
      <c r="K118" s="257"/>
      <c r="L118" s="257"/>
      <c r="M118" s="257"/>
      <c r="N118" s="257"/>
      <c r="O118" s="257"/>
      <c r="P118" s="257"/>
      <c r="Q118" s="257"/>
      <c r="R118" s="262"/>
      <c r="S118" s="257"/>
      <c r="T118" s="257"/>
      <c r="U118" s="257"/>
      <c r="V118" s="257"/>
      <c r="W118" s="257"/>
      <c r="X118" s="257"/>
      <c r="Y118" s="257"/>
      <c r="Z118" s="262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62"/>
      <c r="AL118" s="257"/>
      <c r="AM118" s="257"/>
      <c r="AN118" s="257"/>
      <c r="AO118" s="257"/>
      <c r="AP118" s="257"/>
      <c r="AQ118" s="257"/>
      <c r="AR118" s="257"/>
      <c r="AS118" s="262"/>
      <c r="AT118" s="260"/>
      <c r="AU118" s="260"/>
      <c r="AV118" s="260"/>
      <c r="AW118" s="260"/>
      <c r="AX118" s="260"/>
      <c r="AY118" s="260"/>
      <c r="AZ118" s="260"/>
      <c r="BA118" s="260"/>
      <c r="BB118" s="261"/>
      <c r="BC118" s="260"/>
      <c r="BD118" s="260"/>
      <c r="BE118" s="260"/>
      <c r="BF118" s="260"/>
      <c r="BG118" s="260"/>
      <c r="BH118" s="260"/>
      <c r="BI118" s="260"/>
      <c r="BJ118" s="259"/>
      <c r="BK118" s="264"/>
      <c r="BL118" s="257"/>
      <c r="BM118" s="257"/>
      <c r="BN118" s="257"/>
      <c r="BO118" s="257"/>
      <c r="BP118" s="257"/>
      <c r="BQ118" s="257"/>
    </row>
    <row r="119" spans="2:72" s="36" customFormat="1" ht="22.5" customHeight="1">
      <c r="J119" s="262"/>
      <c r="K119" s="257"/>
      <c r="L119" s="257"/>
      <c r="M119" s="257"/>
      <c r="N119" s="257"/>
      <c r="O119" s="257"/>
      <c r="P119" s="257"/>
      <c r="Q119" s="257"/>
      <c r="R119" s="262"/>
      <c r="S119" s="257"/>
      <c r="T119" s="257"/>
      <c r="U119" s="257"/>
      <c r="V119" s="257"/>
      <c r="W119" s="257"/>
      <c r="X119" s="257"/>
      <c r="Y119" s="257"/>
      <c r="Z119" s="262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62"/>
      <c r="AL119" s="257"/>
      <c r="AM119" s="257"/>
      <c r="AN119" s="257"/>
      <c r="AO119" s="257"/>
      <c r="AP119" s="257"/>
      <c r="AQ119" s="257"/>
      <c r="AR119" s="257"/>
      <c r="AS119" s="262"/>
      <c r="AT119" s="260"/>
      <c r="AU119" s="260"/>
      <c r="AV119" s="260"/>
      <c r="AW119" s="260"/>
      <c r="AX119" s="260"/>
      <c r="AY119" s="260"/>
      <c r="AZ119" s="260"/>
      <c r="BA119" s="260"/>
      <c r="BB119" s="261"/>
      <c r="BC119" s="260"/>
      <c r="BD119" s="260"/>
      <c r="BE119" s="260"/>
      <c r="BF119" s="260"/>
      <c r="BG119" s="260"/>
      <c r="BH119" s="260"/>
      <c r="BI119" s="260"/>
      <c r="BJ119" s="260"/>
      <c r="BK119" s="262"/>
      <c r="BL119" s="257"/>
      <c r="BM119" s="257"/>
      <c r="BN119" s="257"/>
      <c r="BO119" s="257"/>
      <c r="BP119" s="257"/>
      <c r="BQ119" s="257"/>
    </row>
    <row r="120" spans="2:72" s="198" customFormat="1" ht="22.5" customHeight="1">
      <c r="J120" s="262"/>
      <c r="K120" s="259"/>
      <c r="L120" s="259"/>
      <c r="M120" s="259"/>
      <c r="N120" s="259"/>
      <c r="O120" s="259"/>
      <c r="P120" s="259"/>
      <c r="Q120" s="259"/>
      <c r="R120" s="262"/>
      <c r="S120" s="259"/>
      <c r="T120" s="259"/>
      <c r="U120" s="259"/>
      <c r="V120" s="259"/>
      <c r="W120" s="259"/>
      <c r="X120" s="259"/>
      <c r="Y120" s="259"/>
      <c r="Z120" s="262"/>
      <c r="AA120" s="259"/>
      <c r="AB120" s="259"/>
      <c r="AC120" s="259"/>
      <c r="AD120" s="259"/>
      <c r="AE120" s="259"/>
      <c r="AF120" s="259"/>
      <c r="AG120" s="259"/>
      <c r="AH120" s="259"/>
      <c r="AI120" s="259"/>
      <c r="AJ120" s="259"/>
      <c r="AK120" s="262"/>
      <c r="AL120" s="259"/>
      <c r="AM120" s="259"/>
      <c r="AN120" s="259"/>
      <c r="AO120" s="259"/>
      <c r="AP120" s="259"/>
      <c r="AQ120" s="259"/>
      <c r="AR120" s="259"/>
      <c r="AS120" s="262"/>
      <c r="AT120" s="260"/>
      <c r="AU120" s="260"/>
      <c r="AV120" s="260"/>
      <c r="AW120" s="260"/>
      <c r="AX120" s="260"/>
      <c r="AY120" s="260"/>
      <c r="AZ120" s="260"/>
      <c r="BA120" s="260"/>
      <c r="BB120" s="261"/>
      <c r="BC120" s="260"/>
      <c r="BD120" s="260"/>
      <c r="BE120" s="260"/>
      <c r="BF120" s="260"/>
      <c r="BG120" s="260"/>
      <c r="BH120" s="260"/>
      <c r="BI120" s="260"/>
      <c r="BJ120" s="260"/>
      <c r="BK120" s="261"/>
      <c r="BL120" s="257"/>
      <c r="BM120" s="257"/>
      <c r="BN120" s="257"/>
      <c r="BO120" s="257"/>
      <c r="BP120" s="257"/>
      <c r="BQ120" s="257"/>
      <c r="BR120" s="36"/>
      <c r="BS120" s="36"/>
      <c r="BT120" s="36"/>
    </row>
    <row r="121" spans="2:72" s="198" customFormat="1" ht="22.5" customHeight="1">
      <c r="J121" s="262"/>
      <c r="K121" s="259"/>
      <c r="L121" s="259"/>
      <c r="M121" s="259"/>
      <c r="N121" s="259"/>
      <c r="O121" s="259"/>
      <c r="P121" s="259"/>
      <c r="Q121" s="259"/>
      <c r="R121" s="256"/>
      <c r="S121" s="259"/>
      <c r="T121" s="259"/>
      <c r="U121" s="259"/>
      <c r="V121" s="259"/>
      <c r="W121" s="259"/>
      <c r="X121" s="259"/>
      <c r="Y121" s="259"/>
      <c r="Z121" s="262"/>
      <c r="AA121" s="259"/>
      <c r="AB121" s="259"/>
      <c r="AC121" s="259"/>
      <c r="AD121" s="259"/>
      <c r="AE121" s="259"/>
      <c r="AF121" s="259"/>
      <c r="AG121" s="259"/>
      <c r="AH121" s="259"/>
      <c r="AI121" s="259"/>
      <c r="AJ121" s="259"/>
      <c r="AK121" s="262"/>
      <c r="AL121" s="259"/>
      <c r="AM121" s="259"/>
      <c r="AN121" s="259"/>
      <c r="AO121" s="259"/>
      <c r="AP121" s="259"/>
      <c r="AQ121" s="259"/>
      <c r="AR121" s="259"/>
      <c r="AS121" s="262"/>
      <c r="AT121" s="260"/>
      <c r="AU121" s="260"/>
      <c r="AV121" s="260"/>
      <c r="AW121" s="260"/>
      <c r="AX121" s="260"/>
      <c r="AY121" s="260"/>
      <c r="AZ121" s="260"/>
      <c r="BA121" s="260"/>
      <c r="BB121" s="261"/>
      <c r="BC121" s="260"/>
      <c r="BD121" s="260"/>
      <c r="BE121" s="260"/>
      <c r="BF121" s="260"/>
      <c r="BG121" s="260"/>
      <c r="BH121" s="260"/>
      <c r="BI121" s="260"/>
      <c r="BJ121" s="260"/>
      <c r="BK121" s="261"/>
      <c r="BL121" s="257"/>
      <c r="BM121" s="257"/>
      <c r="BN121" s="257"/>
      <c r="BO121" s="257"/>
      <c r="BP121" s="257"/>
      <c r="BQ121" s="257"/>
      <c r="BR121" s="36"/>
      <c r="BS121" s="36"/>
      <c r="BT121" s="36"/>
    </row>
    <row r="122" spans="2:72" s="198" customFormat="1" ht="22.5" customHeight="1">
      <c r="J122" s="262"/>
      <c r="K122" s="259"/>
      <c r="L122" s="259"/>
      <c r="M122" s="259"/>
      <c r="N122" s="259"/>
      <c r="O122" s="259"/>
      <c r="P122" s="259"/>
      <c r="Q122" s="259"/>
      <c r="R122" s="256"/>
      <c r="S122" s="259"/>
      <c r="T122" s="259"/>
      <c r="U122" s="259"/>
      <c r="V122" s="259"/>
      <c r="W122" s="259"/>
      <c r="X122" s="259"/>
      <c r="Y122" s="259"/>
      <c r="Z122" s="262"/>
      <c r="AA122" s="259"/>
      <c r="AB122" s="259"/>
      <c r="AC122" s="259"/>
      <c r="AD122" s="259"/>
      <c r="AE122" s="259"/>
      <c r="AF122" s="259"/>
      <c r="AG122" s="259"/>
      <c r="AH122" s="259"/>
      <c r="AI122" s="259"/>
      <c r="AJ122" s="259"/>
      <c r="AK122" s="262"/>
      <c r="AL122" s="259"/>
      <c r="AM122" s="259"/>
      <c r="AN122" s="259"/>
      <c r="AO122" s="259"/>
      <c r="AP122" s="259"/>
      <c r="AQ122" s="259"/>
      <c r="AR122" s="259"/>
      <c r="AS122" s="262"/>
      <c r="AT122" s="260"/>
      <c r="AU122" s="260"/>
      <c r="AV122" s="260"/>
      <c r="AW122" s="260"/>
      <c r="AX122" s="260"/>
      <c r="AY122" s="260"/>
      <c r="AZ122" s="260"/>
      <c r="BA122" s="260"/>
      <c r="BB122" s="261"/>
      <c r="BC122" s="260"/>
      <c r="BD122" s="260"/>
      <c r="BE122" s="260"/>
      <c r="BF122" s="260"/>
      <c r="BG122" s="260"/>
      <c r="BH122" s="260"/>
      <c r="BI122" s="260"/>
      <c r="BJ122" s="260"/>
      <c r="BK122" s="261"/>
      <c r="BL122" s="257"/>
      <c r="BM122" s="257"/>
      <c r="BN122" s="257"/>
      <c r="BO122" s="257"/>
      <c r="BP122" s="257"/>
      <c r="BQ122" s="257"/>
      <c r="BR122" s="36"/>
      <c r="BS122" s="36"/>
      <c r="BT122" s="36"/>
    </row>
    <row r="123" spans="2:72" s="198" customFormat="1" ht="22.5" customHeight="1">
      <c r="J123" s="262"/>
      <c r="K123" s="259"/>
      <c r="L123" s="259"/>
      <c r="M123" s="259"/>
      <c r="N123" s="259"/>
      <c r="O123" s="259"/>
      <c r="P123" s="259"/>
      <c r="Q123" s="259"/>
      <c r="R123" s="256"/>
      <c r="S123" s="259"/>
      <c r="T123" s="259"/>
      <c r="U123" s="259"/>
      <c r="V123" s="259"/>
      <c r="W123" s="259"/>
      <c r="X123" s="259"/>
      <c r="Y123" s="259"/>
      <c r="Z123" s="262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62"/>
      <c r="AL123" s="259"/>
      <c r="AM123" s="259"/>
      <c r="AN123" s="259"/>
      <c r="AO123" s="259"/>
      <c r="AP123" s="259"/>
      <c r="AQ123" s="259"/>
      <c r="AR123" s="259"/>
      <c r="AS123" s="262"/>
      <c r="AT123" s="260"/>
      <c r="AU123" s="260"/>
      <c r="AV123" s="260"/>
      <c r="AW123" s="260"/>
      <c r="AX123" s="260"/>
      <c r="AY123" s="260"/>
      <c r="AZ123" s="260"/>
      <c r="BA123" s="260"/>
      <c r="BB123" s="261"/>
      <c r="BC123" s="260"/>
      <c r="BD123" s="260"/>
      <c r="BE123" s="260"/>
      <c r="BF123" s="260"/>
      <c r="BG123" s="260"/>
      <c r="BH123" s="260"/>
      <c r="BI123" s="260"/>
      <c r="BJ123" s="260"/>
      <c r="BK123" s="261"/>
      <c r="BL123" s="257"/>
      <c r="BM123" s="257"/>
      <c r="BN123" s="257"/>
      <c r="BO123" s="257"/>
      <c r="BP123" s="257"/>
      <c r="BQ123" s="257"/>
      <c r="BR123" s="36"/>
      <c r="BS123" s="36"/>
      <c r="BT123" s="36"/>
    </row>
    <row r="124" spans="2:72" s="199" customFormat="1" ht="22.5" customHeight="1">
      <c r="J124" s="264"/>
      <c r="K124" s="263"/>
      <c r="L124" s="263"/>
      <c r="M124" s="263"/>
      <c r="N124" s="263"/>
      <c r="O124" s="263"/>
      <c r="P124" s="263"/>
      <c r="Q124" s="263"/>
      <c r="R124" s="255"/>
      <c r="S124" s="263"/>
      <c r="T124" s="263"/>
      <c r="U124" s="263"/>
      <c r="V124" s="263"/>
      <c r="W124" s="263"/>
      <c r="X124" s="263"/>
      <c r="Y124" s="263"/>
      <c r="Z124" s="264"/>
      <c r="AA124" s="263"/>
      <c r="AB124" s="263"/>
      <c r="AC124" s="263"/>
      <c r="AD124" s="263"/>
      <c r="AE124" s="263"/>
      <c r="AF124" s="263"/>
      <c r="AG124" s="263"/>
      <c r="AH124" s="263"/>
      <c r="AI124" s="263"/>
      <c r="AJ124" s="263"/>
      <c r="AK124" s="264"/>
      <c r="AL124" s="263"/>
      <c r="AM124" s="263"/>
      <c r="AN124" s="263"/>
      <c r="AO124" s="263"/>
      <c r="AP124" s="263"/>
      <c r="AQ124" s="263"/>
      <c r="AR124" s="263"/>
      <c r="AS124" s="264"/>
      <c r="AT124" s="260"/>
      <c r="AU124" s="260"/>
      <c r="AV124" s="260"/>
      <c r="AW124" s="260"/>
      <c r="AX124" s="260"/>
      <c r="AY124" s="260"/>
      <c r="AZ124" s="260"/>
      <c r="BA124" s="260"/>
      <c r="BB124" s="261"/>
      <c r="BC124" s="260"/>
      <c r="BD124" s="260"/>
      <c r="BE124" s="260"/>
      <c r="BF124" s="260"/>
      <c r="BG124" s="260"/>
      <c r="BH124" s="260"/>
      <c r="BI124" s="260"/>
      <c r="BJ124" s="260"/>
      <c r="BK124" s="261"/>
      <c r="BL124" s="257"/>
      <c r="BM124" s="257"/>
      <c r="BN124" s="257"/>
      <c r="BO124" s="257"/>
      <c r="BP124" s="257"/>
      <c r="BQ124" s="257"/>
      <c r="BR124" s="36"/>
      <c r="BS124" s="36"/>
      <c r="BT124" s="36"/>
    </row>
    <row r="125" spans="2:72" s="198" customFormat="1" ht="22.5" customHeight="1">
      <c r="J125" s="262"/>
      <c r="K125" s="259"/>
      <c r="L125" s="259"/>
      <c r="M125" s="259"/>
      <c r="N125" s="259"/>
      <c r="O125" s="259"/>
      <c r="P125" s="259"/>
      <c r="Q125" s="259"/>
      <c r="R125" s="256"/>
      <c r="S125" s="259"/>
      <c r="T125" s="259"/>
      <c r="U125" s="259"/>
      <c r="V125" s="259"/>
      <c r="W125" s="259"/>
      <c r="X125" s="259"/>
      <c r="Y125" s="259"/>
      <c r="Z125" s="262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62"/>
      <c r="AL125" s="259"/>
      <c r="AM125" s="259"/>
      <c r="AN125" s="259"/>
      <c r="AO125" s="259"/>
      <c r="AP125" s="259"/>
      <c r="AQ125" s="259"/>
      <c r="AR125" s="259"/>
      <c r="AS125" s="262"/>
      <c r="AT125" s="260"/>
      <c r="AU125" s="260"/>
      <c r="AV125" s="260"/>
      <c r="AW125" s="260"/>
      <c r="AX125" s="260"/>
      <c r="AY125" s="260"/>
      <c r="AZ125" s="260"/>
      <c r="BA125" s="257"/>
      <c r="BB125" s="261"/>
      <c r="BC125" s="257"/>
      <c r="BD125" s="257"/>
      <c r="BE125" s="257"/>
      <c r="BF125" s="257"/>
      <c r="BG125" s="257"/>
      <c r="BH125" s="257"/>
      <c r="BI125" s="257"/>
      <c r="BJ125" s="260"/>
      <c r="BK125" s="261"/>
      <c r="BL125" s="257"/>
      <c r="BM125" s="257"/>
      <c r="BN125" s="257"/>
      <c r="BO125" s="257"/>
      <c r="BP125" s="257"/>
      <c r="BQ125" s="257"/>
      <c r="BR125" s="36"/>
      <c r="BS125" s="36"/>
      <c r="BT125" s="36"/>
    </row>
    <row r="126" spans="2:72" s="196" customFormat="1" ht="22.5" customHeight="1">
      <c r="B126" s="36"/>
      <c r="H126" s="36"/>
      <c r="J126" s="261"/>
      <c r="K126" s="260"/>
      <c r="L126" s="260"/>
      <c r="M126" s="260"/>
      <c r="N126" s="260"/>
      <c r="O126" s="260"/>
      <c r="P126" s="260"/>
      <c r="Q126" s="260"/>
      <c r="R126" s="256"/>
      <c r="S126" s="260"/>
      <c r="T126" s="260"/>
      <c r="U126" s="260"/>
      <c r="V126" s="260"/>
      <c r="W126" s="257"/>
      <c r="X126" s="260"/>
      <c r="Y126" s="260"/>
      <c r="Z126" s="261"/>
      <c r="AA126" s="260"/>
      <c r="AB126" s="260"/>
      <c r="AC126" s="260"/>
      <c r="AD126" s="260"/>
      <c r="AE126" s="260"/>
      <c r="AF126" s="260"/>
      <c r="AG126" s="260"/>
      <c r="AH126" s="260"/>
      <c r="AI126" s="260"/>
      <c r="AJ126" s="260"/>
      <c r="AK126" s="261"/>
      <c r="AL126" s="260"/>
      <c r="AM126" s="260"/>
      <c r="AN126" s="260"/>
      <c r="AO126" s="260"/>
      <c r="AP126" s="260"/>
      <c r="AQ126" s="260"/>
      <c r="AR126" s="260"/>
      <c r="AS126" s="261"/>
      <c r="AT126" s="260"/>
      <c r="AU126" s="260"/>
      <c r="AV126" s="260"/>
      <c r="AW126" s="260"/>
      <c r="AX126" s="260"/>
      <c r="AY126" s="260"/>
      <c r="AZ126" s="260"/>
      <c r="BA126" s="257"/>
      <c r="BB126" s="262"/>
      <c r="BC126" s="257"/>
      <c r="BD126" s="257"/>
      <c r="BE126" s="257"/>
      <c r="BF126" s="257"/>
      <c r="BG126" s="257"/>
      <c r="BH126" s="257"/>
      <c r="BI126" s="257"/>
      <c r="BJ126" s="260"/>
      <c r="BK126" s="261"/>
      <c r="BL126" s="257"/>
      <c r="BM126" s="257"/>
      <c r="BN126" s="257"/>
      <c r="BO126" s="257"/>
      <c r="BP126" s="257"/>
      <c r="BQ126" s="257"/>
      <c r="BR126" s="36"/>
      <c r="BS126" s="36"/>
      <c r="BT126" s="36"/>
    </row>
    <row r="127" spans="2:72" s="196" customFormat="1" ht="22.5" customHeight="1">
      <c r="B127" s="36"/>
      <c r="H127" s="36"/>
      <c r="J127" s="261"/>
      <c r="K127" s="260"/>
      <c r="L127" s="260"/>
      <c r="M127" s="260"/>
      <c r="N127" s="260"/>
      <c r="O127" s="260"/>
      <c r="P127" s="260"/>
      <c r="Q127" s="265"/>
      <c r="R127" s="248"/>
      <c r="S127" s="266"/>
      <c r="T127" s="260"/>
      <c r="U127" s="260"/>
      <c r="V127" s="260"/>
      <c r="W127" s="257"/>
      <c r="X127" s="260"/>
      <c r="Y127" s="260"/>
      <c r="Z127" s="261"/>
      <c r="AA127" s="260"/>
      <c r="AB127" s="260"/>
      <c r="AC127" s="260"/>
      <c r="AD127" s="260"/>
      <c r="AE127" s="260"/>
      <c r="AF127" s="260"/>
      <c r="AG127" s="260"/>
      <c r="AH127" s="260"/>
      <c r="AI127" s="260"/>
      <c r="AJ127" s="260"/>
      <c r="AK127" s="261"/>
      <c r="AL127" s="260"/>
      <c r="AM127" s="260"/>
      <c r="AN127" s="260"/>
      <c r="AO127" s="260"/>
      <c r="AP127" s="260"/>
      <c r="AQ127" s="260"/>
      <c r="AR127" s="260"/>
      <c r="AS127" s="261"/>
      <c r="AT127" s="257"/>
      <c r="AU127" s="257"/>
      <c r="AV127" s="257"/>
      <c r="AW127" s="257"/>
      <c r="AX127" s="257"/>
      <c r="AY127" s="257"/>
      <c r="AZ127" s="257"/>
      <c r="BA127" s="257"/>
      <c r="BB127" s="262"/>
      <c r="BC127" s="257"/>
      <c r="BD127" s="257"/>
      <c r="BE127" s="257"/>
      <c r="BF127" s="257"/>
      <c r="BG127" s="257"/>
      <c r="BH127" s="257"/>
      <c r="BI127" s="257"/>
      <c r="BJ127" s="260"/>
      <c r="BK127" s="261"/>
      <c r="BL127" s="257"/>
      <c r="BM127" s="257"/>
      <c r="BN127" s="257"/>
      <c r="BO127" s="257"/>
      <c r="BP127" s="257"/>
      <c r="BQ127" s="257"/>
      <c r="BR127" s="36"/>
      <c r="BS127" s="36"/>
      <c r="BT127" s="36"/>
    </row>
    <row r="128" spans="2:72" s="196" customFormat="1" ht="22.5" customHeight="1">
      <c r="B128" s="36"/>
      <c r="H128" s="36"/>
      <c r="J128" s="261"/>
      <c r="K128" s="260"/>
      <c r="L128" s="260"/>
      <c r="M128" s="260"/>
      <c r="N128" s="260"/>
      <c r="O128" s="260"/>
      <c r="P128" s="260"/>
      <c r="Q128" s="265"/>
      <c r="R128" s="248"/>
      <c r="S128" s="266"/>
      <c r="T128" s="260"/>
      <c r="U128" s="260"/>
      <c r="V128" s="260"/>
      <c r="W128" s="257"/>
      <c r="X128" s="260"/>
      <c r="Y128" s="260"/>
      <c r="Z128" s="261"/>
      <c r="AA128" s="260"/>
      <c r="AB128" s="260"/>
      <c r="AC128" s="260"/>
      <c r="AD128" s="260"/>
      <c r="AE128" s="260"/>
      <c r="AF128" s="260"/>
      <c r="AG128" s="260"/>
      <c r="AH128" s="260"/>
      <c r="AI128" s="260"/>
      <c r="AJ128" s="260"/>
      <c r="AK128" s="261"/>
      <c r="AL128" s="260"/>
      <c r="AM128" s="260"/>
      <c r="AN128" s="260"/>
      <c r="AO128" s="260"/>
      <c r="AP128" s="260"/>
      <c r="AQ128" s="260"/>
      <c r="AR128" s="260"/>
      <c r="AS128" s="261"/>
      <c r="AT128" s="257"/>
      <c r="AU128" s="257"/>
      <c r="AV128" s="257"/>
      <c r="AW128" s="257"/>
      <c r="AX128" s="257"/>
      <c r="AY128" s="257"/>
      <c r="AZ128" s="257"/>
      <c r="BA128" s="257"/>
      <c r="BB128" s="262"/>
      <c r="BC128" s="257"/>
      <c r="BD128" s="257"/>
      <c r="BE128" s="257"/>
      <c r="BF128" s="257"/>
      <c r="BG128" s="257"/>
      <c r="BH128" s="257"/>
      <c r="BI128" s="257"/>
      <c r="BJ128" s="257"/>
      <c r="BK128" s="261"/>
      <c r="BL128" s="257"/>
      <c r="BM128" s="257"/>
      <c r="BN128" s="257"/>
      <c r="BO128" s="257"/>
      <c r="BP128" s="257"/>
      <c r="BQ128" s="257"/>
      <c r="BR128" s="81"/>
      <c r="BS128" s="81"/>
      <c r="BT128" s="81"/>
    </row>
    <row r="129" spans="1:72" s="196" customFormat="1" ht="22.5" customHeight="1">
      <c r="B129" s="36"/>
      <c r="H129" s="36"/>
      <c r="J129" s="261"/>
      <c r="K129" s="260"/>
      <c r="L129" s="260"/>
      <c r="M129" s="260"/>
      <c r="N129" s="260"/>
      <c r="O129" s="260"/>
      <c r="P129" s="260"/>
      <c r="Q129" s="265"/>
      <c r="R129" s="248"/>
      <c r="S129" s="266"/>
      <c r="T129" s="260"/>
      <c r="U129" s="260"/>
      <c r="V129" s="260"/>
      <c r="W129" s="257"/>
      <c r="X129" s="260"/>
      <c r="Y129" s="260"/>
      <c r="Z129" s="261"/>
      <c r="AA129" s="260"/>
      <c r="AB129" s="260"/>
      <c r="AC129" s="260"/>
      <c r="AD129" s="260"/>
      <c r="AE129" s="260"/>
      <c r="AF129" s="260"/>
      <c r="AG129" s="260"/>
      <c r="AH129" s="260"/>
      <c r="AI129" s="260"/>
      <c r="AJ129" s="260"/>
      <c r="AK129" s="261"/>
      <c r="AL129" s="260"/>
      <c r="AM129" s="260"/>
      <c r="AN129" s="260"/>
      <c r="AO129" s="260"/>
      <c r="AP129" s="260"/>
      <c r="AQ129" s="260"/>
      <c r="AR129" s="260"/>
      <c r="AS129" s="261"/>
      <c r="AT129" s="257"/>
      <c r="AU129" s="257"/>
      <c r="AV129" s="257"/>
      <c r="AW129" s="257"/>
      <c r="AX129" s="257"/>
      <c r="AY129" s="257"/>
      <c r="AZ129" s="257"/>
      <c r="BA129" s="257"/>
      <c r="BB129" s="262"/>
      <c r="BC129" s="257"/>
      <c r="BD129" s="257"/>
      <c r="BE129" s="257"/>
      <c r="BF129" s="257"/>
      <c r="BG129" s="257"/>
      <c r="BH129" s="257"/>
      <c r="BI129" s="257"/>
      <c r="BJ129" s="257"/>
      <c r="BK129" s="262"/>
      <c r="BL129" s="257"/>
      <c r="BM129" s="257"/>
      <c r="BN129" s="257"/>
      <c r="BO129" s="257"/>
      <c r="BP129" s="257"/>
      <c r="BQ129" s="257"/>
      <c r="BR129" s="81"/>
      <c r="BS129" s="81"/>
      <c r="BT129" s="81"/>
    </row>
    <row r="130" spans="1:72" s="196" customFormat="1" ht="22.5" customHeight="1">
      <c r="B130" s="36"/>
      <c r="H130" s="36"/>
      <c r="J130" s="261"/>
      <c r="K130" s="260"/>
      <c r="L130" s="260"/>
      <c r="M130" s="260"/>
      <c r="N130" s="260"/>
      <c r="O130" s="260"/>
      <c r="P130" s="260"/>
      <c r="Q130" s="265"/>
      <c r="R130" s="248"/>
      <c r="S130" s="266"/>
      <c r="T130" s="265"/>
      <c r="U130" s="265"/>
      <c r="V130" s="265"/>
      <c r="W130" s="241"/>
      <c r="X130" s="265"/>
      <c r="Y130" s="260"/>
      <c r="Z130" s="261"/>
      <c r="AA130" s="260"/>
      <c r="AB130" s="260"/>
      <c r="AC130" s="260"/>
      <c r="AD130" s="260"/>
      <c r="AE130" s="260"/>
      <c r="AF130" s="260"/>
      <c r="AG130" s="260"/>
      <c r="AH130" s="260"/>
      <c r="AI130" s="260"/>
      <c r="AJ130" s="260"/>
      <c r="AK130" s="261"/>
      <c r="AL130" s="260"/>
      <c r="AM130" s="260"/>
      <c r="AN130" s="260"/>
      <c r="AO130" s="260"/>
      <c r="AP130" s="260"/>
      <c r="AQ130" s="260"/>
      <c r="AR130" s="260"/>
      <c r="AS130" s="261"/>
      <c r="AT130" s="257"/>
      <c r="AU130" s="257"/>
      <c r="AV130" s="257"/>
      <c r="AW130" s="257"/>
      <c r="AX130" s="257"/>
      <c r="AY130" s="257"/>
      <c r="AZ130" s="257"/>
      <c r="BA130" s="257"/>
      <c r="BB130" s="262"/>
      <c r="BC130" s="257"/>
      <c r="BD130" s="257"/>
      <c r="BE130" s="257"/>
      <c r="BF130" s="257"/>
      <c r="BG130" s="257"/>
      <c r="BH130" s="257"/>
      <c r="BI130" s="257"/>
      <c r="BJ130" s="257"/>
      <c r="BK130" s="262"/>
      <c r="BL130" s="257"/>
      <c r="BM130" s="257"/>
      <c r="BN130" s="257"/>
      <c r="BO130" s="257"/>
      <c r="BP130" s="257"/>
      <c r="BQ130" s="257"/>
      <c r="BR130" s="81"/>
      <c r="BS130" s="81"/>
      <c r="BT130" s="81"/>
    </row>
    <row r="131" spans="1:72" s="196" customFormat="1" ht="22.5" customHeight="1">
      <c r="B131" s="36"/>
      <c r="H131" s="36"/>
      <c r="J131" s="261"/>
      <c r="K131" s="260"/>
      <c r="L131" s="260"/>
      <c r="M131" s="260"/>
      <c r="N131" s="260"/>
      <c r="O131" s="260"/>
      <c r="P131" s="260"/>
      <c r="Q131" s="260"/>
      <c r="R131" s="256"/>
      <c r="S131" s="260"/>
      <c r="T131" s="260"/>
      <c r="U131" s="260"/>
      <c r="V131" s="260"/>
      <c r="W131" s="257"/>
      <c r="X131" s="260"/>
      <c r="Y131" s="260"/>
      <c r="Z131" s="261"/>
      <c r="AA131" s="260"/>
      <c r="AB131" s="260"/>
      <c r="AC131" s="260"/>
      <c r="AD131" s="260"/>
      <c r="AE131" s="260"/>
      <c r="AF131" s="260"/>
      <c r="AG131" s="260"/>
      <c r="AH131" s="260"/>
      <c r="AI131" s="260"/>
      <c r="AJ131" s="260"/>
      <c r="AK131" s="261"/>
      <c r="AL131" s="260"/>
      <c r="AM131" s="260"/>
      <c r="AN131" s="260"/>
      <c r="AO131" s="260"/>
      <c r="AP131" s="260"/>
      <c r="AQ131" s="260"/>
      <c r="AR131" s="260"/>
      <c r="AS131" s="261"/>
      <c r="AT131" s="257"/>
      <c r="AU131" s="257"/>
      <c r="AV131" s="257"/>
      <c r="AW131" s="257"/>
      <c r="AX131" s="257"/>
      <c r="AY131" s="257"/>
      <c r="AZ131" s="257"/>
      <c r="BA131" s="257"/>
      <c r="BB131" s="262"/>
      <c r="BC131" s="257"/>
      <c r="BD131" s="257"/>
      <c r="BE131" s="257"/>
      <c r="BF131" s="257"/>
      <c r="BG131" s="257"/>
      <c r="BH131" s="257"/>
      <c r="BI131" s="257"/>
      <c r="BJ131" s="257"/>
      <c r="BK131" s="262"/>
      <c r="BL131" s="257"/>
      <c r="BM131" s="257"/>
      <c r="BN131" s="257"/>
      <c r="BO131" s="257"/>
      <c r="BP131" s="257"/>
      <c r="BQ131" s="257"/>
      <c r="BR131" s="81"/>
      <c r="BS131" s="81"/>
      <c r="BT131" s="81"/>
    </row>
    <row r="132" spans="1:72" s="196" customFormat="1" ht="22.5" customHeight="1">
      <c r="A132" s="197"/>
      <c r="B132" s="36"/>
      <c r="H132" s="36"/>
      <c r="J132" s="261"/>
      <c r="K132" s="260"/>
      <c r="L132" s="260"/>
      <c r="M132" s="260"/>
      <c r="N132" s="260"/>
      <c r="O132" s="260"/>
      <c r="P132" s="260"/>
      <c r="Q132" s="260"/>
      <c r="R132" s="256"/>
      <c r="S132" s="260"/>
      <c r="T132" s="260"/>
      <c r="U132" s="260"/>
      <c r="V132" s="260"/>
      <c r="W132" s="257"/>
      <c r="X132" s="260"/>
      <c r="Y132" s="260"/>
      <c r="Z132" s="261"/>
      <c r="AA132" s="260"/>
      <c r="AB132" s="260"/>
      <c r="AC132" s="260"/>
      <c r="AD132" s="260"/>
      <c r="AE132" s="260"/>
      <c r="AF132" s="260"/>
      <c r="AG132" s="260"/>
      <c r="AH132" s="260"/>
      <c r="AI132" s="260"/>
      <c r="AJ132" s="260"/>
      <c r="AK132" s="261"/>
      <c r="AL132" s="260"/>
      <c r="AM132" s="260"/>
      <c r="AN132" s="260"/>
      <c r="AO132" s="260"/>
      <c r="AP132" s="260"/>
      <c r="AQ132" s="260"/>
      <c r="AR132" s="260"/>
      <c r="AS132" s="261"/>
      <c r="AT132" s="257"/>
      <c r="AU132" s="257"/>
      <c r="AV132" s="257"/>
      <c r="AW132" s="257"/>
      <c r="AX132" s="257"/>
      <c r="AY132" s="257"/>
      <c r="AZ132" s="257"/>
      <c r="BA132" s="257"/>
      <c r="BB132" s="262"/>
      <c r="BC132" s="257"/>
      <c r="BD132" s="257"/>
      <c r="BE132" s="257"/>
      <c r="BF132" s="257"/>
      <c r="BG132" s="257"/>
      <c r="BH132" s="257"/>
      <c r="BI132" s="257"/>
      <c r="BJ132" s="257"/>
      <c r="BK132" s="262"/>
      <c r="BL132" s="267"/>
      <c r="BM132" s="267"/>
      <c r="BN132" s="267"/>
      <c r="BO132" s="267"/>
      <c r="BP132" s="267"/>
      <c r="BQ132" s="267"/>
      <c r="BR132" s="81"/>
      <c r="BS132" s="81"/>
      <c r="BT132" s="81"/>
    </row>
    <row r="133" spans="1:72" s="196" customFormat="1" ht="22.5" customHeight="1">
      <c r="B133" s="36"/>
      <c r="H133" s="36"/>
      <c r="J133" s="261"/>
      <c r="K133" s="260"/>
      <c r="L133" s="260"/>
      <c r="M133" s="260"/>
      <c r="N133" s="260"/>
      <c r="O133" s="260"/>
      <c r="P133" s="260"/>
      <c r="Q133" s="260"/>
      <c r="R133" s="256"/>
      <c r="S133" s="260"/>
      <c r="T133" s="260"/>
      <c r="U133" s="260"/>
      <c r="V133" s="260"/>
      <c r="W133" s="257"/>
      <c r="X133" s="260"/>
      <c r="Y133" s="260"/>
      <c r="Z133" s="261"/>
      <c r="AA133" s="260"/>
      <c r="AB133" s="260"/>
      <c r="AC133" s="260"/>
      <c r="AD133" s="260"/>
      <c r="AE133" s="260"/>
      <c r="AF133" s="260"/>
      <c r="AG133" s="260"/>
      <c r="AH133" s="260"/>
      <c r="AI133" s="260"/>
      <c r="AJ133" s="260"/>
      <c r="AK133" s="261"/>
      <c r="AL133" s="260"/>
      <c r="AM133" s="260"/>
      <c r="AN133" s="260"/>
      <c r="AO133" s="260"/>
      <c r="AP133" s="260"/>
      <c r="AQ133" s="260"/>
      <c r="AR133" s="260"/>
      <c r="AS133" s="261"/>
      <c r="AT133" s="257"/>
      <c r="AU133" s="257"/>
      <c r="AV133" s="257"/>
      <c r="AW133" s="257"/>
      <c r="AX133" s="257"/>
      <c r="AY133" s="257"/>
      <c r="AZ133" s="257"/>
      <c r="BA133" s="257"/>
      <c r="BB133" s="262"/>
      <c r="BC133" s="257"/>
      <c r="BD133" s="257"/>
      <c r="BE133" s="257"/>
      <c r="BF133" s="257"/>
      <c r="BG133" s="257"/>
      <c r="BH133" s="257"/>
      <c r="BI133" s="257"/>
      <c r="BJ133" s="257"/>
      <c r="BK133" s="262"/>
      <c r="BL133" s="267"/>
      <c r="BM133" s="267"/>
      <c r="BN133" s="267"/>
      <c r="BO133" s="267"/>
      <c r="BP133" s="267"/>
      <c r="BQ133" s="267"/>
      <c r="BR133" s="81"/>
      <c r="BS133" s="81"/>
      <c r="BT133" s="81"/>
    </row>
    <row r="134" spans="1:72" s="196" customFormat="1" ht="22.5" customHeight="1">
      <c r="B134" s="36"/>
      <c r="H134" s="36"/>
      <c r="J134" s="261"/>
      <c r="K134" s="260"/>
      <c r="L134" s="260"/>
      <c r="M134" s="260"/>
      <c r="N134" s="260"/>
      <c r="O134" s="260"/>
      <c r="P134" s="260"/>
      <c r="Q134" s="260"/>
      <c r="R134" s="256"/>
      <c r="S134" s="260"/>
      <c r="T134" s="260"/>
      <c r="U134" s="260"/>
      <c r="V134" s="260"/>
      <c r="W134" s="257"/>
      <c r="X134" s="260"/>
      <c r="Y134" s="260"/>
      <c r="Z134" s="261"/>
      <c r="AA134" s="260"/>
      <c r="AB134" s="260"/>
      <c r="AC134" s="260"/>
      <c r="AD134" s="260"/>
      <c r="AE134" s="260"/>
      <c r="AF134" s="260"/>
      <c r="AG134" s="260"/>
      <c r="AH134" s="260"/>
      <c r="AI134" s="260"/>
      <c r="AJ134" s="260"/>
      <c r="AK134" s="261"/>
      <c r="AL134" s="260"/>
      <c r="AM134" s="260"/>
      <c r="AN134" s="260"/>
      <c r="AO134" s="260"/>
      <c r="AP134" s="260"/>
      <c r="AQ134" s="260"/>
      <c r="AR134" s="260"/>
      <c r="AS134" s="261"/>
      <c r="AT134" s="257"/>
      <c r="AU134" s="257"/>
      <c r="AV134" s="257"/>
      <c r="AW134" s="257"/>
      <c r="AX134" s="257"/>
      <c r="AY134" s="257"/>
      <c r="AZ134" s="257"/>
      <c r="BA134" s="257"/>
      <c r="BB134" s="262"/>
      <c r="BC134" s="257"/>
      <c r="BD134" s="257"/>
      <c r="BE134" s="257"/>
      <c r="BF134" s="257"/>
      <c r="BG134" s="257"/>
      <c r="BH134" s="257"/>
      <c r="BI134" s="257"/>
      <c r="BJ134" s="257"/>
      <c r="BK134" s="262"/>
      <c r="BL134" s="267"/>
      <c r="BM134" s="267"/>
      <c r="BN134" s="267"/>
      <c r="BO134" s="267"/>
      <c r="BP134" s="267"/>
      <c r="BQ134" s="267"/>
      <c r="BR134" s="81"/>
      <c r="BS134" s="81"/>
      <c r="BT134" s="81"/>
    </row>
    <row r="135" spans="1:72" s="36" customFormat="1" ht="22.5" customHeight="1">
      <c r="J135" s="262"/>
      <c r="K135" s="257"/>
      <c r="L135" s="257"/>
      <c r="M135" s="257"/>
      <c r="N135" s="257"/>
      <c r="O135" s="257"/>
      <c r="P135" s="257"/>
      <c r="Q135" s="257"/>
      <c r="R135" s="256"/>
      <c r="S135" s="257"/>
      <c r="T135" s="257"/>
      <c r="U135" s="257"/>
      <c r="V135" s="257"/>
      <c r="W135" s="257"/>
      <c r="X135" s="257"/>
      <c r="Y135" s="257"/>
      <c r="Z135" s="262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62"/>
      <c r="AL135" s="257"/>
      <c r="AM135" s="257"/>
      <c r="AN135" s="257"/>
      <c r="AO135" s="257"/>
      <c r="AP135" s="257"/>
      <c r="AQ135" s="257"/>
      <c r="AR135" s="257"/>
      <c r="AS135" s="262"/>
      <c r="AT135" s="257"/>
      <c r="AU135" s="257"/>
      <c r="AV135" s="257"/>
      <c r="AW135" s="257"/>
      <c r="AX135" s="257"/>
      <c r="AY135" s="257"/>
      <c r="AZ135" s="257"/>
      <c r="BA135" s="257"/>
      <c r="BB135" s="262"/>
      <c r="BC135" s="257"/>
      <c r="BD135" s="257"/>
      <c r="BE135" s="257"/>
      <c r="BF135" s="257"/>
      <c r="BG135" s="257"/>
      <c r="BH135" s="257"/>
      <c r="BI135" s="257"/>
      <c r="BJ135" s="257"/>
      <c r="BK135" s="262"/>
      <c r="BL135" s="267"/>
      <c r="BM135" s="267"/>
      <c r="BN135" s="267"/>
      <c r="BO135" s="267"/>
      <c r="BP135" s="267"/>
      <c r="BQ135" s="267"/>
      <c r="BR135" s="81"/>
      <c r="BS135" s="81"/>
      <c r="BT135" s="81"/>
    </row>
    <row r="136" spans="1:72" s="36" customFormat="1" ht="22.5" customHeight="1">
      <c r="J136" s="262"/>
      <c r="K136" s="257"/>
      <c r="L136" s="257"/>
      <c r="M136" s="257"/>
      <c r="N136" s="257"/>
      <c r="O136" s="257"/>
      <c r="P136" s="257"/>
      <c r="Q136" s="257"/>
      <c r="R136" s="256"/>
      <c r="S136" s="257"/>
      <c r="T136" s="257"/>
      <c r="U136" s="257"/>
      <c r="V136" s="257"/>
      <c r="W136" s="257"/>
      <c r="X136" s="257"/>
      <c r="Y136" s="257"/>
      <c r="Z136" s="262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62"/>
      <c r="AL136" s="257"/>
      <c r="AM136" s="257"/>
      <c r="AN136" s="257"/>
      <c r="AO136" s="257"/>
      <c r="AP136" s="257"/>
      <c r="AQ136" s="257"/>
      <c r="AR136" s="257"/>
      <c r="AS136" s="262"/>
      <c r="AT136" s="257"/>
      <c r="AU136" s="257"/>
      <c r="AV136" s="257"/>
      <c r="AW136" s="257"/>
      <c r="AX136" s="257"/>
      <c r="AY136" s="257"/>
      <c r="AZ136" s="257"/>
      <c r="BA136" s="257"/>
      <c r="BB136" s="262"/>
      <c r="BC136" s="257"/>
      <c r="BD136" s="257"/>
      <c r="BE136" s="257"/>
      <c r="BF136" s="257"/>
      <c r="BG136" s="257"/>
      <c r="BH136" s="257"/>
      <c r="BI136" s="257"/>
      <c r="BJ136" s="257"/>
      <c r="BK136" s="262"/>
      <c r="BL136" s="267"/>
      <c r="BM136" s="267"/>
      <c r="BN136" s="267"/>
      <c r="BO136" s="267"/>
      <c r="BP136" s="267"/>
      <c r="BQ136" s="267"/>
      <c r="BR136" s="81"/>
      <c r="BS136" s="81"/>
      <c r="BT136" s="81"/>
    </row>
    <row r="137" spans="1:72" s="36" customFormat="1" ht="22.5" customHeight="1">
      <c r="J137" s="262"/>
      <c r="K137" s="257"/>
      <c r="L137" s="257"/>
      <c r="M137" s="257"/>
      <c r="N137" s="257"/>
      <c r="O137" s="257"/>
      <c r="P137" s="257"/>
      <c r="Q137" s="257"/>
      <c r="R137" s="256"/>
      <c r="S137" s="257"/>
      <c r="T137" s="257"/>
      <c r="U137" s="257"/>
      <c r="V137" s="257"/>
      <c r="W137" s="257"/>
      <c r="X137" s="257"/>
      <c r="Y137" s="257"/>
      <c r="Z137" s="262"/>
      <c r="AA137" s="257"/>
      <c r="AB137" s="257"/>
      <c r="AC137" s="257"/>
      <c r="AD137" s="257"/>
      <c r="AE137" s="257"/>
      <c r="AF137" s="257"/>
      <c r="AG137" s="257"/>
      <c r="AH137" s="257"/>
      <c r="AI137" s="257"/>
      <c r="AJ137" s="257"/>
      <c r="AK137" s="262"/>
      <c r="AL137" s="257"/>
      <c r="AM137" s="257"/>
      <c r="AN137" s="257"/>
      <c r="AO137" s="257"/>
      <c r="AP137" s="257"/>
      <c r="AQ137" s="257"/>
      <c r="AR137" s="257"/>
      <c r="AS137" s="262"/>
      <c r="AT137" s="257"/>
      <c r="AU137" s="257"/>
      <c r="AV137" s="257"/>
      <c r="AW137" s="257"/>
      <c r="AX137" s="257"/>
      <c r="AY137" s="257"/>
      <c r="AZ137" s="257"/>
      <c r="BA137" s="257"/>
      <c r="BB137" s="262"/>
      <c r="BC137" s="257"/>
      <c r="BD137" s="257"/>
      <c r="BE137" s="257"/>
      <c r="BF137" s="257"/>
      <c r="BG137" s="257"/>
      <c r="BH137" s="257"/>
      <c r="BI137" s="257"/>
      <c r="BJ137" s="257"/>
      <c r="BK137" s="262"/>
      <c r="BL137" s="267"/>
      <c r="BM137" s="267"/>
      <c r="BN137" s="267"/>
      <c r="BO137" s="267"/>
      <c r="BP137" s="267"/>
      <c r="BQ137" s="267"/>
      <c r="BR137" s="81"/>
      <c r="BS137" s="81"/>
      <c r="BT137" s="81"/>
    </row>
    <row r="138" spans="1:72" s="36" customFormat="1" ht="22.5" customHeight="1">
      <c r="A138" s="195"/>
      <c r="J138" s="262"/>
      <c r="K138" s="257"/>
      <c r="L138" s="257"/>
      <c r="M138" s="257"/>
      <c r="N138" s="257"/>
      <c r="O138" s="257"/>
      <c r="P138" s="257"/>
      <c r="Q138" s="257"/>
      <c r="R138" s="256"/>
      <c r="S138" s="257"/>
      <c r="T138" s="257"/>
      <c r="U138" s="257"/>
      <c r="V138" s="257"/>
      <c r="W138" s="257"/>
      <c r="X138" s="257"/>
      <c r="Y138" s="257"/>
      <c r="Z138" s="262"/>
      <c r="AA138" s="257"/>
      <c r="AB138" s="257"/>
      <c r="AC138" s="257"/>
      <c r="AD138" s="257"/>
      <c r="AE138" s="257"/>
      <c r="AF138" s="257"/>
      <c r="AG138" s="257"/>
      <c r="AH138" s="257"/>
      <c r="AI138" s="257"/>
      <c r="AJ138" s="257"/>
      <c r="AK138" s="262"/>
      <c r="AL138" s="257"/>
      <c r="AM138" s="257"/>
      <c r="AN138" s="257"/>
      <c r="AO138" s="257"/>
      <c r="AP138" s="257"/>
      <c r="AQ138" s="257"/>
      <c r="AR138" s="257"/>
      <c r="AS138" s="262"/>
      <c r="AT138" s="257"/>
      <c r="AU138" s="257"/>
      <c r="AV138" s="257"/>
      <c r="AW138" s="257"/>
      <c r="AX138" s="257"/>
      <c r="AY138" s="257"/>
      <c r="AZ138" s="257"/>
      <c r="BA138" s="257"/>
      <c r="BB138" s="262"/>
      <c r="BC138" s="257"/>
      <c r="BD138" s="257"/>
      <c r="BE138" s="257"/>
      <c r="BF138" s="257"/>
      <c r="BG138" s="257"/>
      <c r="BH138" s="257"/>
      <c r="BI138" s="257"/>
      <c r="BJ138" s="257"/>
      <c r="BK138" s="262"/>
      <c r="BL138" s="267"/>
      <c r="BM138" s="267"/>
      <c r="BN138" s="267"/>
      <c r="BO138" s="267"/>
      <c r="BP138" s="267"/>
      <c r="BQ138" s="267"/>
      <c r="BR138" s="81"/>
      <c r="BS138" s="81"/>
      <c r="BT138" s="81"/>
    </row>
    <row r="139" spans="1:72" s="36" customFormat="1" ht="22.5" customHeight="1">
      <c r="J139" s="262"/>
      <c r="K139" s="257"/>
      <c r="L139" s="257"/>
      <c r="M139" s="257"/>
      <c r="N139" s="257"/>
      <c r="O139" s="257"/>
      <c r="P139" s="257"/>
      <c r="Q139" s="257"/>
      <c r="R139" s="256"/>
      <c r="S139" s="257"/>
      <c r="T139" s="257"/>
      <c r="U139" s="257"/>
      <c r="V139" s="257"/>
      <c r="W139" s="257"/>
      <c r="X139" s="257"/>
      <c r="Y139" s="257"/>
      <c r="Z139" s="262"/>
      <c r="AA139" s="257"/>
      <c r="AB139" s="257"/>
      <c r="AC139" s="257"/>
      <c r="AD139" s="257"/>
      <c r="AE139" s="257"/>
      <c r="AF139" s="257"/>
      <c r="AG139" s="257"/>
      <c r="AH139" s="257"/>
      <c r="AI139" s="257"/>
      <c r="AJ139" s="257"/>
      <c r="AK139" s="262"/>
      <c r="AL139" s="257"/>
      <c r="AM139" s="257"/>
      <c r="AN139" s="257"/>
      <c r="AO139" s="257"/>
      <c r="AP139" s="257"/>
      <c r="AQ139" s="257"/>
      <c r="AR139" s="257"/>
      <c r="AS139" s="262"/>
      <c r="AT139" s="257"/>
      <c r="AU139" s="257"/>
      <c r="AV139" s="257"/>
      <c r="AW139" s="257"/>
      <c r="AX139" s="257"/>
      <c r="AY139" s="257"/>
      <c r="AZ139" s="257"/>
      <c r="BA139" s="257"/>
      <c r="BB139" s="262"/>
      <c r="BC139" s="257"/>
      <c r="BD139" s="257"/>
      <c r="BE139" s="257"/>
      <c r="BF139" s="257"/>
      <c r="BG139" s="257"/>
      <c r="BH139" s="257"/>
      <c r="BI139" s="257"/>
      <c r="BJ139" s="257"/>
      <c r="BK139" s="262"/>
      <c r="BL139" s="267"/>
      <c r="BM139" s="267"/>
      <c r="BN139" s="267"/>
      <c r="BO139" s="267"/>
      <c r="BP139" s="267"/>
      <c r="BQ139" s="267"/>
      <c r="BR139" s="154"/>
      <c r="BS139" s="154"/>
      <c r="BT139" s="154"/>
    </row>
    <row r="140" spans="1:72" s="36" customFormat="1" ht="22.5" customHeight="1">
      <c r="J140" s="262"/>
      <c r="K140" s="257"/>
      <c r="L140" s="257"/>
      <c r="M140" s="257"/>
      <c r="N140" s="257"/>
      <c r="O140" s="257"/>
      <c r="P140" s="257"/>
      <c r="Q140" s="257"/>
      <c r="R140" s="256"/>
      <c r="S140" s="257"/>
      <c r="T140" s="257"/>
      <c r="U140" s="257"/>
      <c r="V140" s="257"/>
      <c r="W140" s="257"/>
      <c r="X140" s="257"/>
      <c r="Y140" s="257"/>
      <c r="Z140" s="262"/>
      <c r="AA140" s="257"/>
      <c r="AB140" s="257"/>
      <c r="AC140" s="257"/>
      <c r="AD140" s="257"/>
      <c r="AE140" s="257"/>
      <c r="AF140" s="257"/>
      <c r="AG140" s="257"/>
      <c r="AH140" s="257"/>
      <c r="AI140" s="257"/>
      <c r="AJ140" s="257"/>
      <c r="AK140" s="262"/>
      <c r="AL140" s="257"/>
      <c r="AM140" s="257"/>
      <c r="AN140" s="257"/>
      <c r="AO140" s="257"/>
      <c r="AP140" s="257"/>
      <c r="AQ140" s="257"/>
      <c r="AR140" s="257"/>
      <c r="AS140" s="262"/>
      <c r="AT140" s="257"/>
      <c r="AU140" s="257"/>
      <c r="AV140" s="257"/>
      <c r="AW140" s="257"/>
      <c r="AX140" s="257"/>
      <c r="AY140" s="257"/>
      <c r="AZ140" s="257"/>
      <c r="BA140" s="257"/>
      <c r="BB140" s="262"/>
      <c r="BC140" s="257"/>
      <c r="BD140" s="257"/>
      <c r="BE140" s="257"/>
      <c r="BF140" s="257"/>
      <c r="BG140" s="257"/>
      <c r="BH140" s="257"/>
      <c r="BI140" s="257"/>
      <c r="BJ140" s="257"/>
      <c r="BK140" s="262"/>
      <c r="BL140" s="267"/>
      <c r="BM140" s="267"/>
      <c r="BN140" s="267"/>
      <c r="BO140" s="267"/>
      <c r="BP140" s="267"/>
      <c r="BQ140" s="267"/>
      <c r="BR140" s="81"/>
      <c r="BS140" s="81"/>
      <c r="BT140" s="81"/>
    </row>
    <row r="141" spans="1:72" s="36" customFormat="1" ht="22.5" customHeight="1">
      <c r="J141" s="262"/>
      <c r="K141" s="257"/>
      <c r="L141" s="257"/>
      <c r="M141" s="257"/>
      <c r="N141" s="257"/>
      <c r="O141" s="257"/>
      <c r="P141" s="257"/>
      <c r="Q141" s="257"/>
      <c r="R141" s="256"/>
      <c r="S141" s="257"/>
      <c r="T141" s="257"/>
      <c r="U141" s="257"/>
      <c r="V141" s="257"/>
      <c r="W141" s="257"/>
      <c r="X141" s="257"/>
      <c r="Y141" s="257"/>
      <c r="Z141" s="262"/>
      <c r="AA141" s="257"/>
      <c r="AB141" s="257"/>
      <c r="AC141" s="257"/>
      <c r="AD141" s="257"/>
      <c r="AE141" s="257"/>
      <c r="AF141" s="257"/>
      <c r="AG141" s="257"/>
      <c r="AH141" s="257"/>
      <c r="AI141" s="257"/>
      <c r="AJ141" s="257"/>
      <c r="AK141" s="262"/>
      <c r="AL141" s="257"/>
      <c r="AM141" s="257"/>
      <c r="AN141" s="257"/>
      <c r="AO141" s="257"/>
      <c r="AP141" s="257"/>
      <c r="AQ141" s="257"/>
      <c r="AR141" s="257"/>
      <c r="AS141" s="262"/>
      <c r="AT141" s="257"/>
      <c r="AU141" s="257"/>
      <c r="AV141" s="257"/>
      <c r="AW141" s="257"/>
      <c r="AX141" s="257"/>
      <c r="AY141" s="257"/>
      <c r="AZ141" s="257"/>
      <c r="BA141" s="257"/>
      <c r="BB141" s="262"/>
      <c r="BC141" s="257"/>
      <c r="BD141" s="257"/>
      <c r="BE141" s="257"/>
      <c r="BF141" s="257"/>
      <c r="BG141" s="257"/>
      <c r="BH141" s="257"/>
      <c r="BI141" s="257"/>
      <c r="BJ141" s="257"/>
      <c r="BK141" s="262"/>
      <c r="BL141" s="267"/>
      <c r="BM141" s="267"/>
      <c r="BN141" s="267"/>
      <c r="BO141" s="267"/>
      <c r="BP141" s="267"/>
      <c r="BQ141" s="267"/>
      <c r="BR141" s="154"/>
      <c r="BS141" s="154"/>
      <c r="BT141" s="154"/>
    </row>
    <row r="142" spans="1:72" s="36" customFormat="1" ht="22.5" customHeight="1">
      <c r="J142" s="262"/>
      <c r="K142" s="257"/>
      <c r="L142" s="257"/>
      <c r="M142" s="257"/>
      <c r="N142" s="257"/>
      <c r="O142" s="257"/>
      <c r="P142" s="257"/>
      <c r="Q142" s="257"/>
      <c r="R142" s="256"/>
      <c r="S142" s="257"/>
      <c r="T142" s="257"/>
      <c r="U142" s="257"/>
      <c r="V142" s="257"/>
      <c r="W142" s="257"/>
      <c r="X142" s="257"/>
      <c r="Y142" s="257"/>
      <c r="Z142" s="262"/>
      <c r="AA142" s="257"/>
      <c r="AB142" s="257"/>
      <c r="AC142" s="257"/>
      <c r="AD142" s="257"/>
      <c r="AE142" s="257"/>
      <c r="AF142" s="257"/>
      <c r="AG142" s="257"/>
      <c r="AH142" s="257"/>
      <c r="AI142" s="257"/>
      <c r="AJ142" s="257"/>
      <c r="AK142" s="262"/>
      <c r="AL142" s="257"/>
      <c r="AM142" s="257"/>
      <c r="AN142" s="257"/>
      <c r="AO142" s="257"/>
      <c r="AP142" s="257"/>
      <c r="AQ142" s="257"/>
      <c r="AR142" s="257"/>
      <c r="AS142" s="262"/>
      <c r="AT142" s="257"/>
      <c r="AU142" s="257"/>
      <c r="AV142" s="257"/>
      <c r="AW142" s="257"/>
      <c r="AX142" s="257"/>
      <c r="AY142" s="257"/>
      <c r="AZ142" s="257"/>
      <c r="BA142" s="267"/>
      <c r="BB142" s="262"/>
      <c r="BC142" s="267"/>
      <c r="BD142" s="267"/>
      <c r="BE142" s="267"/>
      <c r="BF142" s="267"/>
      <c r="BG142" s="267"/>
      <c r="BH142" s="267"/>
      <c r="BI142" s="267"/>
      <c r="BJ142" s="257"/>
      <c r="BK142" s="262"/>
      <c r="BL142" s="267"/>
      <c r="BM142" s="267"/>
      <c r="BN142" s="267"/>
      <c r="BO142" s="267"/>
      <c r="BP142" s="267"/>
      <c r="BQ142" s="267"/>
      <c r="BR142" s="81"/>
      <c r="BS142" s="81"/>
      <c r="BT142" s="81"/>
    </row>
    <row r="143" spans="1:72" s="36" customFormat="1" ht="22.5" customHeight="1">
      <c r="A143" s="106"/>
      <c r="B143" s="1901"/>
      <c r="C143" s="1901"/>
      <c r="D143" s="1902"/>
      <c r="E143" s="107"/>
      <c r="F143" s="1902"/>
      <c r="G143" s="1902"/>
      <c r="H143" s="1902"/>
      <c r="I143" s="1902"/>
      <c r="J143" s="262"/>
      <c r="K143" s="257"/>
      <c r="L143" s="257"/>
      <c r="M143" s="257"/>
      <c r="N143" s="257"/>
      <c r="O143" s="257"/>
      <c r="P143" s="257"/>
      <c r="Q143" s="257"/>
      <c r="R143" s="256"/>
      <c r="S143" s="257"/>
      <c r="T143" s="257"/>
      <c r="U143" s="257"/>
      <c r="V143" s="257"/>
      <c r="W143" s="257"/>
      <c r="X143" s="257"/>
      <c r="Y143" s="257"/>
      <c r="Z143" s="262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62"/>
      <c r="AL143" s="257"/>
      <c r="AM143" s="257"/>
      <c r="AN143" s="257"/>
      <c r="AO143" s="257"/>
      <c r="AP143" s="257"/>
      <c r="AQ143" s="257"/>
      <c r="AR143" s="257"/>
      <c r="AS143" s="262"/>
      <c r="AT143" s="257"/>
      <c r="AU143" s="257"/>
      <c r="AV143" s="257"/>
      <c r="AW143" s="257"/>
      <c r="AX143" s="257"/>
      <c r="AY143" s="257"/>
      <c r="AZ143" s="257"/>
      <c r="BA143" s="267"/>
      <c r="BB143" s="268"/>
      <c r="BC143" s="267"/>
      <c r="BD143" s="267"/>
      <c r="BE143" s="267"/>
      <c r="BF143" s="267"/>
      <c r="BG143" s="267"/>
      <c r="BH143" s="267"/>
      <c r="BI143" s="267"/>
      <c r="BJ143" s="257"/>
      <c r="BK143" s="262"/>
      <c r="BL143" s="269"/>
      <c r="BM143" s="269"/>
      <c r="BN143" s="269"/>
      <c r="BO143" s="269"/>
      <c r="BP143" s="269"/>
      <c r="BQ143" s="269"/>
      <c r="BR143" s="81"/>
      <c r="BS143" s="81"/>
      <c r="BT143" s="81"/>
    </row>
    <row r="144" spans="1:72" s="36" customFormat="1" ht="22.5" customHeight="1">
      <c r="A144" s="106"/>
      <c r="B144" s="1901"/>
      <c r="C144" s="1901"/>
      <c r="D144" s="1902"/>
      <c r="E144" s="107"/>
      <c r="F144" s="1902"/>
      <c r="G144" s="1902"/>
      <c r="H144" s="1902"/>
      <c r="I144" s="1902"/>
      <c r="J144" s="262"/>
      <c r="K144" s="257"/>
      <c r="L144" s="257"/>
      <c r="M144" s="257"/>
      <c r="N144" s="257"/>
      <c r="O144" s="257"/>
      <c r="P144" s="257"/>
      <c r="Q144" s="257"/>
      <c r="R144" s="256"/>
      <c r="S144" s="257"/>
      <c r="T144" s="257"/>
      <c r="U144" s="257"/>
      <c r="V144" s="257"/>
      <c r="W144" s="257"/>
      <c r="X144" s="257"/>
      <c r="Y144" s="257"/>
      <c r="Z144" s="262"/>
      <c r="AA144" s="257"/>
      <c r="AB144" s="257"/>
      <c r="AC144" s="257"/>
      <c r="AD144" s="257"/>
      <c r="AE144" s="257"/>
      <c r="AF144" s="257"/>
      <c r="AG144" s="257"/>
      <c r="AH144" s="257"/>
      <c r="AI144" s="257"/>
      <c r="AJ144" s="257"/>
      <c r="AK144" s="262"/>
      <c r="AL144" s="257"/>
      <c r="AM144" s="257"/>
      <c r="AN144" s="257"/>
      <c r="AO144" s="257"/>
      <c r="AP144" s="257"/>
      <c r="AQ144" s="257"/>
      <c r="AR144" s="257"/>
      <c r="AS144" s="262"/>
      <c r="AT144" s="267"/>
      <c r="AU144" s="267"/>
      <c r="AV144" s="267"/>
      <c r="AW144" s="267"/>
      <c r="AX144" s="267"/>
      <c r="AY144" s="267"/>
      <c r="AZ144" s="267"/>
      <c r="BA144" s="267"/>
      <c r="BB144" s="268"/>
      <c r="BC144" s="267"/>
      <c r="BD144" s="267"/>
      <c r="BE144" s="267"/>
      <c r="BF144" s="267"/>
      <c r="BG144" s="267"/>
      <c r="BH144" s="267"/>
      <c r="BI144" s="267"/>
      <c r="BJ144" s="257"/>
      <c r="BK144" s="262"/>
      <c r="BL144" s="267"/>
      <c r="BM144" s="267"/>
      <c r="BN144" s="267"/>
      <c r="BO144" s="267"/>
      <c r="BP144" s="267"/>
      <c r="BQ144" s="267"/>
      <c r="BR144" s="81"/>
      <c r="BS144" s="81"/>
      <c r="BT144" s="81"/>
    </row>
    <row r="145" spans="1:72" s="36" customFormat="1" ht="22.5" customHeight="1">
      <c r="A145" s="106"/>
      <c r="B145" s="1901"/>
      <c r="C145" s="1901"/>
      <c r="D145" s="1902"/>
      <c r="E145" s="107"/>
      <c r="F145" s="1902"/>
      <c r="G145" s="1902"/>
      <c r="H145" s="1902"/>
      <c r="I145" s="1902"/>
      <c r="J145" s="262"/>
      <c r="K145" s="257"/>
      <c r="L145" s="257"/>
      <c r="M145" s="257"/>
      <c r="N145" s="257"/>
      <c r="O145" s="257"/>
      <c r="P145" s="257"/>
      <c r="Q145" s="257"/>
      <c r="R145" s="256"/>
      <c r="S145" s="257"/>
      <c r="T145" s="257"/>
      <c r="U145" s="257"/>
      <c r="V145" s="257"/>
      <c r="W145" s="257"/>
      <c r="X145" s="257"/>
      <c r="Y145" s="257"/>
      <c r="Z145" s="262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62"/>
      <c r="AL145" s="257"/>
      <c r="AM145" s="257"/>
      <c r="AN145" s="257"/>
      <c r="AO145" s="257"/>
      <c r="AP145" s="257"/>
      <c r="AQ145" s="257"/>
      <c r="AR145" s="257"/>
      <c r="AS145" s="262"/>
      <c r="AT145" s="267"/>
      <c r="AU145" s="267"/>
      <c r="AV145" s="267"/>
      <c r="AW145" s="267"/>
      <c r="AX145" s="267"/>
      <c r="AY145" s="267"/>
      <c r="AZ145" s="267"/>
      <c r="BA145" s="267"/>
      <c r="BB145" s="268"/>
      <c r="BC145" s="267"/>
      <c r="BD145" s="267"/>
      <c r="BE145" s="267"/>
      <c r="BF145" s="267"/>
      <c r="BG145" s="267"/>
      <c r="BH145" s="267"/>
      <c r="BI145" s="267"/>
      <c r="BJ145" s="267"/>
      <c r="BK145" s="262"/>
      <c r="BL145" s="269"/>
      <c r="BM145" s="269"/>
      <c r="BN145" s="269"/>
      <c r="BO145" s="269"/>
      <c r="BP145" s="269"/>
      <c r="BQ145" s="269"/>
      <c r="BR145" s="81"/>
      <c r="BS145" s="81"/>
      <c r="BT145" s="81"/>
    </row>
    <row r="146" spans="1:72" s="36" customFormat="1" ht="22.5" customHeight="1">
      <c r="A146" s="106"/>
      <c r="B146" s="1901"/>
      <c r="C146" s="1901"/>
      <c r="D146" s="1902"/>
      <c r="E146" s="107"/>
      <c r="F146" s="1902"/>
      <c r="G146" s="1902"/>
      <c r="H146" s="1902"/>
      <c r="I146" s="1902"/>
      <c r="J146" s="262"/>
      <c r="K146" s="257"/>
      <c r="L146" s="257"/>
      <c r="M146" s="257"/>
      <c r="N146" s="257"/>
      <c r="O146" s="257"/>
      <c r="P146" s="257"/>
      <c r="Q146" s="257"/>
      <c r="R146" s="256"/>
      <c r="S146" s="257"/>
      <c r="T146" s="257"/>
      <c r="U146" s="257"/>
      <c r="V146" s="257"/>
      <c r="W146" s="257"/>
      <c r="X146" s="257"/>
      <c r="Y146" s="257"/>
      <c r="Z146" s="262"/>
      <c r="AA146" s="257"/>
      <c r="AB146" s="257"/>
      <c r="AC146" s="257"/>
      <c r="AD146" s="257"/>
      <c r="AE146" s="257"/>
      <c r="AF146" s="257"/>
      <c r="AG146" s="257"/>
      <c r="AH146" s="257"/>
      <c r="AI146" s="257"/>
      <c r="AJ146" s="257"/>
      <c r="AK146" s="262"/>
      <c r="AL146" s="257"/>
      <c r="AM146" s="257"/>
      <c r="AN146" s="257"/>
      <c r="AO146" s="257"/>
      <c r="AP146" s="257"/>
      <c r="AQ146" s="257"/>
      <c r="AR146" s="257"/>
      <c r="AS146" s="262"/>
      <c r="AT146" s="267"/>
      <c r="AU146" s="267"/>
      <c r="AV146" s="267"/>
      <c r="AW146" s="267"/>
      <c r="AX146" s="267"/>
      <c r="AY146" s="267"/>
      <c r="AZ146" s="267"/>
      <c r="BA146" s="267"/>
      <c r="BB146" s="268"/>
      <c r="BC146" s="267"/>
      <c r="BD146" s="267"/>
      <c r="BE146" s="267"/>
      <c r="BF146" s="267"/>
      <c r="BG146" s="267"/>
      <c r="BH146" s="267"/>
      <c r="BI146" s="267"/>
      <c r="BJ146" s="267"/>
      <c r="BK146" s="268"/>
      <c r="BL146" s="267"/>
      <c r="BM146" s="267"/>
      <c r="BN146" s="267"/>
      <c r="BO146" s="267"/>
      <c r="BP146" s="267"/>
      <c r="BQ146" s="267"/>
      <c r="BR146" s="8"/>
      <c r="BS146" s="8"/>
      <c r="BT146" s="8"/>
    </row>
    <row r="147" spans="1:72" s="36" customFormat="1" ht="22.5" customHeight="1">
      <c r="A147" s="106"/>
      <c r="B147" s="1901"/>
      <c r="C147" s="1901"/>
      <c r="D147" s="1902"/>
      <c r="E147" s="107"/>
      <c r="F147" s="1902"/>
      <c r="G147" s="1902"/>
      <c r="H147" s="1902"/>
      <c r="I147" s="1902"/>
      <c r="J147" s="262"/>
      <c r="K147" s="257"/>
      <c r="L147" s="257"/>
      <c r="M147" s="257"/>
      <c r="N147" s="257"/>
      <c r="O147" s="257"/>
      <c r="P147" s="257"/>
      <c r="Q147" s="257"/>
      <c r="R147" s="256"/>
      <c r="S147" s="257"/>
      <c r="T147" s="257"/>
      <c r="U147" s="257"/>
      <c r="V147" s="257"/>
      <c r="W147" s="257"/>
      <c r="X147" s="257"/>
      <c r="Y147" s="257"/>
      <c r="Z147" s="262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262"/>
      <c r="AL147" s="257"/>
      <c r="AM147" s="257"/>
      <c r="AN147" s="257"/>
      <c r="AO147" s="257"/>
      <c r="AP147" s="257"/>
      <c r="AQ147" s="257"/>
      <c r="AR147" s="257"/>
      <c r="AS147" s="262"/>
      <c r="AT147" s="267"/>
      <c r="AU147" s="267"/>
      <c r="AV147" s="267"/>
      <c r="AW147" s="267"/>
      <c r="AX147" s="267"/>
      <c r="AY147" s="267"/>
      <c r="AZ147" s="267"/>
      <c r="BA147" s="267"/>
      <c r="BB147" s="268"/>
      <c r="BC147" s="267"/>
      <c r="BD147" s="267"/>
      <c r="BE147" s="267"/>
      <c r="BF147" s="267"/>
      <c r="BG147" s="267"/>
      <c r="BH147" s="267"/>
      <c r="BI147" s="267"/>
      <c r="BJ147" s="267"/>
      <c r="BK147" s="268"/>
      <c r="BL147" s="267"/>
      <c r="BM147" s="267"/>
      <c r="BN147" s="267"/>
      <c r="BO147" s="267"/>
      <c r="BP147" s="267"/>
      <c r="BQ147" s="267"/>
      <c r="BR147" s="8"/>
      <c r="BS147" s="8"/>
      <c r="BT147" s="8"/>
    </row>
    <row r="148" spans="1:72" s="36" customFormat="1" ht="22.5" customHeight="1">
      <c r="A148" s="106"/>
      <c r="B148" s="1901"/>
      <c r="C148" s="1901"/>
      <c r="D148" s="1902"/>
      <c r="E148" s="107"/>
      <c r="F148" s="1902"/>
      <c r="G148" s="1902"/>
      <c r="H148" s="1902"/>
      <c r="I148" s="1902"/>
      <c r="J148" s="262"/>
      <c r="K148" s="257"/>
      <c r="L148" s="257"/>
      <c r="M148" s="257"/>
      <c r="N148" s="257"/>
      <c r="O148" s="257"/>
      <c r="P148" s="257"/>
      <c r="Q148" s="257"/>
      <c r="R148" s="256"/>
      <c r="S148" s="257"/>
      <c r="T148" s="257"/>
      <c r="U148" s="257"/>
      <c r="V148" s="257"/>
      <c r="W148" s="257"/>
      <c r="X148" s="257"/>
      <c r="Y148" s="257"/>
      <c r="Z148" s="262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62"/>
      <c r="AL148" s="257"/>
      <c r="AM148" s="257"/>
      <c r="AN148" s="257"/>
      <c r="AO148" s="257"/>
      <c r="AP148" s="257"/>
      <c r="AQ148" s="257"/>
      <c r="AR148" s="257"/>
      <c r="AS148" s="262"/>
      <c r="AT148" s="267"/>
      <c r="AU148" s="267"/>
      <c r="AV148" s="267"/>
      <c r="AW148" s="267"/>
      <c r="AX148" s="267"/>
      <c r="AY148" s="267"/>
      <c r="AZ148" s="267"/>
      <c r="BA148" s="267"/>
      <c r="BB148" s="268"/>
      <c r="BC148" s="267"/>
      <c r="BD148" s="267"/>
      <c r="BE148" s="267"/>
      <c r="BF148" s="267"/>
      <c r="BG148" s="267"/>
      <c r="BH148" s="267"/>
      <c r="BI148" s="267"/>
      <c r="BJ148" s="267"/>
      <c r="BK148" s="268"/>
      <c r="BL148" s="267"/>
      <c r="BM148" s="267"/>
      <c r="BN148" s="267"/>
      <c r="BO148" s="267"/>
      <c r="BP148" s="267"/>
      <c r="BQ148" s="267"/>
      <c r="BR148" s="8"/>
      <c r="BS148" s="8"/>
      <c r="BT148" s="8"/>
    </row>
    <row r="149" spans="1:72" s="36" customFormat="1" ht="22.5" customHeight="1">
      <c r="A149" s="106"/>
      <c r="B149" s="1901"/>
      <c r="C149" s="1901"/>
      <c r="D149" s="1902"/>
      <c r="E149" s="107"/>
      <c r="F149" s="1902"/>
      <c r="G149" s="1902"/>
      <c r="H149" s="1902"/>
      <c r="I149" s="1902"/>
      <c r="J149" s="262"/>
      <c r="K149" s="257"/>
      <c r="L149" s="257"/>
      <c r="M149" s="257"/>
      <c r="N149" s="257"/>
      <c r="O149" s="257"/>
      <c r="P149" s="257"/>
      <c r="Q149" s="257"/>
      <c r="R149" s="256"/>
      <c r="S149" s="257"/>
      <c r="T149" s="257"/>
      <c r="U149" s="257"/>
      <c r="V149" s="257"/>
      <c r="W149" s="257"/>
      <c r="X149" s="257"/>
      <c r="Y149" s="257"/>
      <c r="Z149" s="262"/>
      <c r="AA149" s="257"/>
      <c r="AB149" s="257"/>
      <c r="AC149" s="257"/>
      <c r="AD149" s="257"/>
      <c r="AE149" s="257"/>
      <c r="AF149" s="257"/>
      <c r="AG149" s="257"/>
      <c r="AH149" s="257"/>
      <c r="AI149" s="257"/>
      <c r="AJ149" s="257"/>
      <c r="AK149" s="262"/>
      <c r="AL149" s="257"/>
      <c r="AM149" s="257"/>
      <c r="AN149" s="257"/>
      <c r="AO149" s="257"/>
      <c r="AP149" s="257"/>
      <c r="AQ149" s="257"/>
      <c r="AR149" s="257"/>
      <c r="AS149" s="262"/>
      <c r="AT149" s="267"/>
      <c r="AU149" s="267"/>
      <c r="AV149" s="267"/>
      <c r="AW149" s="267"/>
      <c r="AX149" s="267"/>
      <c r="AY149" s="267"/>
      <c r="AZ149" s="267"/>
      <c r="BA149" s="267"/>
      <c r="BB149" s="268"/>
      <c r="BC149" s="267"/>
      <c r="BD149" s="267"/>
      <c r="BE149" s="267"/>
      <c r="BF149" s="267"/>
      <c r="BG149" s="267"/>
      <c r="BH149" s="267"/>
      <c r="BI149" s="267"/>
      <c r="BJ149" s="267"/>
      <c r="BK149" s="268"/>
      <c r="BL149" s="267"/>
      <c r="BM149" s="267"/>
      <c r="BN149" s="267"/>
      <c r="BO149" s="267"/>
      <c r="BP149" s="267"/>
      <c r="BQ149" s="267"/>
      <c r="BR149" s="8"/>
      <c r="BS149" s="8"/>
      <c r="BT149" s="8"/>
    </row>
    <row r="150" spans="1:72" s="36" customFormat="1" ht="22.5" customHeight="1">
      <c r="A150" s="106"/>
      <c r="B150" s="1901"/>
      <c r="C150" s="1901"/>
      <c r="D150" s="1902"/>
      <c r="E150" s="107"/>
      <c r="F150" s="1902"/>
      <c r="G150" s="1902"/>
      <c r="H150" s="1902"/>
      <c r="I150" s="1902"/>
      <c r="J150" s="262"/>
      <c r="K150" s="257"/>
      <c r="L150" s="257"/>
      <c r="M150" s="257"/>
      <c r="N150" s="257"/>
      <c r="O150" s="257"/>
      <c r="P150" s="257"/>
      <c r="Q150" s="257"/>
      <c r="R150" s="256"/>
      <c r="S150" s="257"/>
      <c r="T150" s="257"/>
      <c r="U150" s="257"/>
      <c r="V150" s="257"/>
      <c r="W150" s="257"/>
      <c r="X150" s="257"/>
      <c r="Y150" s="257"/>
      <c r="Z150" s="262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62"/>
      <c r="AL150" s="257"/>
      <c r="AM150" s="257"/>
      <c r="AN150" s="257"/>
      <c r="AO150" s="257"/>
      <c r="AP150" s="257"/>
      <c r="AQ150" s="257"/>
      <c r="AR150" s="257"/>
      <c r="AS150" s="262"/>
      <c r="AT150" s="267"/>
      <c r="AU150" s="267"/>
      <c r="AV150" s="267"/>
      <c r="AW150" s="267"/>
      <c r="AX150" s="267"/>
      <c r="AY150" s="267"/>
      <c r="AZ150" s="267"/>
      <c r="BA150" s="267"/>
      <c r="BB150" s="268"/>
      <c r="BC150" s="267"/>
      <c r="BD150" s="267"/>
      <c r="BE150" s="267"/>
      <c r="BF150" s="267"/>
      <c r="BG150" s="267"/>
      <c r="BH150" s="267"/>
      <c r="BI150" s="267"/>
      <c r="BJ150" s="267"/>
      <c r="BK150" s="268"/>
      <c r="BL150" s="160"/>
      <c r="BM150" s="160"/>
      <c r="BN150" s="160"/>
      <c r="BO150" s="160"/>
      <c r="BP150" s="160"/>
      <c r="BQ150" s="160"/>
      <c r="BR150" s="30"/>
      <c r="BS150" s="30"/>
      <c r="BT150" s="30"/>
    </row>
    <row r="151" spans="1:72" s="36" customFormat="1" ht="22.5" customHeight="1">
      <c r="A151" s="106"/>
      <c r="B151" s="1901"/>
      <c r="C151" s="1901"/>
      <c r="D151" s="1902"/>
      <c r="E151" s="107"/>
      <c r="F151" s="1902"/>
      <c r="G151" s="1902"/>
      <c r="H151" s="1902"/>
      <c r="I151" s="1902"/>
      <c r="J151" s="262"/>
      <c r="K151" s="257"/>
      <c r="L151" s="257"/>
      <c r="M151" s="257"/>
      <c r="N151" s="257"/>
      <c r="O151" s="257"/>
      <c r="P151" s="257"/>
      <c r="Q151" s="257"/>
      <c r="R151" s="256"/>
      <c r="S151" s="257"/>
      <c r="T151" s="257"/>
      <c r="U151" s="257"/>
      <c r="V151" s="257"/>
      <c r="W151" s="257"/>
      <c r="X151" s="257"/>
      <c r="Y151" s="257"/>
      <c r="Z151" s="262"/>
      <c r="AA151" s="257"/>
      <c r="AB151" s="257"/>
      <c r="AC151" s="257"/>
      <c r="AD151" s="257"/>
      <c r="AE151" s="257"/>
      <c r="AF151" s="257"/>
      <c r="AG151" s="257"/>
      <c r="AH151" s="257"/>
      <c r="AI151" s="257"/>
      <c r="AJ151" s="257"/>
      <c r="AK151" s="262"/>
      <c r="AL151" s="257"/>
      <c r="AM151" s="257"/>
      <c r="AN151" s="257"/>
      <c r="AO151" s="257"/>
      <c r="AP151" s="257"/>
      <c r="AQ151" s="257"/>
      <c r="AR151" s="257"/>
      <c r="AS151" s="262"/>
      <c r="AT151" s="267"/>
      <c r="AU151" s="267"/>
      <c r="AV151" s="267"/>
      <c r="AW151" s="267"/>
      <c r="AX151" s="267"/>
      <c r="AY151" s="267"/>
      <c r="AZ151" s="267"/>
      <c r="BA151" s="267"/>
      <c r="BB151" s="268"/>
      <c r="BC151" s="267"/>
      <c r="BD151" s="267"/>
      <c r="BE151" s="267"/>
      <c r="BF151" s="267"/>
      <c r="BG151" s="267"/>
      <c r="BH151" s="267"/>
      <c r="BI151" s="267"/>
      <c r="BJ151" s="267"/>
      <c r="BK151" s="268"/>
      <c r="BL151" s="160"/>
      <c r="BM151" s="160"/>
      <c r="BN151" s="160"/>
      <c r="BO151" s="160"/>
      <c r="BP151" s="160"/>
      <c r="BQ151" s="160"/>
      <c r="BR151" s="30"/>
      <c r="BS151" s="30"/>
      <c r="BT151" s="30"/>
    </row>
    <row r="152" spans="1:72" s="81" customFormat="1" ht="22.5" customHeight="1">
      <c r="A152" s="153"/>
      <c r="B152" s="1901"/>
      <c r="C152" s="149"/>
      <c r="D152" s="151"/>
      <c r="E152" s="152"/>
      <c r="F152" s="151"/>
      <c r="G152" s="151"/>
      <c r="H152" s="1902"/>
      <c r="I152" s="151"/>
      <c r="J152" s="268"/>
      <c r="K152" s="267"/>
      <c r="L152" s="267"/>
      <c r="M152" s="267"/>
      <c r="N152" s="267"/>
      <c r="O152" s="267"/>
      <c r="P152" s="267"/>
      <c r="Q152" s="267"/>
      <c r="R152" s="256"/>
      <c r="S152" s="267"/>
      <c r="T152" s="267"/>
      <c r="U152" s="267"/>
      <c r="V152" s="267"/>
      <c r="W152" s="257"/>
      <c r="X152" s="267"/>
      <c r="Y152" s="267"/>
      <c r="Z152" s="268"/>
      <c r="AA152" s="267"/>
      <c r="AB152" s="267"/>
      <c r="AC152" s="267"/>
      <c r="AD152" s="267"/>
      <c r="AE152" s="267"/>
      <c r="AF152" s="267"/>
      <c r="AG152" s="267"/>
      <c r="AH152" s="267"/>
      <c r="AI152" s="267"/>
      <c r="AJ152" s="267"/>
      <c r="AK152" s="268"/>
      <c r="AL152" s="267"/>
      <c r="AM152" s="267"/>
      <c r="AN152" s="267"/>
      <c r="AO152" s="267"/>
      <c r="AP152" s="267"/>
      <c r="AQ152" s="267"/>
      <c r="AR152" s="267"/>
      <c r="AS152" s="268"/>
      <c r="AT152" s="267"/>
      <c r="AU152" s="267"/>
      <c r="AV152" s="267"/>
      <c r="AW152" s="267"/>
      <c r="AX152" s="267"/>
      <c r="AY152" s="267"/>
      <c r="AZ152" s="267"/>
      <c r="BA152" s="267"/>
      <c r="BB152" s="268"/>
      <c r="BC152" s="267"/>
      <c r="BD152" s="267"/>
      <c r="BE152" s="267"/>
      <c r="BF152" s="267"/>
      <c r="BG152" s="267"/>
      <c r="BH152" s="267"/>
      <c r="BI152" s="267"/>
      <c r="BJ152" s="267"/>
      <c r="BK152" s="268"/>
      <c r="BL152" s="160"/>
      <c r="BM152" s="160"/>
      <c r="BN152" s="160"/>
      <c r="BO152" s="160"/>
      <c r="BP152" s="160"/>
      <c r="BQ152" s="160"/>
      <c r="BR152" s="30"/>
      <c r="BS152" s="30"/>
      <c r="BT152" s="30"/>
    </row>
    <row r="153" spans="1:72" s="81" customFormat="1" ht="22.5" customHeight="1">
      <c r="A153" s="153"/>
      <c r="B153" s="1901"/>
      <c r="C153" s="149"/>
      <c r="D153" s="151"/>
      <c r="E153" s="152"/>
      <c r="F153" s="151"/>
      <c r="G153" s="151"/>
      <c r="H153" s="1902"/>
      <c r="I153" s="151"/>
      <c r="J153" s="268"/>
      <c r="K153" s="267"/>
      <c r="L153" s="267"/>
      <c r="M153" s="267"/>
      <c r="N153" s="267"/>
      <c r="O153" s="267"/>
      <c r="P153" s="267"/>
      <c r="Q153" s="267"/>
      <c r="R153" s="256"/>
      <c r="S153" s="267"/>
      <c r="T153" s="267"/>
      <c r="U153" s="267"/>
      <c r="V153" s="267"/>
      <c r="W153" s="257"/>
      <c r="X153" s="267"/>
      <c r="Y153" s="267"/>
      <c r="Z153" s="268"/>
      <c r="AA153" s="267"/>
      <c r="AB153" s="267"/>
      <c r="AC153" s="267"/>
      <c r="AD153" s="267"/>
      <c r="AE153" s="267"/>
      <c r="AF153" s="267"/>
      <c r="AG153" s="267"/>
      <c r="AH153" s="267"/>
      <c r="AI153" s="267"/>
      <c r="AJ153" s="267"/>
      <c r="AK153" s="268"/>
      <c r="AL153" s="267"/>
      <c r="AM153" s="267"/>
      <c r="AN153" s="267"/>
      <c r="AO153" s="267"/>
      <c r="AP153" s="267"/>
      <c r="AQ153" s="267"/>
      <c r="AR153" s="267"/>
      <c r="AS153" s="268"/>
      <c r="AT153" s="267"/>
      <c r="AU153" s="267"/>
      <c r="AV153" s="267"/>
      <c r="AW153" s="267"/>
      <c r="AX153" s="267"/>
      <c r="AY153" s="267"/>
      <c r="AZ153" s="267"/>
      <c r="BA153" s="269"/>
      <c r="BB153" s="268"/>
      <c r="BC153" s="269"/>
      <c r="BD153" s="269"/>
      <c r="BE153" s="269"/>
      <c r="BF153" s="269"/>
      <c r="BG153" s="269"/>
      <c r="BH153" s="269"/>
      <c r="BI153" s="269"/>
      <c r="BJ153" s="267"/>
      <c r="BK153" s="268"/>
      <c r="BL153" s="160"/>
      <c r="BM153" s="160"/>
      <c r="BN153" s="160"/>
      <c r="BO153" s="160"/>
      <c r="BP153" s="160"/>
      <c r="BQ153" s="160"/>
      <c r="BR153" s="30"/>
      <c r="BS153" s="30"/>
      <c r="BT153" s="30"/>
    </row>
    <row r="154" spans="1:72" s="81" customFormat="1" ht="22.5" customHeight="1">
      <c r="A154" s="153"/>
      <c r="B154" s="1901"/>
      <c r="C154" s="149"/>
      <c r="D154" s="151"/>
      <c r="E154" s="152"/>
      <c r="F154" s="151"/>
      <c r="G154" s="151"/>
      <c r="H154" s="1902"/>
      <c r="I154" s="151"/>
      <c r="J154" s="268"/>
      <c r="K154" s="267"/>
      <c r="L154" s="267"/>
      <c r="M154" s="267"/>
      <c r="N154" s="267"/>
      <c r="O154" s="267"/>
      <c r="P154" s="267"/>
      <c r="Q154" s="267"/>
      <c r="R154" s="256"/>
      <c r="S154" s="267"/>
      <c r="T154" s="267"/>
      <c r="U154" s="267"/>
      <c r="V154" s="267"/>
      <c r="W154" s="257"/>
      <c r="X154" s="267"/>
      <c r="Y154" s="267"/>
      <c r="Z154" s="268"/>
      <c r="AA154" s="267"/>
      <c r="AB154" s="267"/>
      <c r="AC154" s="267"/>
      <c r="AD154" s="267"/>
      <c r="AE154" s="267"/>
      <c r="AF154" s="267"/>
      <c r="AG154" s="267"/>
      <c r="AH154" s="267"/>
      <c r="AI154" s="267"/>
      <c r="AJ154" s="267"/>
      <c r="AK154" s="268"/>
      <c r="AL154" s="267"/>
      <c r="AM154" s="267"/>
      <c r="AN154" s="267"/>
      <c r="AO154" s="267"/>
      <c r="AP154" s="267"/>
      <c r="AQ154" s="267"/>
      <c r="AR154" s="267"/>
      <c r="AS154" s="268"/>
      <c r="AT154" s="267"/>
      <c r="AU154" s="267"/>
      <c r="AV154" s="267"/>
      <c r="AW154" s="267"/>
      <c r="AX154" s="267"/>
      <c r="AY154" s="267"/>
      <c r="AZ154" s="267"/>
      <c r="BA154" s="267"/>
      <c r="BB154" s="270"/>
      <c r="BC154" s="267"/>
      <c r="BD154" s="267"/>
      <c r="BE154" s="267"/>
      <c r="BF154" s="267"/>
      <c r="BG154" s="267"/>
      <c r="BH154" s="267"/>
      <c r="BI154" s="267"/>
      <c r="BJ154" s="267"/>
      <c r="BK154" s="268"/>
      <c r="BL154" s="218"/>
      <c r="BM154" s="218"/>
      <c r="BN154" s="218"/>
      <c r="BO154" s="218"/>
      <c r="BP154" s="218"/>
      <c r="BQ154" s="218"/>
      <c r="BR154" s="30"/>
      <c r="BS154" s="30"/>
      <c r="BT154" s="30"/>
    </row>
    <row r="155" spans="1:72" s="81" customFormat="1" ht="22.5" customHeight="1">
      <c r="A155" s="153"/>
      <c r="B155" s="1901"/>
      <c r="C155" s="149"/>
      <c r="D155" s="151"/>
      <c r="E155" s="152"/>
      <c r="F155" s="151"/>
      <c r="G155" s="151"/>
      <c r="H155" s="1902"/>
      <c r="I155" s="151"/>
      <c r="J155" s="268"/>
      <c r="K155" s="267"/>
      <c r="L155" s="267"/>
      <c r="M155" s="267"/>
      <c r="N155" s="267"/>
      <c r="O155" s="267"/>
      <c r="P155" s="267"/>
      <c r="Q155" s="267"/>
      <c r="R155" s="256"/>
      <c r="S155" s="267"/>
      <c r="T155" s="267"/>
      <c r="U155" s="267"/>
      <c r="V155" s="267"/>
      <c r="W155" s="257"/>
      <c r="X155" s="267"/>
      <c r="Y155" s="267"/>
      <c r="Z155" s="268"/>
      <c r="AA155" s="267"/>
      <c r="AB155" s="267"/>
      <c r="AC155" s="267"/>
      <c r="AD155" s="267"/>
      <c r="AE155" s="267"/>
      <c r="AF155" s="267"/>
      <c r="AG155" s="267"/>
      <c r="AH155" s="267"/>
      <c r="AI155" s="267"/>
      <c r="AJ155" s="267"/>
      <c r="AK155" s="268"/>
      <c r="AL155" s="267"/>
      <c r="AM155" s="267"/>
      <c r="AN155" s="267"/>
      <c r="AO155" s="267"/>
      <c r="AP155" s="267"/>
      <c r="AQ155" s="267"/>
      <c r="AR155" s="267"/>
      <c r="AS155" s="268"/>
      <c r="AT155" s="269"/>
      <c r="AU155" s="269"/>
      <c r="AV155" s="269"/>
      <c r="AW155" s="269"/>
      <c r="AX155" s="269"/>
      <c r="AY155" s="269"/>
      <c r="AZ155" s="269"/>
      <c r="BA155" s="269"/>
      <c r="BB155" s="268"/>
      <c r="BC155" s="269"/>
      <c r="BD155" s="269"/>
      <c r="BE155" s="269"/>
      <c r="BF155" s="269"/>
      <c r="BG155" s="269"/>
      <c r="BH155" s="269"/>
      <c r="BI155" s="269"/>
      <c r="BJ155" s="267"/>
      <c r="BK155" s="268"/>
      <c r="BL155" s="218"/>
      <c r="BM155" s="218"/>
      <c r="BN155" s="218"/>
      <c r="BO155" s="218"/>
      <c r="BP155" s="218"/>
      <c r="BQ155" s="218"/>
      <c r="BR155" s="30"/>
      <c r="BS155" s="30"/>
      <c r="BT155" s="30"/>
    </row>
    <row r="156" spans="1:72" s="81" customFormat="1" ht="22.5" customHeight="1">
      <c r="A156" s="153"/>
      <c r="B156" s="1901"/>
      <c r="C156" s="149"/>
      <c r="D156" s="151"/>
      <c r="E156" s="152"/>
      <c r="F156" s="151"/>
      <c r="G156" s="151"/>
      <c r="H156" s="1902"/>
      <c r="I156" s="151"/>
      <c r="J156" s="268"/>
      <c r="K156" s="267"/>
      <c r="L156" s="267"/>
      <c r="M156" s="267"/>
      <c r="N156" s="267"/>
      <c r="O156" s="267"/>
      <c r="P156" s="267"/>
      <c r="Q156" s="267"/>
      <c r="R156" s="256"/>
      <c r="S156" s="267"/>
      <c r="T156" s="267"/>
      <c r="U156" s="267"/>
      <c r="V156" s="267"/>
      <c r="W156" s="257"/>
      <c r="X156" s="267"/>
      <c r="Y156" s="267"/>
      <c r="Z156" s="268"/>
      <c r="AA156" s="267"/>
      <c r="AB156" s="267"/>
      <c r="AC156" s="267"/>
      <c r="AD156" s="267"/>
      <c r="AE156" s="267"/>
      <c r="AF156" s="267"/>
      <c r="AG156" s="267"/>
      <c r="AH156" s="267"/>
      <c r="AI156" s="267"/>
      <c r="AJ156" s="267"/>
      <c r="AK156" s="268"/>
      <c r="AL156" s="267"/>
      <c r="AM156" s="267"/>
      <c r="AN156" s="267"/>
      <c r="AO156" s="267"/>
      <c r="AP156" s="267"/>
      <c r="AQ156" s="267"/>
      <c r="AR156" s="267"/>
      <c r="AS156" s="268"/>
      <c r="AT156" s="267"/>
      <c r="AU156" s="267"/>
      <c r="AV156" s="267"/>
      <c r="AW156" s="267"/>
      <c r="AX156" s="267"/>
      <c r="AY156" s="267"/>
      <c r="AZ156" s="267"/>
      <c r="BA156" s="267"/>
      <c r="BB156" s="270"/>
      <c r="BC156" s="267"/>
      <c r="BD156" s="267"/>
      <c r="BE156" s="267"/>
      <c r="BF156" s="267"/>
      <c r="BG156" s="267"/>
      <c r="BH156" s="267"/>
      <c r="BI156" s="267"/>
      <c r="BJ156" s="269"/>
      <c r="BK156" s="268"/>
      <c r="BL156" s="218"/>
      <c r="BM156" s="218"/>
      <c r="BN156" s="218"/>
      <c r="BO156" s="218"/>
      <c r="BP156" s="218"/>
      <c r="BQ156" s="218"/>
      <c r="BR156" s="30"/>
      <c r="BS156" s="30"/>
      <c r="BT156" s="30"/>
    </row>
    <row r="157" spans="1:72" s="81" customFormat="1" ht="22.5" customHeight="1">
      <c r="A157" s="153"/>
      <c r="B157" s="36"/>
      <c r="H157" s="36"/>
      <c r="J157" s="268"/>
      <c r="K157" s="267"/>
      <c r="L157" s="267"/>
      <c r="M157" s="267"/>
      <c r="N157" s="267"/>
      <c r="O157" s="267"/>
      <c r="P157" s="267"/>
      <c r="Q157" s="267"/>
      <c r="R157" s="256"/>
      <c r="S157" s="267"/>
      <c r="T157" s="267"/>
      <c r="U157" s="267"/>
      <c r="V157" s="267"/>
      <c r="W157" s="257"/>
      <c r="X157" s="267"/>
      <c r="Y157" s="267"/>
      <c r="Z157" s="268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268"/>
      <c r="AL157" s="267"/>
      <c r="AM157" s="267"/>
      <c r="AN157" s="267"/>
      <c r="AO157" s="267"/>
      <c r="AP157" s="267"/>
      <c r="AQ157" s="267"/>
      <c r="AR157" s="267"/>
      <c r="AS157" s="268"/>
      <c r="AT157" s="269"/>
      <c r="AU157" s="269"/>
      <c r="AV157" s="269"/>
      <c r="AW157" s="269"/>
      <c r="AX157" s="269"/>
      <c r="AY157" s="269"/>
      <c r="AZ157" s="269"/>
      <c r="BA157" s="267"/>
      <c r="BB157" s="268"/>
      <c r="BC157" s="267"/>
      <c r="BD157" s="267"/>
      <c r="BE157" s="267"/>
      <c r="BF157" s="267"/>
      <c r="BG157" s="267"/>
      <c r="BH157" s="267"/>
      <c r="BI157" s="267"/>
      <c r="BJ157" s="267"/>
      <c r="BK157" s="270"/>
      <c r="BL157" s="218"/>
      <c r="BM157" s="218"/>
      <c r="BN157" s="218"/>
      <c r="BO157" s="218"/>
      <c r="BP157" s="218"/>
      <c r="BQ157" s="218"/>
      <c r="BR157" s="30"/>
      <c r="BS157" s="30"/>
      <c r="BT157" s="30"/>
    </row>
    <row r="158" spans="1:72" s="81" customFormat="1" ht="22.5" customHeight="1">
      <c r="B158" s="36"/>
      <c r="H158" s="36"/>
      <c r="J158" s="268"/>
      <c r="K158" s="267"/>
      <c r="L158" s="267"/>
      <c r="M158" s="267"/>
      <c r="N158" s="267"/>
      <c r="O158" s="267"/>
      <c r="P158" s="267"/>
      <c r="Q158" s="267"/>
      <c r="R158" s="256"/>
      <c r="S158" s="267"/>
      <c r="T158" s="267"/>
      <c r="U158" s="267"/>
      <c r="V158" s="267"/>
      <c r="W158" s="257"/>
      <c r="X158" s="267"/>
      <c r="Y158" s="267"/>
      <c r="Z158" s="268"/>
      <c r="AA158" s="267"/>
      <c r="AB158" s="267"/>
      <c r="AC158" s="267"/>
      <c r="AD158" s="267"/>
      <c r="AE158" s="267"/>
      <c r="AF158" s="267"/>
      <c r="AG158" s="267"/>
      <c r="AH158" s="267"/>
      <c r="AI158" s="267"/>
      <c r="AJ158" s="267"/>
      <c r="AK158" s="268"/>
      <c r="AL158" s="267"/>
      <c r="AM158" s="267"/>
      <c r="AN158" s="267"/>
      <c r="AO158" s="267"/>
      <c r="AP158" s="267"/>
      <c r="AQ158" s="267"/>
      <c r="AR158" s="267"/>
      <c r="AS158" s="268"/>
      <c r="AT158" s="267"/>
      <c r="AU158" s="267"/>
      <c r="AV158" s="267"/>
      <c r="AW158" s="267"/>
      <c r="AX158" s="267"/>
      <c r="AY158" s="267"/>
      <c r="AZ158" s="267"/>
      <c r="BA158" s="267"/>
      <c r="BB158" s="268"/>
      <c r="BC158" s="267"/>
      <c r="BD158" s="267"/>
      <c r="BE158" s="267"/>
      <c r="BF158" s="267"/>
      <c r="BG158" s="267"/>
      <c r="BH158" s="267"/>
      <c r="BI158" s="267"/>
      <c r="BJ158" s="269"/>
      <c r="BK158" s="268"/>
      <c r="BL158" s="218"/>
      <c r="BM158" s="218"/>
      <c r="BN158" s="218"/>
      <c r="BO158" s="218"/>
      <c r="BP158" s="218"/>
      <c r="BQ158" s="218"/>
      <c r="BR158" s="30"/>
      <c r="BS158" s="30"/>
      <c r="BT158" s="30"/>
    </row>
    <row r="159" spans="1:72" s="81" customFormat="1" ht="22.5" customHeight="1">
      <c r="A159" s="153"/>
      <c r="B159" s="36"/>
      <c r="H159" s="36"/>
      <c r="J159" s="268"/>
      <c r="K159" s="267"/>
      <c r="L159" s="267"/>
      <c r="M159" s="267"/>
      <c r="N159" s="267"/>
      <c r="O159" s="267"/>
      <c r="P159" s="267"/>
      <c r="Q159" s="267"/>
      <c r="R159" s="256"/>
      <c r="S159" s="267"/>
      <c r="T159" s="267"/>
      <c r="U159" s="267"/>
      <c r="V159" s="267"/>
      <c r="W159" s="257"/>
      <c r="X159" s="267"/>
      <c r="Y159" s="267"/>
      <c r="Z159" s="268"/>
      <c r="AA159" s="267"/>
      <c r="AB159" s="267"/>
      <c r="AC159" s="267"/>
      <c r="AD159" s="267"/>
      <c r="AE159" s="267"/>
      <c r="AF159" s="267"/>
      <c r="AG159" s="267"/>
      <c r="AH159" s="267"/>
      <c r="AI159" s="267"/>
      <c r="AJ159" s="267"/>
      <c r="AK159" s="268"/>
      <c r="AL159" s="267"/>
      <c r="AM159" s="267"/>
      <c r="AN159" s="267"/>
      <c r="AO159" s="267"/>
      <c r="AP159" s="267"/>
      <c r="AQ159" s="267"/>
      <c r="AR159" s="267"/>
      <c r="AS159" s="268"/>
      <c r="AT159" s="267"/>
      <c r="AU159" s="267"/>
      <c r="AV159" s="267"/>
      <c r="AW159" s="267"/>
      <c r="AX159" s="267"/>
      <c r="AY159" s="267"/>
      <c r="AZ159" s="267"/>
      <c r="BA159" s="267"/>
      <c r="BB159" s="268"/>
      <c r="BC159" s="267"/>
      <c r="BD159" s="267"/>
      <c r="BE159" s="267"/>
      <c r="BF159" s="267"/>
      <c r="BG159" s="267"/>
      <c r="BH159" s="267"/>
      <c r="BI159" s="267"/>
      <c r="BJ159" s="267"/>
      <c r="BK159" s="270"/>
      <c r="BL159" s="218"/>
      <c r="BM159" s="218"/>
      <c r="BN159" s="218"/>
      <c r="BO159" s="218"/>
      <c r="BP159" s="218"/>
      <c r="BQ159" s="218"/>
      <c r="BR159" s="30"/>
      <c r="BS159" s="30"/>
      <c r="BT159" s="30"/>
    </row>
    <row r="160" spans="1:72" s="81" customFormat="1" ht="22.5" customHeight="1">
      <c r="A160" s="153"/>
      <c r="B160" s="36"/>
      <c r="H160" s="36"/>
      <c r="J160" s="268"/>
      <c r="K160" s="267"/>
      <c r="L160" s="267"/>
      <c r="M160" s="267"/>
      <c r="N160" s="267"/>
      <c r="O160" s="267"/>
      <c r="P160" s="267"/>
      <c r="Q160" s="267"/>
      <c r="R160" s="256"/>
      <c r="S160" s="267"/>
      <c r="T160" s="267"/>
      <c r="U160" s="267"/>
      <c r="V160" s="267"/>
      <c r="W160" s="257"/>
      <c r="X160" s="267"/>
      <c r="Y160" s="267"/>
      <c r="Z160" s="268"/>
      <c r="AA160" s="267"/>
      <c r="AB160" s="267"/>
      <c r="AC160" s="267"/>
      <c r="AD160" s="267"/>
      <c r="AE160" s="267"/>
      <c r="AF160" s="267"/>
      <c r="AG160" s="267"/>
      <c r="AH160" s="267"/>
      <c r="AI160" s="267"/>
      <c r="AJ160" s="267"/>
      <c r="AK160" s="268"/>
      <c r="AL160" s="267"/>
      <c r="AM160" s="267"/>
      <c r="AN160" s="267"/>
      <c r="AO160" s="267"/>
      <c r="AP160" s="267"/>
      <c r="AQ160" s="267"/>
      <c r="AR160" s="267"/>
      <c r="AS160" s="268"/>
      <c r="AT160" s="267"/>
      <c r="AU160" s="267"/>
      <c r="AV160" s="267"/>
      <c r="AW160" s="267"/>
      <c r="AX160" s="267"/>
      <c r="AY160" s="267"/>
      <c r="AZ160" s="267"/>
      <c r="BA160" s="160"/>
      <c r="BB160" s="268"/>
      <c r="BC160" s="160"/>
      <c r="BD160" s="160"/>
      <c r="BE160" s="160"/>
      <c r="BF160" s="160"/>
      <c r="BG160" s="160"/>
      <c r="BH160" s="160"/>
      <c r="BI160" s="160"/>
      <c r="BJ160" s="267"/>
      <c r="BK160" s="268"/>
      <c r="BL160" s="218"/>
      <c r="BM160" s="218"/>
      <c r="BN160" s="218"/>
      <c r="BO160" s="218"/>
      <c r="BP160" s="218"/>
      <c r="BQ160" s="218"/>
      <c r="BR160" s="30"/>
      <c r="BS160" s="30"/>
      <c r="BT160" s="30"/>
    </row>
    <row r="161" spans="1:72" s="81" customFormat="1" ht="22.5" customHeight="1">
      <c r="A161" s="154"/>
      <c r="B161" s="36"/>
      <c r="H161" s="36"/>
      <c r="J161" s="268"/>
      <c r="K161" s="267"/>
      <c r="L161" s="267"/>
      <c r="M161" s="267"/>
      <c r="N161" s="267"/>
      <c r="O161" s="267"/>
      <c r="P161" s="267"/>
      <c r="Q161" s="267"/>
      <c r="R161" s="256"/>
      <c r="S161" s="267"/>
      <c r="T161" s="267"/>
      <c r="U161" s="267"/>
      <c r="V161" s="267"/>
      <c r="W161" s="257"/>
      <c r="X161" s="267"/>
      <c r="Y161" s="267"/>
      <c r="Z161" s="268"/>
      <c r="AA161" s="267"/>
      <c r="AB161" s="267"/>
      <c r="AC161" s="267"/>
      <c r="AD161" s="267"/>
      <c r="AE161" s="267"/>
      <c r="AF161" s="267"/>
      <c r="AG161" s="267"/>
      <c r="AH161" s="267"/>
      <c r="AI161" s="267"/>
      <c r="AJ161" s="267"/>
      <c r="AK161" s="268"/>
      <c r="AL161" s="267"/>
      <c r="AM161" s="267"/>
      <c r="AN161" s="267"/>
      <c r="AO161" s="267"/>
      <c r="AP161" s="267"/>
      <c r="AQ161" s="267"/>
      <c r="AR161" s="267"/>
      <c r="AS161" s="268"/>
      <c r="AT161" s="267"/>
      <c r="AU161" s="267"/>
      <c r="AV161" s="267"/>
      <c r="AW161" s="267"/>
      <c r="AX161" s="267"/>
      <c r="AY161" s="267"/>
      <c r="AZ161" s="267"/>
      <c r="BA161" s="160"/>
      <c r="BB161" s="258"/>
      <c r="BC161" s="160"/>
      <c r="BD161" s="160"/>
      <c r="BE161" s="160"/>
      <c r="BF161" s="160"/>
      <c r="BG161" s="160"/>
      <c r="BH161" s="160"/>
      <c r="BI161" s="160"/>
      <c r="BJ161" s="267"/>
      <c r="BK161" s="268"/>
      <c r="BL161" s="218"/>
      <c r="BM161" s="218"/>
      <c r="BN161" s="218"/>
      <c r="BO161" s="218"/>
      <c r="BP161" s="218"/>
      <c r="BQ161" s="218"/>
      <c r="BR161" s="13"/>
      <c r="BS161" s="13"/>
      <c r="BT161" s="13"/>
    </row>
    <row r="162" spans="1:72" s="81" customFormat="1" ht="22.5" customHeight="1">
      <c r="A162" s="154"/>
      <c r="B162" s="36"/>
      <c r="H162" s="36"/>
      <c r="J162" s="268"/>
      <c r="K162" s="267"/>
      <c r="L162" s="267"/>
      <c r="M162" s="267"/>
      <c r="N162" s="267"/>
      <c r="O162" s="267"/>
      <c r="P162" s="267"/>
      <c r="Q162" s="267"/>
      <c r="R162" s="256"/>
      <c r="S162" s="267"/>
      <c r="T162" s="267"/>
      <c r="U162" s="267"/>
      <c r="V162" s="267"/>
      <c r="W162" s="257"/>
      <c r="X162" s="267"/>
      <c r="Y162" s="267"/>
      <c r="Z162" s="268"/>
      <c r="AA162" s="267"/>
      <c r="AB162" s="267"/>
      <c r="AC162" s="267"/>
      <c r="AD162" s="267"/>
      <c r="AE162" s="267"/>
      <c r="AF162" s="267"/>
      <c r="AG162" s="267"/>
      <c r="AH162" s="267"/>
      <c r="AI162" s="267"/>
      <c r="AJ162" s="267"/>
      <c r="AK162" s="268"/>
      <c r="AL162" s="267"/>
      <c r="AM162" s="267"/>
      <c r="AN162" s="267"/>
      <c r="AO162" s="267"/>
      <c r="AP162" s="267"/>
      <c r="AQ162" s="267"/>
      <c r="AR162" s="267"/>
      <c r="AS162" s="268"/>
      <c r="AT162" s="160"/>
      <c r="AU162" s="160"/>
      <c r="AV162" s="160"/>
      <c r="AW162" s="160"/>
      <c r="AX162" s="160"/>
      <c r="AY162" s="160"/>
      <c r="AZ162" s="160"/>
      <c r="BA162" s="160"/>
      <c r="BB162" s="258"/>
      <c r="BC162" s="160"/>
      <c r="BD162" s="160"/>
      <c r="BE162" s="160"/>
      <c r="BF162" s="160"/>
      <c r="BG162" s="160"/>
      <c r="BH162" s="160"/>
      <c r="BI162" s="160"/>
      <c r="BJ162" s="267"/>
      <c r="BK162" s="268"/>
      <c r="BL162" s="218"/>
      <c r="BM162" s="218"/>
      <c r="BN162" s="218"/>
      <c r="BO162" s="218"/>
      <c r="BP162" s="218"/>
      <c r="BQ162" s="218"/>
      <c r="BR162" s="13"/>
      <c r="BS162" s="13"/>
      <c r="BT162" s="13"/>
    </row>
    <row r="163" spans="1:72" s="154" customFormat="1" ht="22.5" customHeight="1">
      <c r="B163" s="40"/>
      <c r="H163" s="40"/>
      <c r="J163" s="270"/>
      <c r="K163" s="269"/>
      <c r="L163" s="269"/>
      <c r="M163" s="269"/>
      <c r="N163" s="269"/>
      <c r="O163" s="269"/>
      <c r="P163" s="269"/>
      <c r="Q163" s="269"/>
      <c r="R163" s="255"/>
      <c r="S163" s="269"/>
      <c r="T163" s="269"/>
      <c r="U163" s="269"/>
      <c r="V163" s="269"/>
      <c r="W163" s="271"/>
      <c r="X163" s="269"/>
      <c r="Y163" s="269"/>
      <c r="Z163" s="270"/>
      <c r="AA163" s="269"/>
      <c r="AB163" s="269"/>
      <c r="AC163" s="269"/>
      <c r="AD163" s="269"/>
      <c r="AE163" s="269"/>
      <c r="AF163" s="269"/>
      <c r="AG163" s="269"/>
      <c r="AH163" s="269"/>
      <c r="AI163" s="269"/>
      <c r="AJ163" s="269"/>
      <c r="AK163" s="270"/>
      <c r="AL163" s="269"/>
      <c r="AM163" s="269"/>
      <c r="AN163" s="269"/>
      <c r="AO163" s="269"/>
      <c r="AP163" s="269"/>
      <c r="AQ163" s="269"/>
      <c r="AR163" s="269"/>
      <c r="AS163" s="270"/>
      <c r="AT163" s="160"/>
      <c r="AU163" s="160"/>
      <c r="AV163" s="160"/>
      <c r="AW163" s="160"/>
      <c r="AX163" s="160"/>
      <c r="AY163" s="160"/>
      <c r="AZ163" s="160"/>
      <c r="BA163" s="160"/>
      <c r="BB163" s="258"/>
      <c r="BC163" s="160"/>
      <c r="BD163" s="160"/>
      <c r="BE163" s="160"/>
      <c r="BF163" s="160"/>
      <c r="BG163" s="160"/>
      <c r="BH163" s="160"/>
      <c r="BI163" s="160"/>
      <c r="BJ163" s="160"/>
      <c r="BK163" s="268"/>
      <c r="BL163" s="218"/>
      <c r="BM163" s="218"/>
      <c r="BN163" s="218"/>
      <c r="BO163" s="218"/>
      <c r="BP163" s="218"/>
      <c r="BQ163" s="218"/>
      <c r="BR163" s="13"/>
      <c r="BS163" s="13"/>
      <c r="BT163" s="13"/>
    </row>
    <row r="164" spans="1:72" s="81" customFormat="1" ht="22.5" customHeight="1">
      <c r="B164" s="36"/>
      <c r="H164" s="36"/>
      <c r="J164" s="268"/>
      <c r="K164" s="267"/>
      <c r="L164" s="267"/>
      <c r="M164" s="267"/>
      <c r="N164" s="267"/>
      <c r="O164" s="267"/>
      <c r="P164" s="267"/>
      <c r="Q164" s="267"/>
      <c r="R164" s="256"/>
      <c r="S164" s="267"/>
      <c r="T164" s="267"/>
      <c r="U164" s="267"/>
      <c r="V164" s="267"/>
      <c r="W164" s="257"/>
      <c r="X164" s="267"/>
      <c r="Y164" s="267"/>
      <c r="Z164" s="268"/>
      <c r="AA164" s="267"/>
      <c r="AB164" s="267"/>
      <c r="AC164" s="267"/>
      <c r="AD164" s="267"/>
      <c r="AE164" s="267"/>
      <c r="AF164" s="267"/>
      <c r="AG164" s="267"/>
      <c r="AH164" s="267"/>
      <c r="AI164" s="267"/>
      <c r="AJ164" s="267"/>
      <c r="AK164" s="268"/>
      <c r="AL164" s="267"/>
      <c r="AM164" s="267"/>
      <c r="AN164" s="267"/>
      <c r="AO164" s="267"/>
      <c r="AP164" s="267"/>
      <c r="AQ164" s="267"/>
      <c r="AR164" s="267"/>
      <c r="AS164" s="268"/>
      <c r="AT164" s="160"/>
      <c r="AU164" s="160"/>
      <c r="AV164" s="160"/>
      <c r="AW164" s="160"/>
      <c r="AX164" s="160"/>
      <c r="AY164" s="160"/>
      <c r="AZ164" s="160"/>
      <c r="BA164" s="218"/>
      <c r="BB164" s="258"/>
      <c r="BC164" s="218"/>
      <c r="BD164" s="218"/>
      <c r="BE164" s="218"/>
      <c r="BF164" s="218"/>
      <c r="BG164" s="218"/>
      <c r="BH164" s="218"/>
      <c r="BI164" s="218"/>
      <c r="BJ164" s="160"/>
      <c r="BK164" s="258"/>
      <c r="BL164" s="218"/>
      <c r="BM164" s="218"/>
      <c r="BN164" s="218"/>
      <c r="BO164" s="218"/>
      <c r="BP164" s="218"/>
      <c r="BQ164" s="218"/>
      <c r="BR164" s="36"/>
      <c r="BS164" s="36"/>
      <c r="BT164" s="36"/>
    </row>
    <row r="165" spans="1:72" s="154" customFormat="1" ht="22.5" customHeight="1">
      <c r="B165" s="40"/>
      <c r="H165" s="40"/>
      <c r="J165" s="270"/>
      <c r="K165" s="269"/>
      <c r="L165" s="269"/>
      <c r="M165" s="269"/>
      <c r="N165" s="269"/>
      <c r="O165" s="269"/>
      <c r="P165" s="269"/>
      <c r="Q165" s="269"/>
      <c r="R165" s="255"/>
      <c r="S165" s="269"/>
      <c r="T165" s="269"/>
      <c r="U165" s="269"/>
      <c r="V165" s="269"/>
      <c r="W165" s="271"/>
      <c r="X165" s="269"/>
      <c r="Y165" s="269"/>
      <c r="Z165" s="270"/>
      <c r="AA165" s="269"/>
      <c r="AB165" s="269"/>
      <c r="AC165" s="269"/>
      <c r="AD165" s="269"/>
      <c r="AE165" s="269"/>
      <c r="AF165" s="269"/>
      <c r="AG165" s="269"/>
      <c r="AH165" s="269"/>
      <c r="AI165" s="269"/>
      <c r="AJ165" s="269"/>
      <c r="AK165" s="270"/>
      <c r="AL165" s="269"/>
      <c r="AM165" s="269"/>
      <c r="AN165" s="269"/>
      <c r="AO165" s="269"/>
      <c r="AP165" s="269"/>
      <c r="AQ165" s="269"/>
      <c r="AR165" s="269"/>
      <c r="AS165" s="270"/>
      <c r="AT165" s="160"/>
      <c r="AU165" s="160"/>
      <c r="AV165" s="160"/>
      <c r="AW165" s="160"/>
      <c r="AX165" s="160"/>
      <c r="AY165" s="160"/>
      <c r="AZ165" s="160"/>
      <c r="BA165" s="218"/>
      <c r="BB165" s="256"/>
      <c r="BC165" s="218"/>
      <c r="BD165" s="218"/>
      <c r="BE165" s="218"/>
      <c r="BF165" s="218"/>
      <c r="BG165" s="218"/>
      <c r="BH165" s="218"/>
      <c r="BI165" s="218"/>
      <c r="BJ165" s="160"/>
      <c r="BK165" s="258"/>
      <c r="BL165" s="277"/>
      <c r="BM165" s="277"/>
      <c r="BN165" s="277"/>
      <c r="BO165" s="277"/>
      <c r="BP165" s="277"/>
      <c r="BQ165" s="277"/>
      <c r="BR165" s="36"/>
      <c r="BS165" s="36"/>
      <c r="BT165" s="36"/>
    </row>
    <row r="166" spans="1:72" s="81" customFormat="1" ht="22.5" customHeight="1">
      <c r="B166" s="36"/>
      <c r="H166" s="36"/>
      <c r="J166" s="268"/>
      <c r="K166" s="267"/>
      <c r="L166" s="267"/>
      <c r="M166" s="267"/>
      <c r="N166" s="267"/>
      <c r="O166" s="267"/>
      <c r="P166" s="267"/>
      <c r="Q166" s="267"/>
      <c r="R166" s="256"/>
      <c r="S166" s="267"/>
      <c r="T166" s="267"/>
      <c r="U166" s="267"/>
      <c r="V166" s="267"/>
      <c r="W166" s="257"/>
      <c r="X166" s="267"/>
      <c r="Y166" s="267"/>
      <c r="Z166" s="268"/>
      <c r="AA166" s="267"/>
      <c r="AB166" s="267"/>
      <c r="AC166" s="267"/>
      <c r="AD166" s="267"/>
      <c r="AE166" s="267"/>
      <c r="AF166" s="267"/>
      <c r="AG166" s="267"/>
      <c r="AH166" s="267"/>
      <c r="AI166" s="267"/>
      <c r="AJ166" s="267"/>
      <c r="AK166" s="268"/>
      <c r="AL166" s="267"/>
      <c r="AM166" s="267"/>
      <c r="AN166" s="267"/>
      <c r="AO166" s="267"/>
      <c r="AP166" s="267"/>
      <c r="AQ166" s="267"/>
      <c r="AR166" s="267"/>
      <c r="AS166" s="268"/>
      <c r="AT166" s="218"/>
      <c r="AU166" s="218"/>
      <c r="AV166" s="218"/>
      <c r="AW166" s="218"/>
      <c r="AX166" s="218"/>
      <c r="AY166" s="218"/>
      <c r="AZ166" s="218"/>
      <c r="BA166" s="218"/>
      <c r="BB166" s="256"/>
      <c r="BC166" s="218"/>
      <c r="BD166" s="218"/>
      <c r="BE166" s="218"/>
      <c r="BF166" s="218"/>
      <c r="BG166" s="218"/>
      <c r="BH166" s="218"/>
      <c r="BI166" s="218"/>
      <c r="BJ166" s="160"/>
      <c r="BK166" s="258"/>
      <c r="BL166" s="277"/>
      <c r="BM166" s="277"/>
      <c r="BN166" s="277"/>
      <c r="BO166" s="277"/>
      <c r="BP166" s="277"/>
      <c r="BQ166" s="277"/>
      <c r="BR166" s="36"/>
      <c r="BS166" s="36"/>
      <c r="BT166" s="36"/>
    </row>
    <row r="167" spans="1:72" s="81" customFormat="1" ht="22.5" customHeight="1">
      <c r="B167" s="36"/>
      <c r="D167" s="35"/>
      <c r="E167" s="35"/>
      <c r="H167" s="36"/>
      <c r="J167" s="268"/>
      <c r="K167" s="267"/>
      <c r="L167" s="267"/>
      <c r="M167" s="267"/>
      <c r="N167" s="267"/>
      <c r="O167" s="267"/>
      <c r="P167" s="267"/>
      <c r="Q167" s="267"/>
      <c r="R167" s="256"/>
      <c r="S167" s="267"/>
      <c r="T167" s="267"/>
      <c r="U167" s="267"/>
      <c r="V167" s="267"/>
      <c r="W167" s="257"/>
      <c r="X167" s="267"/>
      <c r="Y167" s="267"/>
      <c r="Z167" s="268"/>
      <c r="AA167" s="267"/>
      <c r="AB167" s="267"/>
      <c r="AC167" s="267"/>
      <c r="AD167" s="267"/>
      <c r="AE167" s="267"/>
      <c r="AF167" s="267"/>
      <c r="AG167" s="267"/>
      <c r="AH167" s="267"/>
      <c r="AI167" s="267"/>
      <c r="AJ167" s="267"/>
      <c r="AK167" s="268"/>
      <c r="AL167" s="267"/>
      <c r="AM167" s="267"/>
      <c r="AN167" s="267"/>
      <c r="AO167" s="267"/>
      <c r="AP167" s="267"/>
      <c r="AQ167" s="267"/>
      <c r="AR167" s="267"/>
      <c r="AS167" s="268"/>
      <c r="AT167" s="218"/>
      <c r="AU167" s="218"/>
      <c r="AV167" s="218"/>
      <c r="AW167" s="218"/>
      <c r="AX167" s="218"/>
      <c r="AY167" s="218"/>
      <c r="AZ167" s="218"/>
      <c r="BA167" s="218"/>
      <c r="BB167" s="256"/>
      <c r="BC167" s="218"/>
      <c r="BD167" s="218"/>
      <c r="BE167" s="218"/>
      <c r="BF167" s="218"/>
      <c r="BG167" s="218"/>
      <c r="BH167" s="218"/>
      <c r="BI167" s="218"/>
      <c r="BJ167" s="218"/>
      <c r="BK167" s="258"/>
      <c r="BL167" s="277"/>
      <c r="BM167" s="277"/>
      <c r="BN167" s="277"/>
      <c r="BO167" s="277"/>
      <c r="BP167" s="277"/>
      <c r="BQ167" s="277"/>
      <c r="BR167" s="36"/>
      <c r="BS167" s="36"/>
      <c r="BT167" s="36"/>
    </row>
    <row r="168" spans="1:72" s="81" customFormat="1" ht="22.5" customHeight="1">
      <c r="A168" s="154"/>
      <c r="B168" s="36"/>
      <c r="H168" s="36"/>
      <c r="J168" s="268"/>
      <c r="K168" s="267"/>
      <c r="L168" s="267"/>
      <c r="M168" s="267"/>
      <c r="N168" s="267"/>
      <c r="O168" s="267"/>
      <c r="P168" s="267"/>
      <c r="Q168" s="267"/>
      <c r="R168" s="256"/>
      <c r="S168" s="267"/>
      <c r="T168" s="267"/>
      <c r="U168" s="267"/>
      <c r="V168" s="267"/>
      <c r="W168" s="257"/>
      <c r="X168" s="267"/>
      <c r="Y168" s="267"/>
      <c r="Z168" s="268"/>
      <c r="AA168" s="267"/>
      <c r="AB168" s="267"/>
      <c r="AC168" s="267"/>
      <c r="AD168" s="267"/>
      <c r="AE168" s="267"/>
      <c r="AF168" s="267"/>
      <c r="AG168" s="267"/>
      <c r="AH168" s="267"/>
      <c r="AI168" s="267"/>
      <c r="AJ168" s="267"/>
      <c r="AK168" s="268"/>
      <c r="AL168" s="267"/>
      <c r="AM168" s="267"/>
      <c r="AN168" s="267"/>
      <c r="AO168" s="267"/>
      <c r="AP168" s="267"/>
      <c r="AQ168" s="267"/>
      <c r="AR168" s="267"/>
      <c r="AS168" s="268"/>
      <c r="AT168" s="218"/>
      <c r="AU168" s="218"/>
      <c r="AV168" s="218"/>
      <c r="AW168" s="218"/>
      <c r="AX168" s="218"/>
      <c r="AY168" s="218"/>
      <c r="AZ168" s="218"/>
      <c r="BA168" s="218"/>
      <c r="BB168" s="256"/>
      <c r="BC168" s="218"/>
      <c r="BD168" s="218"/>
      <c r="BE168" s="218"/>
      <c r="BF168" s="218"/>
      <c r="BG168" s="218"/>
      <c r="BH168" s="218"/>
      <c r="BI168" s="218"/>
      <c r="BJ168" s="218"/>
      <c r="BK168" s="256"/>
      <c r="BL168" s="257"/>
      <c r="BM168" s="257"/>
      <c r="BN168" s="257"/>
      <c r="BO168" s="257"/>
      <c r="BP168" s="257"/>
      <c r="BQ168" s="257"/>
      <c r="BR168" s="36"/>
      <c r="BS168" s="36"/>
      <c r="BT168" s="36"/>
    </row>
    <row r="169" spans="1:72" s="81" customFormat="1" ht="22.5" customHeight="1">
      <c r="B169" s="36"/>
      <c r="H169" s="36"/>
      <c r="J169" s="268"/>
      <c r="K169" s="267"/>
      <c r="L169" s="267"/>
      <c r="M169" s="267"/>
      <c r="N169" s="267"/>
      <c r="O169" s="267"/>
      <c r="P169" s="267"/>
      <c r="Q169" s="267"/>
      <c r="R169" s="256"/>
      <c r="S169" s="267"/>
      <c r="T169" s="267"/>
      <c r="U169" s="267"/>
      <c r="V169" s="267"/>
      <c r="W169" s="257"/>
      <c r="X169" s="267"/>
      <c r="Y169" s="267"/>
      <c r="Z169" s="268"/>
      <c r="AA169" s="267"/>
      <c r="AB169" s="267"/>
      <c r="AC169" s="267"/>
      <c r="AD169" s="267"/>
      <c r="AE169" s="267"/>
      <c r="AF169" s="267"/>
      <c r="AG169" s="267"/>
      <c r="AH169" s="267"/>
      <c r="AI169" s="267"/>
      <c r="AJ169" s="267"/>
      <c r="AK169" s="268"/>
      <c r="AL169" s="267"/>
      <c r="AM169" s="267"/>
      <c r="AN169" s="267"/>
      <c r="AO169" s="267"/>
      <c r="AP169" s="267"/>
      <c r="AQ169" s="267"/>
      <c r="AR169" s="267"/>
      <c r="AS169" s="268"/>
      <c r="AT169" s="218"/>
      <c r="AU169" s="218"/>
      <c r="AV169" s="218"/>
      <c r="AW169" s="218"/>
      <c r="AX169" s="218"/>
      <c r="AY169" s="218"/>
      <c r="AZ169" s="218"/>
      <c r="BA169" s="218"/>
      <c r="BB169" s="256"/>
      <c r="BC169" s="218"/>
      <c r="BD169" s="218"/>
      <c r="BE169" s="218"/>
      <c r="BF169" s="218"/>
      <c r="BG169" s="218"/>
      <c r="BH169" s="218"/>
      <c r="BI169" s="218"/>
      <c r="BJ169" s="218"/>
      <c r="BK169" s="256"/>
      <c r="BL169" s="257"/>
      <c r="BM169" s="257"/>
      <c r="BN169" s="257"/>
      <c r="BO169" s="257"/>
      <c r="BP169" s="257"/>
      <c r="BQ169" s="257"/>
      <c r="BR169" s="36"/>
      <c r="BS169" s="36"/>
      <c r="BT169" s="36"/>
    </row>
    <row r="170" spans="1:72" ht="22.5" customHeight="1">
      <c r="AT170" s="218"/>
      <c r="AU170" s="218"/>
      <c r="AV170" s="218"/>
      <c r="AW170" s="218"/>
      <c r="AX170" s="218"/>
      <c r="AY170" s="218"/>
      <c r="AZ170" s="218"/>
      <c r="BA170" s="218"/>
      <c r="BB170" s="256"/>
      <c r="BC170" s="218"/>
      <c r="BD170" s="218"/>
      <c r="BE170" s="218"/>
      <c r="BF170" s="218"/>
      <c r="BG170" s="218"/>
      <c r="BH170" s="218"/>
      <c r="BI170" s="218"/>
      <c r="BJ170" s="218"/>
      <c r="BK170" s="256"/>
      <c r="BL170" s="257"/>
      <c r="BM170" s="257"/>
      <c r="BN170" s="257"/>
      <c r="BO170" s="257"/>
      <c r="BP170" s="257"/>
      <c r="BQ170" s="257"/>
      <c r="BR170" s="36"/>
      <c r="BS170" s="36"/>
      <c r="BT170" s="36"/>
    </row>
    <row r="171" spans="1:72" ht="22.5" customHeight="1">
      <c r="AT171" s="218"/>
      <c r="AU171" s="218"/>
      <c r="AV171" s="218"/>
      <c r="AW171" s="218"/>
      <c r="AX171" s="218"/>
      <c r="AY171" s="218"/>
      <c r="AZ171" s="218"/>
      <c r="BA171" s="218"/>
      <c r="BB171" s="256"/>
      <c r="BC171" s="218"/>
      <c r="BD171" s="218"/>
      <c r="BE171" s="218"/>
      <c r="BF171" s="218"/>
      <c r="BG171" s="218"/>
      <c r="BH171" s="218"/>
      <c r="BI171" s="218"/>
      <c r="BJ171" s="218"/>
      <c r="BK171" s="256"/>
      <c r="BL171" s="257"/>
      <c r="BM171" s="257"/>
      <c r="BN171" s="257"/>
      <c r="BO171" s="257"/>
      <c r="BP171" s="257"/>
      <c r="BQ171" s="257"/>
      <c r="BR171" s="36"/>
      <c r="BS171" s="36"/>
      <c r="BT171" s="36"/>
    </row>
    <row r="172" spans="1:72" ht="22.5" customHeight="1">
      <c r="AT172" s="218"/>
      <c r="AU172" s="218"/>
      <c r="AV172" s="218"/>
      <c r="AW172" s="218"/>
      <c r="AX172" s="218"/>
      <c r="AY172" s="218"/>
      <c r="AZ172" s="218"/>
      <c r="BA172" s="218"/>
      <c r="BB172" s="256"/>
      <c r="BC172" s="218"/>
      <c r="BD172" s="218"/>
      <c r="BE172" s="218"/>
      <c r="BF172" s="218"/>
      <c r="BG172" s="218"/>
      <c r="BH172" s="218"/>
      <c r="BI172" s="218"/>
      <c r="BJ172" s="218"/>
      <c r="BK172" s="256"/>
      <c r="BL172" s="257"/>
      <c r="BM172" s="257"/>
      <c r="BN172" s="257"/>
      <c r="BO172" s="257"/>
      <c r="BP172" s="257"/>
      <c r="BQ172" s="257"/>
      <c r="BR172" s="36"/>
      <c r="BS172" s="36"/>
      <c r="BT172" s="36"/>
    </row>
    <row r="173" spans="1:72" ht="22.5" customHeight="1">
      <c r="Q173" s="240"/>
      <c r="R173" s="272"/>
      <c r="S173" s="1093"/>
      <c r="AT173" s="218"/>
      <c r="AU173" s="218"/>
      <c r="AV173" s="218"/>
      <c r="AW173" s="218"/>
      <c r="AX173" s="218"/>
      <c r="AY173" s="218"/>
      <c r="AZ173" s="218"/>
      <c r="BA173" s="218"/>
      <c r="BB173" s="256"/>
      <c r="BC173" s="218"/>
      <c r="BD173" s="218"/>
      <c r="BE173" s="218"/>
      <c r="BF173" s="218"/>
      <c r="BG173" s="218"/>
      <c r="BH173" s="218"/>
      <c r="BI173" s="218"/>
      <c r="BJ173" s="218"/>
      <c r="BK173" s="256"/>
      <c r="BL173" s="257"/>
      <c r="BM173" s="257"/>
      <c r="BN173" s="257"/>
      <c r="BO173" s="257"/>
      <c r="BP173" s="257"/>
      <c r="BQ173" s="257"/>
      <c r="BR173" s="36"/>
      <c r="BS173" s="36"/>
      <c r="BT173" s="36"/>
    </row>
    <row r="174" spans="1:72" s="30" customFormat="1" ht="22.5" customHeight="1">
      <c r="B174" s="36"/>
      <c r="H174" s="36"/>
      <c r="J174" s="256"/>
      <c r="K174" s="218"/>
      <c r="L174" s="218"/>
      <c r="M174" s="218"/>
      <c r="N174" s="218"/>
      <c r="O174" s="218"/>
      <c r="P174" s="218"/>
      <c r="Q174" s="253"/>
      <c r="R174" s="256"/>
      <c r="S174" s="218"/>
      <c r="T174" s="218"/>
      <c r="U174" s="218"/>
      <c r="V174" s="218"/>
      <c r="W174" s="257"/>
      <c r="X174" s="218"/>
      <c r="Y174" s="218"/>
      <c r="Z174" s="256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56"/>
      <c r="AL174" s="218"/>
      <c r="AM174" s="218"/>
      <c r="AN174" s="218"/>
      <c r="AO174" s="218"/>
      <c r="AP174" s="218"/>
      <c r="AQ174" s="218"/>
      <c r="AR174" s="218"/>
      <c r="AS174" s="256"/>
      <c r="AT174" s="218"/>
      <c r="AU174" s="218"/>
      <c r="AV174" s="218"/>
      <c r="AW174" s="218"/>
      <c r="AX174" s="218"/>
      <c r="AY174" s="218"/>
      <c r="AZ174" s="218"/>
      <c r="BA174" s="218"/>
      <c r="BB174" s="256"/>
      <c r="BC174" s="218"/>
      <c r="BD174" s="218"/>
      <c r="BE174" s="218"/>
      <c r="BF174" s="218"/>
      <c r="BG174" s="218"/>
      <c r="BH174" s="218"/>
      <c r="BI174" s="218"/>
      <c r="BJ174" s="218"/>
      <c r="BK174" s="256"/>
      <c r="BL174" s="257"/>
      <c r="BM174" s="257"/>
      <c r="BN174" s="257"/>
      <c r="BO174" s="257"/>
      <c r="BP174" s="257"/>
      <c r="BQ174" s="257"/>
      <c r="BR174" s="36"/>
      <c r="BS174" s="36"/>
      <c r="BT174" s="36"/>
    </row>
    <row r="175" spans="1:72" s="30" customFormat="1" ht="22.5" customHeight="1">
      <c r="B175" s="36"/>
      <c r="H175" s="36"/>
      <c r="J175" s="256"/>
      <c r="K175" s="218"/>
      <c r="L175" s="218"/>
      <c r="M175" s="218"/>
      <c r="N175" s="218"/>
      <c r="O175" s="218"/>
      <c r="P175" s="218"/>
      <c r="Q175" s="253"/>
      <c r="R175" s="272"/>
      <c r="S175" s="246"/>
      <c r="T175" s="1907"/>
      <c r="U175" s="273"/>
      <c r="V175" s="1907"/>
      <c r="W175" s="241"/>
      <c r="X175" s="1907"/>
      <c r="Y175" s="170"/>
      <c r="Z175" s="255"/>
      <c r="AA175" s="170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56"/>
      <c r="AL175" s="218"/>
      <c r="AM175" s="218"/>
      <c r="AN175" s="218"/>
      <c r="AO175" s="218"/>
      <c r="AP175" s="218"/>
      <c r="AQ175" s="218"/>
      <c r="AR175" s="218"/>
      <c r="AS175" s="256"/>
      <c r="AT175" s="218"/>
      <c r="AU175" s="218"/>
      <c r="AV175" s="218"/>
      <c r="AW175" s="218"/>
      <c r="AX175" s="218"/>
      <c r="AY175" s="218"/>
      <c r="AZ175" s="218"/>
      <c r="BA175" s="277"/>
      <c r="BB175" s="256"/>
      <c r="BC175" s="277"/>
      <c r="BD175" s="277"/>
      <c r="BE175" s="277"/>
      <c r="BF175" s="277"/>
      <c r="BG175" s="277"/>
      <c r="BH175" s="277"/>
      <c r="BI175" s="277"/>
      <c r="BJ175" s="218"/>
      <c r="BK175" s="256"/>
      <c r="BL175" s="257"/>
      <c r="BM175" s="257"/>
      <c r="BN175" s="257"/>
      <c r="BO175" s="257"/>
      <c r="BP175" s="257"/>
      <c r="BQ175" s="257"/>
      <c r="BR175" s="36"/>
      <c r="BS175" s="36"/>
      <c r="BT175" s="36"/>
    </row>
    <row r="176" spans="1:72" s="30" customFormat="1" ht="22.5" customHeight="1">
      <c r="B176" s="36"/>
      <c r="H176" s="36"/>
      <c r="J176" s="256"/>
      <c r="K176" s="218"/>
      <c r="L176" s="218"/>
      <c r="M176" s="218"/>
      <c r="N176" s="218"/>
      <c r="O176" s="218"/>
      <c r="P176" s="218"/>
      <c r="Q176" s="253"/>
      <c r="R176" s="274"/>
      <c r="S176" s="246"/>
      <c r="T176" s="170"/>
      <c r="U176" s="170"/>
      <c r="V176" s="170"/>
      <c r="W176" s="271"/>
      <c r="X176" s="170"/>
      <c r="Y176" s="170"/>
      <c r="Z176" s="255"/>
      <c r="AA176" s="170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56"/>
      <c r="AL176" s="218"/>
      <c r="AM176" s="218"/>
      <c r="AN176" s="218"/>
      <c r="AO176" s="218"/>
      <c r="AP176" s="218"/>
      <c r="AQ176" s="218"/>
      <c r="AR176" s="218"/>
      <c r="AS176" s="256"/>
      <c r="AT176" s="218"/>
      <c r="AU176" s="218"/>
      <c r="AV176" s="218"/>
      <c r="AW176" s="218"/>
      <c r="AX176" s="218"/>
      <c r="AY176" s="218"/>
      <c r="AZ176" s="218"/>
      <c r="BA176" s="277"/>
      <c r="BB176" s="278"/>
      <c r="BC176" s="277"/>
      <c r="BD176" s="277"/>
      <c r="BE176" s="277"/>
      <c r="BF176" s="277"/>
      <c r="BG176" s="277"/>
      <c r="BH176" s="277"/>
      <c r="BI176" s="277"/>
      <c r="BJ176" s="218"/>
      <c r="BK176" s="256"/>
      <c r="BL176" s="257"/>
      <c r="BM176" s="257"/>
      <c r="BN176" s="257"/>
      <c r="BO176" s="257"/>
      <c r="BP176" s="257"/>
      <c r="BQ176" s="257"/>
      <c r="BR176" s="36"/>
      <c r="BS176" s="36"/>
      <c r="BT176" s="36"/>
    </row>
    <row r="177" spans="2:72" s="30" customFormat="1" ht="22.5" customHeight="1">
      <c r="B177" s="36"/>
      <c r="H177" s="36"/>
      <c r="J177" s="256"/>
      <c r="K177" s="218"/>
      <c r="L177" s="218"/>
      <c r="M177" s="218"/>
      <c r="N177" s="218"/>
      <c r="O177" s="218"/>
      <c r="P177" s="218"/>
      <c r="Q177" s="253"/>
      <c r="R177" s="272"/>
      <c r="S177" s="246"/>
      <c r="T177" s="1907"/>
      <c r="U177" s="273"/>
      <c r="V177" s="1907"/>
      <c r="W177" s="241"/>
      <c r="X177" s="1907"/>
      <c r="Y177" s="170"/>
      <c r="Z177" s="255"/>
      <c r="AA177" s="170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56"/>
      <c r="AL177" s="218"/>
      <c r="AM177" s="218"/>
      <c r="AN177" s="218"/>
      <c r="AO177" s="218"/>
      <c r="AP177" s="218"/>
      <c r="AQ177" s="218"/>
      <c r="AR177" s="218"/>
      <c r="AS177" s="256"/>
      <c r="AT177" s="277"/>
      <c r="AU177" s="277"/>
      <c r="AV177" s="277"/>
      <c r="AW177" s="277"/>
      <c r="AX177" s="277"/>
      <c r="AY177" s="277"/>
      <c r="AZ177" s="277"/>
      <c r="BA177" s="277"/>
      <c r="BB177" s="278"/>
      <c r="BC177" s="277"/>
      <c r="BD177" s="277"/>
      <c r="BE177" s="277"/>
      <c r="BF177" s="277"/>
      <c r="BG177" s="277"/>
      <c r="BH177" s="277"/>
      <c r="BI177" s="277"/>
      <c r="BJ177" s="218"/>
      <c r="BK177" s="256"/>
      <c r="BL177" s="257"/>
      <c r="BM177" s="257"/>
      <c r="BN177" s="257"/>
      <c r="BO177" s="257"/>
      <c r="BP177" s="257"/>
      <c r="BQ177" s="257"/>
      <c r="BR177" s="8"/>
      <c r="BS177" s="8"/>
      <c r="BT177" s="8"/>
    </row>
    <row r="178" spans="2:72" s="30" customFormat="1" ht="22.5" customHeight="1">
      <c r="B178" s="36"/>
      <c r="H178" s="36"/>
      <c r="J178" s="256"/>
      <c r="K178" s="218"/>
      <c r="L178" s="218"/>
      <c r="M178" s="218"/>
      <c r="N178" s="218"/>
      <c r="O178" s="218"/>
      <c r="P178" s="218"/>
      <c r="Q178" s="170"/>
      <c r="R178" s="255"/>
      <c r="S178" s="170"/>
      <c r="T178" s="170"/>
      <c r="U178" s="170"/>
      <c r="V178" s="170"/>
      <c r="W178" s="271"/>
      <c r="X178" s="170"/>
      <c r="Y178" s="170"/>
      <c r="Z178" s="255"/>
      <c r="AA178" s="170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56"/>
      <c r="AL178" s="218"/>
      <c r="AM178" s="218"/>
      <c r="AN178" s="218"/>
      <c r="AO178" s="218"/>
      <c r="AP178" s="218"/>
      <c r="AQ178" s="218"/>
      <c r="AR178" s="218"/>
      <c r="AS178" s="256"/>
      <c r="AT178" s="277"/>
      <c r="AU178" s="277"/>
      <c r="AV178" s="277"/>
      <c r="AW178" s="277"/>
      <c r="AX178" s="277"/>
      <c r="AY178" s="277"/>
      <c r="AZ178" s="277"/>
      <c r="BA178" s="257"/>
      <c r="BB178" s="278"/>
      <c r="BC178" s="257"/>
      <c r="BD178" s="257"/>
      <c r="BE178" s="257"/>
      <c r="BF178" s="257"/>
      <c r="BG178" s="257"/>
      <c r="BH178" s="257"/>
      <c r="BI178" s="257"/>
      <c r="BJ178" s="277"/>
      <c r="BK178" s="256"/>
      <c r="BL178" s="257"/>
      <c r="BM178" s="257"/>
      <c r="BN178" s="257"/>
      <c r="BO178" s="257"/>
      <c r="BP178" s="257"/>
      <c r="BQ178" s="257"/>
      <c r="BR178" s="8"/>
      <c r="BS178" s="8"/>
      <c r="BT178" s="8"/>
    </row>
    <row r="179" spans="2:72" s="30" customFormat="1" ht="22.5" customHeight="1">
      <c r="B179" s="36"/>
      <c r="H179" s="36"/>
      <c r="J179" s="256"/>
      <c r="K179" s="218"/>
      <c r="L179" s="218"/>
      <c r="M179" s="218"/>
      <c r="N179" s="218"/>
      <c r="O179" s="218"/>
      <c r="P179" s="218"/>
      <c r="Q179" s="218"/>
      <c r="R179" s="256"/>
      <c r="S179" s="218"/>
      <c r="T179" s="218"/>
      <c r="U179" s="218"/>
      <c r="V179" s="218"/>
      <c r="W179" s="257"/>
      <c r="X179" s="218"/>
      <c r="Y179" s="218"/>
      <c r="Z179" s="256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56"/>
      <c r="AL179" s="218"/>
      <c r="AM179" s="218"/>
      <c r="AN179" s="218"/>
      <c r="AO179" s="218"/>
      <c r="AP179" s="218"/>
      <c r="AQ179" s="218"/>
      <c r="AR179" s="218"/>
      <c r="AS179" s="256"/>
      <c r="AT179" s="277"/>
      <c r="AU179" s="277"/>
      <c r="AV179" s="277"/>
      <c r="AW179" s="277"/>
      <c r="AX179" s="277"/>
      <c r="AY179" s="277"/>
      <c r="AZ179" s="277"/>
      <c r="BA179" s="257"/>
      <c r="BB179" s="262"/>
      <c r="BC179" s="257"/>
      <c r="BD179" s="257"/>
      <c r="BE179" s="257"/>
      <c r="BF179" s="257"/>
      <c r="BG179" s="257"/>
      <c r="BH179" s="257"/>
      <c r="BI179" s="257"/>
      <c r="BJ179" s="277"/>
      <c r="BK179" s="278"/>
      <c r="BL179" s="257"/>
      <c r="BM179" s="257"/>
      <c r="BN179" s="257"/>
      <c r="BO179" s="257"/>
      <c r="BP179" s="257"/>
      <c r="BQ179" s="257"/>
      <c r="BR179" s="8"/>
      <c r="BS179" s="8"/>
      <c r="BT179" s="8"/>
    </row>
    <row r="180" spans="2:72" s="30" customFormat="1" ht="22.5" customHeight="1">
      <c r="B180" s="36"/>
      <c r="H180" s="36"/>
      <c r="J180" s="256"/>
      <c r="K180" s="218"/>
      <c r="L180" s="218"/>
      <c r="M180" s="218"/>
      <c r="N180" s="218"/>
      <c r="O180" s="218"/>
      <c r="P180" s="218"/>
      <c r="Q180" s="218"/>
      <c r="R180" s="256"/>
      <c r="S180" s="218"/>
      <c r="T180" s="218"/>
      <c r="U180" s="218"/>
      <c r="V180" s="218"/>
      <c r="W180" s="257"/>
      <c r="X180" s="218"/>
      <c r="Y180" s="218"/>
      <c r="Z180" s="256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56"/>
      <c r="AL180" s="218"/>
      <c r="AM180" s="218"/>
      <c r="AN180" s="218"/>
      <c r="AO180" s="218"/>
      <c r="AP180" s="218"/>
      <c r="AQ180" s="218"/>
      <c r="AR180" s="218"/>
      <c r="AS180" s="256"/>
      <c r="AT180" s="257"/>
      <c r="AU180" s="257"/>
      <c r="AV180" s="257"/>
      <c r="AW180" s="257"/>
      <c r="AX180" s="257"/>
      <c r="AY180" s="257"/>
      <c r="AZ180" s="257"/>
      <c r="BA180" s="257"/>
      <c r="BB180" s="262"/>
      <c r="BC180" s="257"/>
      <c r="BD180" s="257"/>
      <c r="BE180" s="257"/>
      <c r="BF180" s="257"/>
      <c r="BG180" s="257"/>
      <c r="BH180" s="257"/>
      <c r="BI180" s="257"/>
      <c r="BJ180" s="277"/>
      <c r="BK180" s="278"/>
      <c r="BL180" s="257"/>
      <c r="BM180" s="257"/>
      <c r="BN180" s="257"/>
      <c r="BO180" s="257"/>
      <c r="BP180" s="257"/>
      <c r="BQ180" s="257"/>
      <c r="BR180" s="8"/>
      <c r="BS180" s="8"/>
      <c r="BT180" s="8"/>
    </row>
    <row r="181" spans="2:72" s="30" customFormat="1" ht="22.5" customHeight="1">
      <c r="B181" s="36"/>
      <c r="H181" s="36"/>
      <c r="J181" s="256"/>
      <c r="K181" s="218"/>
      <c r="L181" s="218"/>
      <c r="M181" s="218"/>
      <c r="N181" s="218"/>
      <c r="O181" s="218"/>
      <c r="P181" s="218"/>
      <c r="Q181" s="218"/>
      <c r="R181" s="256"/>
      <c r="S181" s="218"/>
      <c r="T181" s="218"/>
      <c r="U181" s="218"/>
      <c r="V181" s="218"/>
      <c r="W181" s="257"/>
      <c r="X181" s="218"/>
      <c r="Y181" s="218"/>
      <c r="Z181" s="256"/>
      <c r="AA181" s="218"/>
      <c r="AB181" s="218"/>
      <c r="AC181" s="218"/>
      <c r="AD181" s="218"/>
      <c r="AE181" s="218"/>
      <c r="AF181" s="218"/>
      <c r="AG181" s="218"/>
      <c r="AH181" s="218"/>
      <c r="AI181" s="218"/>
      <c r="AJ181" s="218"/>
      <c r="AK181" s="256"/>
      <c r="AL181" s="218"/>
      <c r="AM181" s="218"/>
      <c r="AN181" s="218"/>
      <c r="AO181" s="218"/>
      <c r="AP181" s="218"/>
      <c r="AQ181" s="218"/>
      <c r="AR181" s="218"/>
      <c r="AS181" s="256"/>
      <c r="AT181" s="257"/>
      <c r="AU181" s="257"/>
      <c r="AV181" s="257"/>
      <c r="AW181" s="257"/>
      <c r="AX181" s="257"/>
      <c r="AY181" s="257"/>
      <c r="AZ181" s="257"/>
      <c r="BA181" s="257"/>
      <c r="BB181" s="262"/>
      <c r="BC181" s="257"/>
      <c r="BD181" s="257"/>
      <c r="BE181" s="257"/>
      <c r="BF181" s="257"/>
      <c r="BG181" s="257"/>
      <c r="BH181" s="257"/>
      <c r="BI181" s="257"/>
      <c r="BJ181" s="257"/>
      <c r="BK181" s="278"/>
      <c r="BL181" s="160"/>
      <c r="BM181" s="160"/>
      <c r="BN181" s="160"/>
      <c r="BO181" s="160"/>
      <c r="BP181" s="160"/>
      <c r="BQ181" s="160"/>
      <c r="BR181" s="8"/>
      <c r="BS181" s="8"/>
      <c r="BT181" s="8"/>
    </row>
    <row r="182" spans="2:72" s="30" customFormat="1" ht="22.5" customHeight="1">
      <c r="B182" s="36"/>
      <c r="H182" s="36"/>
      <c r="J182" s="256"/>
      <c r="K182" s="218"/>
      <c r="L182" s="218"/>
      <c r="M182" s="218"/>
      <c r="N182" s="218"/>
      <c r="O182" s="218"/>
      <c r="P182" s="218"/>
      <c r="Q182" s="218"/>
      <c r="R182" s="256"/>
      <c r="S182" s="218"/>
      <c r="T182" s="218"/>
      <c r="U182" s="218"/>
      <c r="V182" s="218"/>
      <c r="W182" s="257"/>
      <c r="X182" s="218"/>
      <c r="Y182" s="218"/>
      <c r="Z182" s="256"/>
      <c r="AA182" s="218"/>
      <c r="AB182" s="218"/>
      <c r="AC182" s="218"/>
      <c r="AD182" s="218"/>
      <c r="AE182" s="218"/>
      <c r="AF182" s="218"/>
      <c r="AG182" s="218"/>
      <c r="AH182" s="218"/>
      <c r="AI182" s="218"/>
      <c r="AJ182" s="218"/>
      <c r="AK182" s="256"/>
      <c r="AL182" s="218"/>
      <c r="AM182" s="218"/>
      <c r="AN182" s="218"/>
      <c r="AO182" s="218"/>
      <c r="AP182" s="218"/>
      <c r="AQ182" s="218"/>
      <c r="AR182" s="218"/>
      <c r="AS182" s="256"/>
      <c r="AT182" s="257"/>
      <c r="AU182" s="257"/>
      <c r="AV182" s="257"/>
      <c r="AW182" s="257"/>
      <c r="AX182" s="257"/>
      <c r="AY182" s="257"/>
      <c r="AZ182" s="257"/>
      <c r="BA182" s="257"/>
      <c r="BB182" s="262"/>
      <c r="BC182" s="257"/>
      <c r="BD182" s="257"/>
      <c r="BE182" s="257"/>
      <c r="BF182" s="257"/>
      <c r="BG182" s="257"/>
      <c r="BH182" s="257"/>
      <c r="BI182" s="257"/>
      <c r="BJ182" s="257"/>
      <c r="BK182" s="262"/>
      <c r="BL182" s="160"/>
      <c r="BM182" s="160"/>
      <c r="BN182" s="160"/>
      <c r="BO182" s="160"/>
      <c r="BP182" s="160"/>
      <c r="BQ182" s="160"/>
      <c r="BR182" s="8"/>
      <c r="BS182" s="8"/>
      <c r="BT182" s="8"/>
    </row>
    <row r="183" spans="2:72" s="30" customFormat="1" ht="22.5" customHeight="1">
      <c r="B183" s="36"/>
      <c r="H183" s="36"/>
      <c r="J183" s="256"/>
      <c r="K183" s="218"/>
      <c r="L183" s="218"/>
      <c r="M183" s="218"/>
      <c r="N183" s="218"/>
      <c r="O183" s="218"/>
      <c r="P183" s="218"/>
      <c r="Q183" s="218"/>
      <c r="R183" s="256"/>
      <c r="S183" s="218"/>
      <c r="T183" s="218"/>
      <c r="U183" s="218"/>
      <c r="V183" s="218"/>
      <c r="W183" s="257"/>
      <c r="X183" s="218"/>
      <c r="Y183" s="218"/>
      <c r="Z183" s="256"/>
      <c r="AA183" s="218"/>
      <c r="AB183" s="218"/>
      <c r="AC183" s="218"/>
      <c r="AD183" s="218"/>
      <c r="AE183" s="218"/>
      <c r="AF183" s="218"/>
      <c r="AG183" s="218"/>
      <c r="AH183" s="218"/>
      <c r="AI183" s="218"/>
      <c r="AJ183" s="218"/>
      <c r="AK183" s="256"/>
      <c r="AL183" s="218"/>
      <c r="AM183" s="218"/>
      <c r="AN183" s="218"/>
      <c r="AO183" s="218"/>
      <c r="AP183" s="218"/>
      <c r="AQ183" s="218"/>
      <c r="AR183" s="218"/>
      <c r="AS183" s="256"/>
      <c r="AT183" s="257"/>
      <c r="AU183" s="257"/>
      <c r="AV183" s="257"/>
      <c r="AW183" s="257"/>
      <c r="AX183" s="257"/>
      <c r="AY183" s="257"/>
      <c r="AZ183" s="257"/>
      <c r="BA183" s="257"/>
      <c r="BB183" s="262"/>
      <c r="BC183" s="257"/>
      <c r="BD183" s="257"/>
      <c r="BE183" s="257"/>
      <c r="BF183" s="257"/>
      <c r="BG183" s="257"/>
      <c r="BH183" s="257"/>
      <c r="BI183" s="257"/>
      <c r="BJ183" s="257"/>
      <c r="BK183" s="262"/>
      <c r="BL183" s="160"/>
      <c r="BM183" s="160"/>
      <c r="BN183" s="160"/>
      <c r="BO183" s="160"/>
      <c r="BP183" s="160"/>
      <c r="BQ183" s="160"/>
      <c r="BR183" s="8"/>
      <c r="BS183" s="8"/>
      <c r="BT183" s="8"/>
    </row>
    <row r="184" spans="2:72" s="30" customFormat="1" ht="22.5" customHeight="1">
      <c r="B184" s="36"/>
      <c r="H184" s="36"/>
      <c r="J184" s="256"/>
      <c r="K184" s="218"/>
      <c r="L184" s="218"/>
      <c r="M184" s="218"/>
      <c r="N184" s="218"/>
      <c r="O184" s="218"/>
      <c r="P184" s="218"/>
      <c r="Q184" s="170"/>
      <c r="R184" s="256"/>
      <c r="S184" s="246"/>
      <c r="T184" s="275"/>
      <c r="U184" s="276"/>
      <c r="V184" s="275"/>
      <c r="W184" s="241"/>
      <c r="X184" s="1907"/>
      <c r="Y184" s="218"/>
      <c r="Z184" s="256"/>
      <c r="AA184" s="218"/>
      <c r="AB184" s="218"/>
      <c r="AC184" s="218"/>
      <c r="AD184" s="218"/>
      <c r="AE184" s="218"/>
      <c r="AF184" s="218"/>
      <c r="AG184" s="218"/>
      <c r="AH184" s="218"/>
      <c r="AI184" s="218"/>
      <c r="AJ184" s="218"/>
      <c r="AK184" s="256"/>
      <c r="AL184" s="218"/>
      <c r="AM184" s="218"/>
      <c r="AN184" s="218"/>
      <c r="AO184" s="218"/>
      <c r="AP184" s="218"/>
      <c r="AQ184" s="218"/>
      <c r="AR184" s="218"/>
      <c r="AS184" s="256"/>
      <c r="AT184" s="257"/>
      <c r="AU184" s="257"/>
      <c r="AV184" s="257"/>
      <c r="AW184" s="257"/>
      <c r="AX184" s="257"/>
      <c r="AY184" s="257"/>
      <c r="AZ184" s="257"/>
      <c r="BA184" s="257"/>
      <c r="BB184" s="262"/>
      <c r="BC184" s="257"/>
      <c r="BD184" s="257"/>
      <c r="BE184" s="257"/>
      <c r="BF184" s="257"/>
      <c r="BG184" s="257"/>
      <c r="BH184" s="257"/>
      <c r="BI184" s="257"/>
      <c r="BJ184" s="257"/>
      <c r="BK184" s="262"/>
      <c r="BL184" s="160"/>
      <c r="BM184" s="160"/>
      <c r="BN184" s="160"/>
      <c r="BO184" s="160"/>
      <c r="BP184" s="160"/>
      <c r="BQ184" s="160"/>
      <c r="BR184" s="8"/>
      <c r="BS184" s="8"/>
      <c r="BT184" s="8"/>
    </row>
    <row r="185" spans="2:72" s="13" customFormat="1" ht="22.5" customHeight="1">
      <c r="B185" s="36"/>
      <c r="H185" s="36"/>
      <c r="J185" s="278"/>
      <c r="K185" s="277"/>
      <c r="L185" s="277"/>
      <c r="M185" s="277"/>
      <c r="N185" s="277"/>
      <c r="O185" s="277"/>
      <c r="P185" s="277"/>
      <c r="Q185" s="277"/>
      <c r="R185" s="256"/>
      <c r="S185" s="277"/>
      <c r="T185" s="277"/>
      <c r="U185" s="277"/>
      <c r="V185" s="277"/>
      <c r="W185" s="257"/>
      <c r="X185" s="277"/>
      <c r="Y185" s="277"/>
      <c r="Z185" s="278"/>
      <c r="AA185" s="277"/>
      <c r="AB185" s="277"/>
      <c r="AC185" s="277"/>
      <c r="AD185" s="277"/>
      <c r="AE185" s="277"/>
      <c r="AF185" s="277"/>
      <c r="AG185" s="277"/>
      <c r="AH185" s="277"/>
      <c r="AI185" s="277"/>
      <c r="AJ185" s="277"/>
      <c r="AK185" s="278"/>
      <c r="AL185" s="277"/>
      <c r="AM185" s="277"/>
      <c r="AN185" s="277"/>
      <c r="AO185" s="277"/>
      <c r="AP185" s="277"/>
      <c r="AQ185" s="277"/>
      <c r="AR185" s="277"/>
      <c r="AS185" s="278"/>
      <c r="AT185" s="257"/>
      <c r="AU185" s="257"/>
      <c r="AV185" s="257"/>
      <c r="AW185" s="257"/>
      <c r="AX185" s="257"/>
      <c r="AY185" s="257"/>
      <c r="AZ185" s="257"/>
      <c r="BA185" s="257"/>
      <c r="BB185" s="262"/>
      <c r="BC185" s="257"/>
      <c r="BD185" s="257"/>
      <c r="BE185" s="257"/>
      <c r="BF185" s="257"/>
      <c r="BG185" s="257"/>
      <c r="BH185" s="257"/>
      <c r="BI185" s="257"/>
      <c r="BJ185" s="257"/>
      <c r="BK185" s="262"/>
      <c r="BL185" s="160"/>
      <c r="BM185" s="160"/>
      <c r="BN185" s="160"/>
      <c r="BO185" s="160"/>
      <c r="BP185" s="160"/>
      <c r="BQ185" s="160"/>
      <c r="BR185" s="8"/>
      <c r="BS185" s="8"/>
      <c r="BT185" s="8"/>
    </row>
    <row r="186" spans="2:72" s="13" customFormat="1" ht="22.5" customHeight="1">
      <c r="B186" s="36"/>
      <c r="H186" s="36"/>
      <c r="J186" s="278"/>
      <c r="K186" s="277"/>
      <c r="L186" s="277"/>
      <c r="M186" s="277"/>
      <c r="N186" s="277"/>
      <c r="O186" s="277"/>
      <c r="P186" s="277"/>
      <c r="Q186" s="277"/>
      <c r="R186" s="256"/>
      <c r="S186" s="277"/>
      <c r="T186" s="277"/>
      <c r="U186" s="277"/>
      <c r="V186" s="277"/>
      <c r="W186" s="257"/>
      <c r="X186" s="277"/>
      <c r="Y186" s="277"/>
      <c r="Z186" s="278"/>
      <c r="AA186" s="277"/>
      <c r="AB186" s="277"/>
      <c r="AC186" s="277"/>
      <c r="AD186" s="277"/>
      <c r="AE186" s="277"/>
      <c r="AF186" s="277"/>
      <c r="AG186" s="277"/>
      <c r="AH186" s="277"/>
      <c r="AI186" s="277"/>
      <c r="AJ186" s="277"/>
      <c r="AK186" s="278"/>
      <c r="AL186" s="277"/>
      <c r="AM186" s="277"/>
      <c r="AN186" s="277"/>
      <c r="AO186" s="277"/>
      <c r="AP186" s="277"/>
      <c r="AQ186" s="277"/>
      <c r="AR186" s="277"/>
      <c r="AS186" s="278"/>
      <c r="AT186" s="257"/>
      <c r="AU186" s="257"/>
      <c r="AV186" s="257"/>
      <c r="AW186" s="257"/>
      <c r="AX186" s="257"/>
      <c r="AY186" s="257"/>
      <c r="AZ186" s="257"/>
      <c r="BA186" s="257"/>
      <c r="BB186" s="262"/>
      <c r="BC186" s="257"/>
      <c r="BD186" s="257"/>
      <c r="BE186" s="257"/>
      <c r="BF186" s="257"/>
      <c r="BG186" s="257"/>
      <c r="BH186" s="257"/>
      <c r="BI186" s="257"/>
      <c r="BJ186" s="257"/>
      <c r="BK186" s="262"/>
      <c r="BL186" s="160"/>
      <c r="BM186" s="160"/>
      <c r="BN186" s="160"/>
      <c r="BO186" s="160"/>
      <c r="BP186" s="160"/>
      <c r="BQ186" s="160"/>
      <c r="BR186" s="8"/>
      <c r="BS186" s="8"/>
      <c r="BT186" s="8"/>
    </row>
    <row r="187" spans="2:72" s="13" customFormat="1" ht="22.5" customHeight="1">
      <c r="B187" s="36"/>
      <c r="H187" s="36"/>
      <c r="J187" s="278"/>
      <c r="K187" s="277"/>
      <c r="L187" s="277"/>
      <c r="M187" s="277"/>
      <c r="N187" s="277"/>
      <c r="O187" s="277"/>
      <c r="P187" s="277"/>
      <c r="Q187" s="277"/>
      <c r="R187" s="256"/>
      <c r="S187" s="277"/>
      <c r="T187" s="277"/>
      <c r="U187" s="277"/>
      <c r="V187" s="277"/>
      <c r="W187" s="257"/>
      <c r="X187" s="277"/>
      <c r="Y187" s="277"/>
      <c r="Z187" s="278"/>
      <c r="AA187" s="277"/>
      <c r="AB187" s="277"/>
      <c r="AC187" s="277"/>
      <c r="AD187" s="277"/>
      <c r="AE187" s="277"/>
      <c r="AF187" s="277"/>
      <c r="AG187" s="277"/>
      <c r="AH187" s="277"/>
      <c r="AI187" s="277"/>
      <c r="AJ187" s="277"/>
      <c r="AK187" s="278"/>
      <c r="AL187" s="277"/>
      <c r="AM187" s="277"/>
      <c r="AN187" s="277"/>
      <c r="AO187" s="277"/>
      <c r="AP187" s="277"/>
      <c r="AQ187" s="277"/>
      <c r="AR187" s="277"/>
      <c r="AS187" s="278"/>
      <c r="AT187" s="257"/>
      <c r="AU187" s="257"/>
      <c r="AV187" s="257"/>
      <c r="AW187" s="257"/>
      <c r="AX187" s="257"/>
      <c r="AY187" s="257"/>
      <c r="AZ187" s="257"/>
      <c r="BA187" s="257"/>
      <c r="BB187" s="262"/>
      <c r="BC187" s="257"/>
      <c r="BD187" s="257"/>
      <c r="BE187" s="257"/>
      <c r="BF187" s="257"/>
      <c r="BG187" s="257"/>
      <c r="BH187" s="257"/>
      <c r="BI187" s="257"/>
      <c r="BJ187" s="257"/>
      <c r="BK187" s="262"/>
      <c r="BL187" s="160"/>
      <c r="BM187" s="160"/>
      <c r="BN187" s="160"/>
      <c r="BO187" s="160"/>
      <c r="BP187" s="160"/>
      <c r="BQ187" s="160"/>
      <c r="BR187" s="8"/>
      <c r="BS187" s="8"/>
      <c r="BT187" s="8"/>
    </row>
    <row r="188" spans="2:72" s="36" customFormat="1" ht="22.5" customHeight="1">
      <c r="J188" s="262"/>
      <c r="K188" s="257"/>
      <c r="L188" s="257"/>
      <c r="M188" s="257"/>
      <c r="N188" s="257"/>
      <c r="O188" s="257"/>
      <c r="P188" s="257"/>
      <c r="Q188" s="257"/>
      <c r="R188" s="256"/>
      <c r="S188" s="257"/>
      <c r="T188" s="257"/>
      <c r="U188" s="257"/>
      <c r="V188" s="257"/>
      <c r="W188" s="257"/>
      <c r="X188" s="257"/>
      <c r="Y188" s="257"/>
      <c r="Z188" s="262"/>
      <c r="AA188" s="257"/>
      <c r="AB188" s="257"/>
      <c r="AC188" s="257"/>
      <c r="AD188" s="257"/>
      <c r="AE188" s="257"/>
      <c r="AF188" s="257"/>
      <c r="AG188" s="257"/>
      <c r="AH188" s="257"/>
      <c r="AI188" s="257"/>
      <c r="AJ188" s="257"/>
      <c r="AK188" s="262"/>
      <c r="AL188" s="257"/>
      <c r="AM188" s="257"/>
      <c r="AN188" s="257"/>
      <c r="AO188" s="257"/>
      <c r="AP188" s="257"/>
      <c r="AQ188" s="257"/>
      <c r="AR188" s="257"/>
      <c r="AS188" s="262"/>
      <c r="AT188" s="257"/>
      <c r="AU188" s="257"/>
      <c r="AV188" s="257"/>
      <c r="AW188" s="257"/>
      <c r="AX188" s="257"/>
      <c r="AY188" s="257"/>
      <c r="AZ188" s="257"/>
      <c r="BA188" s="257"/>
      <c r="BB188" s="262"/>
      <c r="BC188" s="257"/>
      <c r="BD188" s="257"/>
      <c r="BE188" s="257"/>
      <c r="BF188" s="257"/>
      <c r="BG188" s="257"/>
      <c r="BH188" s="257"/>
      <c r="BI188" s="257"/>
      <c r="BJ188" s="257"/>
      <c r="BK188" s="262"/>
      <c r="BL188" s="160"/>
      <c r="BM188" s="160"/>
      <c r="BN188" s="160"/>
      <c r="BO188" s="160"/>
      <c r="BP188" s="160"/>
      <c r="BQ188" s="160"/>
      <c r="BR188" s="8"/>
      <c r="BS188" s="8"/>
      <c r="BT188" s="8"/>
    </row>
    <row r="189" spans="2:72" s="36" customFormat="1" ht="22.5" customHeight="1">
      <c r="J189" s="262"/>
      <c r="K189" s="257"/>
      <c r="L189" s="257"/>
      <c r="M189" s="257"/>
      <c r="N189" s="257"/>
      <c r="O189" s="257"/>
      <c r="P189" s="257"/>
      <c r="Q189" s="257"/>
      <c r="R189" s="256"/>
      <c r="S189" s="257"/>
      <c r="T189" s="257"/>
      <c r="U189" s="257"/>
      <c r="V189" s="257"/>
      <c r="W189" s="257"/>
      <c r="X189" s="257"/>
      <c r="Y189" s="257"/>
      <c r="Z189" s="262"/>
      <c r="AA189" s="257"/>
      <c r="AB189" s="257"/>
      <c r="AC189" s="257"/>
      <c r="AD189" s="257"/>
      <c r="AE189" s="257"/>
      <c r="AF189" s="257"/>
      <c r="AG189" s="257"/>
      <c r="AH189" s="257"/>
      <c r="AI189" s="257"/>
      <c r="AJ189" s="257"/>
      <c r="AK189" s="262"/>
      <c r="AL189" s="257"/>
      <c r="AM189" s="257"/>
      <c r="AN189" s="257"/>
      <c r="AO189" s="257"/>
      <c r="AP189" s="257"/>
      <c r="AQ189" s="257"/>
      <c r="AR189" s="257"/>
      <c r="AS189" s="262"/>
      <c r="AT189" s="257"/>
      <c r="AU189" s="257"/>
      <c r="AV189" s="257"/>
      <c r="AW189" s="257"/>
      <c r="AX189" s="257"/>
      <c r="AY189" s="257"/>
      <c r="AZ189" s="257"/>
      <c r="BA189" s="257"/>
      <c r="BB189" s="262"/>
      <c r="BC189" s="257"/>
      <c r="BD189" s="257"/>
      <c r="BE189" s="257"/>
      <c r="BF189" s="257"/>
      <c r="BG189" s="257"/>
      <c r="BH189" s="257"/>
      <c r="BI189" s="257"/>
      <c r="BJ189" s="257"/>
      <c r="BK189" s="262"/>
      <c r="BL189" s="160"/>
      <c r="BM189" s="160"/>
      <c r="BN189" s="160"/>
      <c r="BO189" s="160"/>
      <c r="BP189" s="160"/>
      <c r="BQ189" s="160"/>
      <c r="BR189" s="8"/>
      <c r="BS189" s="8"/>
      <c r="BT189" s="8"/>
    </row>
    <row r="190" spans="2:72" s="36" customFormat="1" ht="22.5" customHeight="1">
      <c r="J190" s="262"/>
      <c r="K190" s="257"/>
      <c r="L190" s="257"/>
      <c r="M190" s="257"/>
      <c r="N190" s="257"/>
      <c r="O190" s="257"/>
      <c r="P190" s="257"/>
      <c r="Q190" s="257"/>
      <c r="R190" s="256"/>
      <c r="S190" s="257"/>
      <c r="T190" s="257"/>
      <c r="U190" s="257"/>
      <c r="V190" s="257"/>
      <c r="W190" s="257"/>
      <c r="X190" s="257"/>
      <c r="Y190" s="257"/>
      <c r="Z190" s="262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262"/>
      <c r="AL190" s="257"/>
      <c r="AM190" s="257"/>
      <c r="AN190" s="257"/>
      <c r="AO190" s="257"/>
      <c r="AP190" s="257"/>
      <c r="AQ190" s="257"/>
      <c r="AR190" s="257"/>
      <c r="AS190" s="262"/>
      <c r="AT190" s="257"/>
      <c r="AU190" s="257"/>
      <c r="AV190" s="257"/>
      <c r="AW190" s="257"/>
      <c r="AX190" s="257"/>
      <c r="AY190" s="257"/>
      <c r="AZ190" s="257"/>
      <c r="BA190" s="257"/>
      <c r="BB190" s="262"/>
      <c r="BC190" s="257"/>
      <c r="BD190" s="257"/>
      <c r="BE190" s="257"/>
      <c r="BF190" s="257"/>
      <c r="BG190" s="257"/>
      <c r="BH190" s="257"/>
      <c r="BI190" s="257"/>
      <c r="BJ190" s="257"/>
      <c r="BK190" s="262"/>
      <c r="BL190" s="160"/>
      <c r="BM190" s="160"/>
      <c r="BN190" s="160"/>
      <c r="BO190" s="160"/>
      <c r="BP190" s="160"/>
      <c r="BQ190" s="160"/>
      <c r="BR190" s="8"/>
      <c r="BS190" s="8"/>
      <c r="BT190" s="8"/>
    </row>
    <row r="191" spans="2:72" s="36" customFormat="1" ht="22.5" customHeight="1">
      <c r="J191" s="262"/>
      <c r="K191" s="257"/>
      <c r="L191" s="257"/>
      <c r="M191" s="257"/>
      <c r="N191" s="257"/>
      <c r="O191" s="257"/>
      <c r="P191" s="257"/>
      <c r="Q191" s="257"/>
      <c r="R191" s="256"/>
      <c r="S191" s="257"/>
      <c r="T191" s="257"/>
      <c r="U191" s="257"/>
      <c r="V191" s="257"/>
      <c r="W191" s="257"/>
      <c r="X191" s="257"/>
      <c r="Y191" s="257"/>
      <c r="Z191" s="262"/>
      <c r="AA191" s="257"/>
      <c r="AB191" s="257"/>
      <c r="AC191" s="257"/>
      <c r="AD191" s="257"/>
      <c r="AE191" s="257"/>
      <c r="AF191" s="257"/>
      <c r="AG191" s="257"/>
      <c r="AH191" s="257"/>
      <c r="AI191" s="257"/>
      <c r="AJ191" s="257"/>
      <c r="AK191" s="262"/>
      <c r="AL191" s="257"/>
      <c r="AM191" s="257"/>
      <c r="AN191" s="257"/>
      <c r="AO191" s="257"/>
      <c r="AP191" s="257"/>
      <c r="AQ191" s="257"/>
      <c r="AR191" s="257"/>
      <c r="AS191" s="262"/>
      <c r="AT191" s="257"/>
      <c r="AU191" s="257"/>
      <c r="AV191" s="257"/>
      <c r="AW191" s="257"/>
      <c r="AX191" s="257"/>
      <c r="AY191" s="257"/>
      <c r="AZ191" s="257"/>
      <c r="BA191" s="160"/>
      <c r="BB191" s="262"/>
      <c r="BC191" s="160"/>
      <c r="BD191" s="160"/>
      <c r="BE191" s="160"/>
      <c r="BF191" s="160"/>
      <c r="BG191" s="160"/>
      <c r="BH191" s="160"/>
      <c r="BI191" s="160"/>
      <c r="BJ191" s="257"/>
      <c r="BK191" s="262"/>
      <c r="BL191" s="160"/>
      <c r="BM191" s="160"/>
      <c r="BN191" s="160"/>
      <c r="BO191" s="160"/>
      <c r="BP191" s="160"/>
      <c r="BQ191" s="160"/>
      <c r="BR191" s="8"/>
      <c r="BS191" s="8"/>
      <c r="BT191" s="8"/>
    </row>
    <row r="192" spans="2:72" s="36" customFormat="1" ht="22.5" customHeight="1">
      <c r="J192" s="262"/>
      <c r="K192" s="257"/>
      <c r="L192" s="257"/>
      <c r="M192" s="257"/>
      <c r="N192" s="257"/>
      <c r="O192" s="257"/>
      <c r="P192" s="257"/>
      <c r="Q192" s="257"/>
      <c r="R192" s="256"/>
      <c r="S192" s="257"/>
      <c r="T192" s="257"/>
      <c r="U192" s="257"/>
      <c r="V192" s="257"/>
      <c r="W192" s="257"/>
      <c r="X192" s="257"/>
      <c r="Y192" s="257"/>
      <c r="Z192" s="262"/>
      <c r="AA192" s="257"/>
      <c r="AB192" s="257"/>
      <c r="AC192" s="257"/>
      <c r="AD192" s="257"/>
      <c r="AE192" s="257"/>
      <c r="AF192" s="257"/>
      <c r="AG192" s="257"/>
      <c r="AH192" s="257"/>
      <c r="AI192" s="257"/>
      <c r="AJ192" s="257"/>
      <c r="AK192" s="262"/>
      <c r="AL192" s="257"/>
      <c r="AM192" s="257"/>
      <c r="AN192" s="257"/>
      <c r="AO192" s="257"/>
      <c r="AP192" s="257"/>
      <c r="AQ192" s="257"/>
      <c r="AR192" s="257"/>
      <c r="AS192" s="262"/>
      <c r="AT192" s="257"/>
      <c r="AU192" s="257"/>
      <c r="AV192" s="257"/>
      <c r="AW192" s="257"/>
      <c r="AX192" s="257"/>
      <c r="AY192" s="257"/>
      <c r="AZ192" s="257"/>
      <c r="BA192" s="160"/>
      <c r="BB192" s="258"/>
      <c r="BC192" s="160"/>
      <c r="BD192" s="160"/>
      <c r="BE192" s="160"/>
      <c r="BF192" s="160"/>
      <c r="BG192" s="160"/>
      <c r="BH192" s="160"/>
      <c r="BI192" s="160"/>
      <c r="BJ192" s="257"/>
      <c r="BK192" s="262"/>
      <c r="BL192" s="160"/>
      <c r="BM192" s="160"/>
      <c r="BN192" s="160"/>
      <c r="BO192" s="160"/>
      <c r="BP192" s="160"/>
      <c r="BQ192" s="160"/>
      <c r="BR192" s="8"/>
      <c r="BS192" s="8"/>
      <c r="BT192" s="8"/>
    </row>
    <row r="193" spans="1:72" s="36" customFormat="1" ht="22.5" customHeight="1">
      <c r="J193" s="262"/>
      <c r="K193" s="257"/>
      <c r="L193" s="257"/>
      <c r="M193" s="257"/>
      <c r="N193" s="257"/>
      <c r="O193" s="257"/>
      <c r="P193" s="257"/>
      <c r="Q193" s="257"/>
      <c r="R193" s="256"/>
      <c r="S193" s="257"/>
      <c r="T193" s="257"/>
      <c r="U193" s="257"/>
      <c r="V193" s="257"/>
      <c r="W193" s="257"/>
      <c r="X193" s="257"/>
      <c r="Y193" s="257"/>
      <c r="Z193" s="262"/>
      <c r="AA193" s="257"/>
      <c r="AB193" s="257"/>
      <c r="AC193" s="257"/>
      <c r="AD193" s="257"/>
      <c r="AE193" s="257"/>
      <c r="AF193" s="257"/>
      <c r="AG193" s="257"/>
      <c r="AH193" s="257"/>
      <c r="AI193" s="257"/>
      <c r="AJ193" s="257"/>
      <c r="AK193" s="262"/>
      <c r="AL193" s="257"/>
      <c r="AM193" s="257"/>
      <c r="AN193" s="257"/>
      <c r="AO193" s="257"/>
      <c r="AP193" s="257"/>
      <c r="AQ193" s="257"/>
      <c r="AR193" s="257"/>
      <c r="AS193" s="262"/>
      <c r="AT193" s="160"/>
      <c r="AU193" s="160"/>
      <c r="AV193" s="160"/>
      <c r="AW193" s="160"/>
      <c r="AX193" s="160"/>
      <c r="AY193" s="160"/>
      <c r="AZ193" s="160"/>
      <c r="BA193" s="160"/>
      <c r="BB193" s="258"/>
      <c r="BC193" s="160"/>
      <c r="BD193" s="160"/>
      <c r="BE193" s="160"/>
      <c r="BF193" s="160"/>
      <c r="BG193" s="160"/>
      <c r="BH193" s="160"/>
      <c r="BI193" s="160"/>
      <c r="BJ193" s="257"/>
      <c r="BK193" s="262"/>
      <c r="BL193" s="160"/>
      <c r="BM193" s="160"/>
      <c r="BN193" s="160"/>
      <c r="BO193" s="160"/>
      <c r="BP193" s="160"/>
      <c r="BQ193" s="160"/>
      <c r="BR193" s="8"/>
      <c r="BS193" s="8"/>
      <c r="BT193" s="8"/>
    </row>
    <row r="194" spans="1:72" s="36" customFormat="1" ht="22.5" customHeight="1">
      <c r="J194" s="262"/>
      <c r="K194" s="257"/>
      <c r="L194" s="257"/>
      <c r="M194" s="257"/>
      <c r="N194" s="257"/>
      <c r="O194" s="257"/>
      <c r="P194" s="257"/>
      <c r="Q194" s="257"/>
      <c r="R194" s="256"/>
      <c r="S194" s="257"/>
      <c r="T194" s="257"/>
      <c r="U194" s="257"/>
      <c r="V194" s="257"/>
      <c r="W194" s="257"/>
      <c r="X194" s="257"/>
      <c r="Y194" s="257"/>
      <c r="Z194" s="262"/>
      <c r="AA194" s="257"/>
      <c r="AB194" s="257"/>
      <c r="AC194" s="257"/>
      <c r="AD194" s="257"/>
      <c r="AE194" s="257"/>
      <c r="AF194" s="257"/>
      <c r="AG194" s="257"/>
      <c r="AH194" s="257"/>
      <c r="AI194" s="257"/>
      <c r="AJ194" s="257"/>
      <c r="AK194" s="262"/>
      <c r="AL194" s="257"/>
      <c r="AM194" s="257"/>
      <c r="AN194" s="257"/>
      <c r="AO194" s="257"/>
      <c r="AP194" s="257"/>
      <c r="AQ194" s="257"/>
      <c r="AR194" s="257"/>
      <c r="AS194" s="262"/>
      <c r="AT194" s="160"/>
      <c r="AU194" s="160"/>
      <c r="AV194" s="160"/>
      <c r="AW194" s="160"/>
      <c r="AX194" s="160"/>
      <c r="AY194" s="160"/>
      <c r="AZ194" s="160"/>
      <c r="BA194" s="160"/>
      <c r="BB194" s="258"/>
      <c r="BC194" s="160"/>
      <c r="BD194" s="160"/>
      <c r="BE194" s="160"/>
      <c r="BF194" s="160"/>
      <c r="BG194" s="160"/>
      <c r="BH194" s="160"/>
      <c r="BI194" s="160"/>
      <c r="BJ194" s="160"/>
      <c r="BK194" s="262"/>
      <c r="BL194" s="160"/>
      <c r="BM194" s="160"/>
      <c r="BN194" s="160"/>
      <c r="BO194" s="160"/>
      <c r="BP194" s="160"/>
      <c r="BQ194" s="160"/>
      <c r="BR194" s="8"/>
      <c r="BS194" s="8"/>
      <c r="BT194" s="8"/>
    </row>
    <row r="195" spans="1:72" s="36" customFormat="1" ht="22.5" customHeight="1">
      <c r="J195" s="262"/>
      <c r="K195" s="257"/>
      <c r="L195" s="257"/>
      <c r="M195" s="257"/>
      <c r="N195" s="257"/>
      <c r="O195" s="257"/>
      <c r="P195" s="257"/>
      <c r="Q195" s="257"/>
      <c r="R195" s="256"/>
      <c r="S195" s="257"/>
      <c r="T195" s="257"/>
      <c r="U195" s="257"/>
      <c r="V195" s="257"/>
      <c r="W195" s="257"/>
      <c r="X195" s="257"/>
      <c r="Y195" s="257"/>
      <c r="Z195" s="262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262"/>
      <c r="AL195" s="257"/>
      <c r="AM195" s="257"/>
      <c r="AN195" s="257"/>
      <c r="AO195" s="257"/>
      <c r="AP195" s="257"/>
      <c r="AQ195" s="257"/>
      <c r="AR195" s="257"/>
      <c r="AS195" s="262"/>
      <c r="AT195" s="160"/>
      <c r="AU195" s="160"/>
      <c r="AV195" s="160"/>
      <c r="AW195" s="160"/>
      <c r="AX195" s="160"/>
      <c r="AY195" s="160"/>
      <c r="AZ195" s="160"/>
      <c r="BA195" s="160"/>
      <c r="BB195" s="258"/>
      <c r="BC195" s="160"/>
      <c r="BD195" s="160"/>
      <c r="BE195" s="160"/>
      <c r="BF195" s="160"/>
      <c r="BG195" s="160"/>
      <c r="BH195" s="160"/>
      <c r="BI195" s="160"/>
      <c r="BJ195" s="160"/>
      <c r="BK195" s="258"/>
      <c r="BL195" s="160"/>
      <c r="BM195" s="160"/>
      <c r="BN195" s="160"/>
      <c r="BO195" s="160"/>
      <c r="BP195" s="160"/>
      <c r="BQ195" s="160"/>
      <c r="BR195" s="8"/>
      <c r="BS195" s="8"/>
      <c r="BT195" s="8"/>
    </row>
    <row r="196" spans="1:72" s="36" customFormat="1" ht="22.5" customHeight="1">
      <c r="A196" s="106"/>
      <c r="J196" s="262"/>
      <c r="K196" s="257"/>
      <c r="L196" s="257"/>
      <c r="M196" s="257"/>
      <c r="N196" s="257"/>
      <c r="O196" s="257"/>
      <c r="P196" s="257"/>
      <c r="Q196" s="271"/>
      <c r="R196" s="256"/>
      <c r="S196" s="1903"/>
      <c r="T196" s="279"/>
      <c r="U196" s="280"/>
      <c r="V196" s="279"/>
      <c r="W196" s="241"/>
      <c r="X196" s="241"/>
      <c r="Y196" s="257"/>
      <c r="Z196" s="262"/>
      <c r="AA196" s="257"/>
      <c r="AB196" s="257"/>
      <c r="AC196" s="257"/>
      <c r="AD196" s="257"/>
      <c r="AE196" s="257"/>
      <c r="AF196" s="257"/>
      <c r="AG196" s="257"/>
      <c r="AH196" s="257"/>
      <c r="AI196" s="257"/>
      <c r="AJ196" s="257"/>
      <c r="AK196" s="262"/>
      <c r="AL196" s="257"/>
      <c r="AM196" s="257"/>
      <c r="AN196" s="257"/>
      <c r="AO196" s="257"/>
      <c r="AP196" s="257"/>
      <c r="AQ196" s="257"/>
      <c r="AR196" s="257"/>
      <c r="AS196" s="262"/>
      <c r="AT196" s="160"/>
      <c r="AU196" s="160"/>
      <c r="AV196" s="160"/>
      <c r="AW196" s="160"/>
      <c r="AX196" s="160"/>
      <c r="AY196" s="160"/>
      <c r="AZ196" s="160"/>
      <c r="BA196" s="160"/>
      <c r="BB196" s="258"/>
      <c r="BC196" s="160"/>
      <c r="BD196" s="160"/>
      <c r="BE196" s="160"/>
      <c r="BF196" s="160"/>
      <c r="BG196" s="160"/>
      <c r="BH196" s="160"/>
      <c r="BI196" s="160"/>
      <c r="BJ196" s="160"/>
      <c r="BK196" s="258"/>
      <c r="BL196" s="160"/>
      <c r="BM196" s="160"/>
      <c r="BN196" s="160"/>
      <c r="BO196" s="160"/>
      <c r="BP196" s="160"/>
      <c r="BQ196" s="160"/>
      <c r="BR196" s="8"/>
      <c r="BS196" s="8"/>
      <c r="BT196" s="8"/>
    </row>
    <row r="197" spans="1:72" s="36" customFormat="1" ht="22.5" customHeight="1">
      <c r="A197" s="106"/>
      <c r="J197" s="262"/>
      <c r="K197" s="257"/>
      <c r="L197" s="257"/>
      <c r="M197" s="257"/>
      <c r="N197" s="257"/>
      <c r="O197" s="257"/>
      <c r="P197" s="257"/>
      <c r="Q197" s="271"/>
      <c r="R197" s="256"/>
      <c r="S197" s="1903"/>
      <c r="T197" s="279"/>
      <c r="U197" s="280"/>
      <c r="V197" s="279"/>
      <c r="W197" s="241"/>
      <c r="X197" s="241"/>
      <c r="Y197" s="257"/>
      <c r="Z197" s="262"/>
      <c r="AA197" s="257"/>
      <c r="AB197" s="257"/>
      <c r="AC197" s="257"/>
      <c r="AD197" s="257"/>
      <c r="AE197" s="257"/>
      <c r="AF197" s="257"/>
      <c r="AG197" s="257"/>
      <c r="AH197" s="257"/>
      <c r="AI197" s="257"/>
      <c r="AJ197" s="257"/>
      <c r="AK197" s="262"/>
      <c r="AL197" s="257"/>
      <c r="AM197" s="257"/>
      <c r="AN197" s="257"/>
      <c r="AO197" s="257"/>
      <c r="AP197" s="257"/>
      <c r="AQ197" s="257"/>
      <c r="AR197" s="257"/>
      <c r="AS197" s="262"/>
      <c r="AT197" s="160"/>
      <c r="AU197" s="160"/>
      <c r="AV197" s="160"/>
      <c r="AW197" s="160"/>
      <c r="AX197" s="160"/>
      <c r="AY197" s="160"/>
      <c r="AZ197" s="160"/>
      <c r="BA197" s="160"/>
      <c r="BB197" s="258"/>
      <c r="BC197" s="160"/>
      <c r="BD197" s="160"/>
      <c r="BE197" s="160"/>
      <c r="BF197" s="160"/>
      <c r="BG197" s="160"/>
      <c r="BH197" s="160"/>
      <c r="BI197" s="160"/>
      <c r="BJ197" s="160"/>
      <c r="BK197" s="258"/>
      <c r="BL197" s="160"/>
      <c r="BM197" s="160"/>
      <c r="BN197" s="160"/>
      <c r="BO197" s="160"/>
      <c r="BP197" s="160"/>
      <c r="BQ197" s="160"/>
      <c r="BR197" s="8"/>
      <c r="BS197" s="8"/>
      <c r="BT197" s="8"/>
    </row>
    <row r="198" spans="1:72" s="36" customFormat="1" ht="22.5" customHeight="1">
      <c r="A198" s="106"/>
      <c r="B198" s="106"/>
      <c r="C198" s="1901"/>
      <c r="D198" s="1902"/>
      <c r="E198" s="107"/>
      <c r="F198" s="1902"/>
      <c r="G198" s="1902"/>
      <c r="H198" s="1902"/>
      <c r="I198" s="1902"/>
      <c r="J198" s="262"/>
      <c r="K198" s="257"/>
      <c r="L198" s="257"/>
      <c r="M198" s="257"/>
      <c r="N198" s="257"/>
      <c r="O198" s="257"/>
      <c r="P198" s="257"/>
      <c r="Q198" s="271"/>
      <c r="R198" s="256"/>
      <c r="S198" s="1903"/>
      <c r="T198" s="279"/>
      <c r="U198" s="280"/>
      <c r="V198" s="279"/>
      <c r="W198" s="241"/>
      <c r="X198" s="241"/>
      <c r="Y198" s="257"/>
      <c r="Z198" s="262"/>
      <c r="AA198" s="257"/>
      <c r="AB198" s="257"/>
      <c r="AC198" s="257"/>
      <c r="AD198" s="257"/>
      <c r="AE198" s="257"/>
      <c r="AF198" s="257"/>
      <c r="AG198" s="257"/>
      <c r="AH198" s="257"/>
      <c r="AI198" s="257"/>
      <c r="AJ198" s="257"/>
      <c r="AK198" s="262"/>
      <c r="AL198" s="257"/>
      <c r="AM198" s="257"/>
      <c r="AN198" s="257"/>
      <c r="AO198" s="257"/>
      <c r="AP198" s="257"/>
      <c r="AQ198" s="257"/>
      <c r="AR198" s="257"/>
      <c r="AS198" s="262"/>
      <c r="AT198" s="160"/>
      <c r="AU198" s="160"/>
      <c r="AV198" s="160"/>
      <c r="AW198" s="160"/>
      <c r="AX198" s="160"/>
      <c r="AY198" s="160"/>
      <c r="AZ198" s="160"/>
      <c r="BA198" s="160"/>
      <c r="BB198" s="258"/>
      <c r="BC198" s="160"/>
      <c r="BD198" s="160"/>
      <c r="BE198" s="160"/>
      <c r="BF198" s="160"/>
      <c r="BG198" s="160"/>
      <c r="BH198" s="160"/>
      <c r="BI198" s="160"/>
      <c r="BJ198" s="160"/>
      <c r="BK198" s="258"/>
      <c r="BL198" s="160"/>
      <c r="BM198" s="160"/>
      <c r="BN198" s="160"/>
      <c r="BO198" s="160"/>
      <c r="BP198" s="160"/>
      <c r="BQ198" s="160"/>
      <c r="BR198" s="8"/>
      <c r="BS198" s="8"/>
      <c r="BT198" s="8"/>
    </row>
    <row r="199" spans="1:72" s="36" customFormat="1" ht="22.5" customHeight="1">
      <c r="A199" s="106"/>
      <c r="B199" s="106"/>
      <c r="C199" s="1901"/>
      <c r="D199" s="1902"/>
      <c r="E199" s="107"/>
      <c r="F199" s="1902"/>
      <c r="G199" s="1902"/>
      <c r="H199" s="1902"/>
      <c r="I199" s="1902"/>
      <c r="J199" s="262"/>
      <c r="K199" s="257"/>
      <c r="L199" s="257"/>
      <c r="M199" s="257"/>
      <c r="N199" s="257"/>
      <c r="O199" s="257"/>
      <c r="P199" s="257"/>
      <c r="Q199" s="271"/>
      <c r="R199" s="256"/>
      <c r="S199" s="1903"/>
      <c r="T199" s="279"/>
      <c r="U199" s="280"/>
      <c r="V199" s="279"/>
      <c r="W199" s="241"/>
      <c r="X199" s="241"/>
      <c r="Y199" s="257"/>
      <c r="Z199" s="262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257"/>
      <c r="AK199" s="262"/>
      <c r="AL199" s="257"/>
      <c r="AM199" s="257"/>
      <c r="AN199" s="257"/>
      <c r="AO199" s="257"/>
      <c r="AP199" s="257"/>
      <c r="AQ199" s="257"/>
      <c r="AR199" s="257"/>
      <c r="AS199" s="262"/>
      <c r="AT199" s="160"/>
      <c r="AU199" s="160"/>
      <c r="AV199" s="160"/>
      <c r="AW199" s="160"/>
      <c r="AX199" s="160"/>
      <c r="AY199" s="160"/>
      <c r="AZ199" s="160"/>
      <c r="BA199" s="160"/>
      <c r="BB199" s="258"/>
      <c r="BC199" s="160"/>
      <c r="BD199" s="160"/>
      <c r="BE199" s="160"/>
      <c r="BF199" s="160"/>
      <c r="BG199" s="160"/>
      <c r="BH199" s="160"/>
      <c r="BI199" s="160"/>
      <c r="BJ199" s="160"/>
      <c r="BK199" s="258"/>
      <c r="BL199" s="160"/>
      <c r="BM199" s="160"/>
      <c r="BN199" s="160"/>
      <c r="BO199" s="160"/>
      <c r="BP199" s="160"/>
      <c r="BQ199" s="160"/>
      <c r="BR199" s="8"/>
      <c r="BS199" s="8"/>
      <c r="BT199" s="8"/>
    </row>
    <row r="200" spans="1:72" s="36" customFormat="1" ht="22.5" customHeight="1">
      <c r="A200" s="106"/>
      <c r="B200" s="106"/>
      <c r="C200" s="1901"/>
      <c r="D200" s="1902"/>
      <c r="E200" s="107"/>
      <c r="F200" s="1902"/>
      <c r="G200" s="1902"/>
      <c r="H200" s="1902"/>
      <c r="I200" s="1902"/>
      <c r="J200" s="262"/>
      <c r="K200" s="257"/>
      <c r="L200" s="257"/>
      <c r="M200" s="257"/>
      <c r="N200" s="257"/>
      <c r="O200" s="257"/>
      <c r="P200" s="257"/>
      <c r="Q200" s="271"/>
      <c r="R200" s="256"/>
      <c r="S200" s="1903"/>
      <c r="T200" s="279"/>
      <c r="U200" s="280"/>
      <c r="V200" s="279"/>
      <c r="W200" s="241"/>
      <c r="X200" s="241"/>
      <c r="Y200" s="257"/>
      <c r="Z200" s="262"/>
      <c r="AA200" s="257"/>
      <c r="AB200" s="257"/>
      <c r="AC200" s="257"/>
      <c r="AD200" s="257"/>
      <c r="AE200" s="257"/>
      <c r="AF200" s="257"/>
      <c r="AG200" s="257"/>
      <c r="AH200" s="257"/>
      <c r="AI200" s="257"/>
      <c r="AJ200" s="257"/>
      <c r="AK200" s="262"/>
      <c r="AL200" s="257"/>
      <c r="AM200" s="257"/>
      <c r="AN200" s="257"/>
      <c r="AO200" s="257"/>
      <c r="AP200" s="257"/>
      <c r="AQ200" s="257"/>
      <c r="AR200" s="257"/>
      <c r="AS200" s="262"/>
      <c r="AT200" s="160"/>
      <c r="AU200" s="160"/>
      <c r="AV200" s="160"/>
      <c r="AW200" s="160"/>
      <c r="AX200" s="160"/>
      <c r="AY200" s="160"/>
      <c r="AZ200" s="160"/>
      <c r="BA200" s="160"/>
      <c r="BB200" s="258"/>
      <c r="BC200" s="160"/>
      <c r="BD200" s="160"/>
      <c r="BE200" s="160"/>
      <c r="BF200" s="160"/>
      <c r="BG200" s="160"/>
      <c r="BH200" s="160"/>
      <c r="BI200" s="160"/>
      <c r="BJ200" s="160"/>
      <c r="BK200" s="258"/>
      <c r="BL200" s="160"/>
      <c r="BM200" s="160"/>
      <c r="BN200" s="160"/>
      <c r="BO200" s="160"/>
      <c r="BP200" s="160"/>
      <c r="BQ200" s="160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5">
    <mergeCell ref="X3:X4"/>
    <mergeCell ref="Y3:Y4"/>
    <mergeCell ref="AG3:AG4"/>
    <mergeCell ref="AP3:AP4"/>
    <mergeCell ref="AF3:AF4"/>
    <mergeCell ref="AV3:AV4"/>
    <mergeCell ref="AY3:AY4"/>
    <mergeCell ref="AQ3:AQ4"/>
    <mergeCell ref="AH3:AH4"/>
    <mergeCell ref="AI3:AI4"/>
    <mergeCell ref="AJ3:AJ4"/>
    <mergeCell ref="AB1:AF1"/>
    <mergeCell ref="K3:K4"/>
    <mergeCell ref="W1:AA1"/>
    <mergeCell ref="U3:U4"/>
    <mergeCell ref="V3:V4"/>
    <mergeCell ref="T3:T4"/>
    <mergeCell ref="AE3:AE4"/>
    <mergeCell ref="O3:O4"/>
    <mergeCell ref="P3:P4"/>
    <mergeCell ref="Q3:Q4"/>
    <mergeCell ref="L3:L4"/>
    <mergeCell ref="M3:M4"/>
    <mergeCell ref="N3:N4"/>
    <mergeCell ref="R3:R4"/>
    <mergeCell ref="S3:S4"/>
    <mergeCell ref="W3:W4"/>
    <mergeCell ref="A1:I1"/>
    <mergeCell ref="J1:N1"/>
    <mergeCell ref="P1:R1"/>
    <mergeCell ref="A3:A4"/>
    <mergeCell ref="B3:B4"/>
    <mergeCell ref="C3:C4"/>
    <mergeCell ref="D3:D4"/>
    <mergeCell ref="E3:E4"/>
    <mergeCell ref="H3:H4"/>
    <mergeCell ref="I3:I4"/>
    <mergeCell ref="G3:G4"/>
    <mergeCell ref="J3:J4"/>
    <mergeCell ref="F3:F4"/>
    <mergeCell ref="BR1:BT1"/>
    <mergeCell ref="AP1:AS1"/>
    <mergeCell ref="AT1:AX1"/>
    <mergeCell ref="BL1:BP1"/>
    <mergeCell ref="BG1:BJ1"/>
    <mergeCell ref="AY1:BB1"/>
    <mergeCell ref="BT3:BT4"/>
    <mergeCell ref="BQ3:BQ4"/>
    <mergeCell ref="BP3:BP4"/>
    <mergeCell ref="BR3:BR4"/>
    <mergeCell ref="BS3:BS4"/>
    <mergeCell ref="BO3:BO4"/>
    <mergeCell ref="BG3:BG4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AZ3:AZ4"/>
    <mergeCell ref="BB3:BB4"/>
    <mergeCell ref="AI1:AJ1"/>
    <mergeCell ref="AR3:AR4"/>
    <mergeCell ref="AM3:AM4"/>
    <mergeCell ref="AK3:AK4"/>
    <mergeCell ref="AO3:AO4"/>
    <mergeCell ref="AN3:AN4"/>
    <mergeCell ref="AL3:AL4"/>
    <mergeCell ref="BM3:BM4"/>
    <mergeCell ref="BN3:BN4"/>
    <mergeCell ref="BD3:BD4"/>
    <mergeCell ref="BC3:BC4"/>
    <mergeCell ref="BA3:BA4"/>
    <mergeCell ref="BJ3:BJ4"/>
    <mergeCell ref="BK3:BK4"/>
    <mergeCell ref="BE3:BE4"/>
    <mergeCell ref="BF3:BF4"/>
    <mergeCell ref="BH3:BH4"/>
    <mergeCell ref="BI3:BI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SheetLayoutView="100" workbookViewId="0">
      <pane xSplit="4" ySplit="3" topLeftCell="E31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O52" sqref="O52"/>
    </sheetView>
  </sheetViews>
  <sheetFormatPr defaultColWidth="9.140625" defaultRowHeight="12.75"/>
  <cols>
    <col min="1" max="1" width="2.28515625" style="417" customWidth="1"/>
    <col min="2" max="2" width="3" style="8" customWidth="1"/>
    <col min="3" max="3" width="2.85546875" style="900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.85546875" style="8" customWidth="1"/>
    <col min="11" max="12" width="6.7109375" style="8" customWidth="1"/>
    <col min="13" max="13" width="6.85546875" style="8" customWidth="1"/>
    <col min="14" max="14" width="6.7109375" style="8" customWidth="1"/>
    <col min="15" max="15" width="7.28515625" style="8" customWidth="1"/>
    <col min="16" max="16" width="6.85546875" style="8" customWidth="1"/>
    <col min="17" max="17" width="6.7109375" style="8" customWidth="1"/>
    <col min="18" max="18" width="6.140625" style="8" customWidth="1"/>
    <col min="19" max="21" width="7.85546875" style="8" customWidth="1"/>
    <col min="22" max="22" width="6.85546875" style="8" customWidth="1"/>
    <col min="23" max="16384" width="9.140625" style="8"/>
  </cols>
  <sheetData>
    <row r="1" spans="1:23" s="341" customFormat="1" ht="14.25" customHeight="1">
      <c r="A1" s="2457" t="s">
        <v>1542</v>
      </c>
      <c r="B1" s="2457"/>
      <c r="C1" s="2457"/>
      <c r="D1" s="2457"/>
      <c r="E1" s="2457"/>
      <c r="F1" s="2457"/>
      <c r="G1" s="2457"/>
      <c r="H1" s="2457"/>
      <c r="I1" s="2457"/>
      <c r="J1" s="2456" t="s">
        <v>1541</v>
      </c>
      <c r="K1" s="2456"/>
      <c r="L1" s="2456"/>
      <c r="M1" s="2456"/>
      <c r="N1" s="2456"/>
      <c r="O1" s="2456"/>
      <c r="P1" s="2456"/>
      <c r="Q1" s="2456"/>
      <c r="R1" s="2456"/>
      <c r="S1" s="1077"/>
      <c r="T1" s="2458" t="s">
        <v>1544</v>
      </c>
      <c r="U1" s="2458"/>
      <c r="V1" s="2458"/>
    </row>
    <row r="2" spans="1:23" s="78" customFormat="1" ht="48" customHeight="1">
      <c r="A2" s="2459" t="s">
        <v>25</v>
      </c>
      <c r="B2" s="2460"/>
      <c r="C2" s="2460"/>
      <c r="D2" s="2461"/>
      <c r="E2" s="898" t="s">
        <v>871</v>
      </c>
      <c r="F2" s="898" t="s">
        <v>872</v>
      </c>
      <c r="G2" s="898" t="s">
        <v>1793</v>
      </c>
      <c r="H2" s="898" t="s">
        <v>1792</v>
      </c>
      <c r="I2" s="898" t="s">
        <v>873</v>
      </c>
      <c r="J2" s="898" t="s">
        <v>874</v>
      </c>
      <c r="K2" s="898" t="s">
        <v>864</v>
      </c>
      <c r="L2" s="898" t="s">
        <v>875</v>
      </c>
      <c r="M2" s="898" t="s">
        <v>876</v>
      </c>
      <c r="N2" s="898" t="s">
        <v>877</v>
      </c>
      <c r="O2" s="1076" t="s">
        <v>878</v>
      </c>
      <c r="P2" s="898" t="s">
        <v>1122</v>
      </c>
      <c r="Q2" s="815" t="s">
        <v>1539</v>
      </c>
      <c r="R2" s="898" t="s">
        <v>1540</v>
      </c>
      <c r="S2" s="1076" t="s">
        <v>1556</v>
      </c>
      <c r="T2" s="898" t="s">
        <v>2034</v>
      </c>
      <c r="U2" s="1601" t="s">
        <v>2763</v>
      </c>
      <c r="V2" s="1340" t="s">
        <v>2289</v>
      </c>
    </row>
    <row r="3" spans="1:23" s="78" customFormat="1" ht="10.5" customHeight="1">
      <c r="A3" s="2462"/>
      <c r="B3" s="2463"/>
      <c r="C3" s="2463"/>
      <c r="D3" s="2464"/>
      <c r="E3" s="898">
        <v>1</v>
      </c>
      <c r="F3" s="898">
        <v>2</v>
      </c>
      <c r="G3" s="898">
        <v>3</v>
      </c>
      <c r="H3" s="898">
        <v>4</v>
      </c>
      <c r="I3" s="898">
        <v>5</v>
      </c>
      <c r="J3" s="898">
        <v>6</v>
      </c>
      <c r="K3" s="898">
        <v>7</v>
      </c>
      <c r="L3" s="898">
        <v>8</v>
      </c>
      <c r="M3" s="898">
        <v>9</v>
      </c>
      <c r="N3" s="898">
        <v>10</v>
      </c>
      <c r="O3" s="898">
        <v>11</v>
      </c>
      <c r="P3" s="898">
        <v>12</v>
      </c>
      <c r="Q3" s="898">
        <v>13</v>
      </c>
      <c r="R3" s="898">
        <v>14</v>
      </c>
      <c r="S3" s="1076">
        <v>15</v>
      </c>
      <c r="T3" s="898">
        <v>16</v>
      </c>
      <c r="U3" s="898">
        <v>17</v>
      </c>
      <c r="V3" s="898">
        <v>18</v>
      </c>
      <c r="W3" s="67"/>
    </row>
    <row r="4" spans="1:23" s="48" customFormat="1" ht="13.5" customHeight="1">
      <c r="A4" s="410" t="s">
        <v>82</v>
      </c>
      <c r="B4" s="2429" t="s">
        <v>83</v>
      </c>
      <c r="C4" s="2429"/>
      <c r="D4" s="2429"/>
      <c r="E4" s="470">
        <v>6</v>
      </c>
      <c r="F4" s="470">
        <v>6</v>
      </c>
      <c r="G4" s="470">
        <v>6</v>
      </c>
      <c r="H4" s="470">
        <v>5</v>
      </c>
      <c r="I4" s="470">
        <v>5</v>
      </c>
      <c r="J4" s="470">
        <v>5</v>
      </c>
      <c r="K4" s="470">
        <v>5</v>
      </c>
      <c r="L4" s="470">
        <v>5</v>
      </c>
      <c r="M4" s="470">
        <v>5</v>
      </c>
      <c r="N4" s="470">
        <v>5</v>
      </c>
      <c r="O4" s="470">
        <v>5</v>
      </c>
      <c r="P4" s="470">
        <v>5</v>
      </c>
      <c r="Q4" s="470">
        <v>5</v>
      </c>
      <c r="R4" s="470">
        <v>5</v>
      </c>
      <c r="S4" s="470">
        <v>5</v>
      </c>
      <c r="T4" s="470">
        <v>4</v>
      </c>
      <c r="U4" s="470">
        <v>4</v>
      </c>
      <c r="V4" s="470">
        <v>4</v>
      </c>
    </row>
    <row r="5" spans="1:23" s="379" customFormat="1" ht="13.5" customHeight="1">
      <c r="A5" s="411" t="s">
        <v>506</v>
      </c>
      <c r="B5" s="2446" t="s">
        <v>865</v>
      </c>
      <c r="C5" s="2446"/>
      <c r="D5" s="2446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</row>
    <row r="6" spans="1:23" s="379" customFormat="1" ht="12">
      <c r="A6" s="2429" t="s">
        <v>933</v>
      </c>
      <c r="B6" s="2429"/>
      <c r="C6" s="2429"/>
      <c r="D6" s="2429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</row>
    <row r="7" spans="1:23" s="379" customFormat="1" ht="12" customHeight="1">
      <c r="A7" s="413"/>
      <c r="B7" s="2437" t="s">
        <v>851</v>
      </c>
      <c r="C7" s="2437"/>
      <c r="D7" s="2437"/>
      <c r="E7" s="245">
        <v>8.5</v>
      </c>
      <c r="F7" s="245">
        <v>8.5</v>
      </c>
      <c r="G7" s="245">
        <v>8.5</v>
      </c>
      <c r="H7" s="245">
        <v>8.5</v>
      </c>
      <c r="I7" s="245">
        <v>7.5</v>
      </c>
      <c r="J7" s="245">
        <v>7.5</v>
      </c>
      <c r="K7" s="245">
        <v>7.5</v>
      </c>
      <c r="L7" s="245">
        <v>7.5</v>
      </c>
      <c r="M7" s="245">
        <v>7.5</v>
      </c>
      <c r="N7" s="245">
        <v>7.5</v>
      </c>
      <c r="O7" s="245">
        <v>7.5</v>
      </c>
      <c r="P7" s="245">
        <v>7.5</v>
      </c>
      <c r="Q7" s="245">
        <v>7.5</v>
      </c>
      <c r="R7" s="245">
        <v>5</v>
      </c>
      <c r="S7" s="245">
        <v>7.5</v>
      </c>
      <c r="T7" s="245">
        <v>7.5</v>
      </c>
      <c r="U7" s="245">
        <v>7.5</v>
      </c>
      <c r="V7" s="245">
        <v>7.5</v>
      </c>
    </row>
    <row r="8" spans="1:23" s="380" customFormat="1" ht="13.5" customHeight="1">
      <c r="A8" s="421"/>
      <c r="B8" s="2449" t="s">
        <v>861</v>
      </c>
      <c r="C8" s="2449"/>
      <c r="D8" s="2449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</row>
    <row r="9" spans="1:23" s="379" customFormat="1" ht="12.75" customHeight="1">
      <c r="A9" s="413"/>
      <c r="B9" s="382"/>
      <c r="C9" s="2441" t="s">
        <v>860</v>
      </c>
      <c r="D9" s="2441"/>
      <c r="E9" s="245">
        <v>10.5</v>
      </c>
      <c r="F9" s="245">
        <v>10.5</v>
      </c>
      <c r="G9" s="245">
        <v>10.5</v>
      </c>
      <c r="H9" s="245">
        <v>10.5</v>
      </c>
      <c r="I9" s="245">
        <v>9.5</v>
      </c>
      <c r="J9" s="245">
        <v>9.5</v>
      </c>
      <c r="K9" s="245">
        <v>9.5</v>
      </c>
      <c r="L9" s="245">
        <v>9.5</v>
      </c>
      <c r="M9" s="245">
        <v>9.5</v>
      </c>
      <c r="N9" s="245">
        <v>9.5</v>
      </c>
      <c r="O9" s="245">
        <v>10.4</v>
      </c>
      <c r="P9" s="245">
        <v>10.4</v>
      </c>
      <c r="Q9" s="245">
        <v>10.4</v>
      </c>
      <c r="R9" s="245">
        <v>5</v>
      </c>
      <c r="S9" s="245">
        <v>10.199999999999999</v>
      </c>
      <c r="T9" s="245">
        <v>10.199999999999999</v>
      </c>
      <c r="U9" s="245">
        <v>10.199999999999999</v>
      </c>
      <c r="V9" s="245">
        <v>10.199999999999999</v>
      </c>
    </row>
    <row r="10" spans="1:23" s="379" customFormat="1" ht="12.75" customHeight="1">
      <c r="A10" s="412"/>
      <c r="B10" s="387"/>
      <c r="C10" s="2442" t="s">
        <v>859</v>
      </c>
      <c r="D10" s="2442"/>
      <c r="E10" s="315">
        <v>11.5</v>
      </c>
      <c r="F10" s="315">
        <v>11.5</v>
      </c>
      <c r="G10" s="315">
        <v>11.5</v>
      </c>
      <c r="H10" s="315">
        <v>11.5</v>
      </c>
      <c r="I10" s="315">
        <v>10.5</v>
      </c>
      <c r="J10" s="315">
        <v>10.5</v>
      </c>
      <c r="K10" s="315">
        <v>10.5</v>
      </c>
      <c r="L10" s="315">
        <v>10.5</v>
      </c>
      <c r="M10" s="315">
        <v>10.5</v>
      </c>
      <c r="N10" s="315">
        <v>10.5</v>
      </c>
      <c r="O10" s="315">
        <v>11.4</v>
      </c>
      <c r="P10" s="315">
        <v>11.4</v>
      </c>
      <c r="Q10" s="315">
        <v>11.4</v>
      </c>
      <c r="R10" s="315">
        <v>5.5</v>
      </c>
      <c r="S10" s="315">
        <v>10.7</v>
      </c>
      <c r="T10" s="315">
        <v>10.7</v>
      </c>
      <c r="U10" s="315">
        <v>10.7</v>
      </c>
      <c r="V10" s="315">
        <v>10.7</v>
      </c>
    </row>
    <row r="11" spans="1:23" s="379" customFormat="1" ht="12.75" customHeight="1">
      <c r="A11" s="413"/>
      <c r="B11" s="382"/>
      <c r="C11" s="2441" t="s">
        <v>858</v>
      </c>
      <c r="D11" s="2441"/>
      <c r="E11" s="245">
        <v>12.5</v>
      </c>
      <c r="F11" s="245">
        <v>12.5</v>
      </c>
      <c r="G11" s="245">
        <v>12.5</v>
      </c>
      <c r="H11" s="245">
        <v>12.5</v>
      </c>
      <c r="I11" s="245">
        <v>11.5</v>
      </c>
      <c r="J11" s="245">
        <v>11.5</v>
      </c>
      <c r="K11" s="245">
        <v>11.5</v>
      </c>
      <c r="L11" s="245">
        <v>11.5</v>
      </c>
      <c r="M11" s="245">
        <v>11.5</v>
      </c>
      <c r="N11" s="245">
        <v>11.5</v>
      </c>
      <c r="O11" s="245" t="s">
        <v>2035</v>
      </c>
      <c r="P11" s="245" t="s">
        <v>2035</v>
      </c>
      <c r="Q11" s="245" t="s">
        <v>2045</v>
      </c>
      <c r="R11" s="245" t="s">
        <v>2046</v>
      </c>
      <c r="S11" s="245" t="s">
        <v>2045</v>
      </c>
      <c r="T11" s="245" t="s">
        <v>2045</v>
      </c>
      <c r="U11" s="245" t="s">
        <v>2045</v>
      </c>
      <c r="V11" s="245" t="s">
        <v>2045</v>
      </c>
    </row>
    <row r="12" spans="1:23" s="380" customFormat="1" ht="12.75" customHeight="1">
      <c r="A12" s="421"/>
      <c r="B12" s="2449" t="s">
        <v>854</v>
      </c>
      <c r="C12" s="2449"/>
      <c r="D12" s="2449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</row>
    <row r="13" spans="1:23" s="379" customFormat="1" ht="12.75" customHeight="1">
      <c r="A13" s="413"/>
      <c r="B13" s="382"/>
      <c r="C13" s="2437" t="s">
        <v>860</v>
      </c>
      <c r="D13" s="2437"/>
      <c r="E13" s="245">
        <v>9.5</v>
      </c>
      <c r="F13" s="245">
        <v>9.5</v>
      </c>
      <c r="G13" s="245">
        <v>9.5</v>
      </c>
      <c r="H13" s="245">
        <v>9.5</v>
      </c>
      <c r="I13" s="245">
        <v>8.5</v>
      </c>
      <c r="J13" s="245">
        <v>8.5</v>
      </c>
      <c r="K13" s="245">
        <v>8.5</v>
      </c>
      <c r="L13" s="245">
        <v>8.5</v>
      </c>
      <c r="M13" s="245">
        <v>8.5</v>
      </c>
      <c r="N13" s="245">
        <v>8.5</v>
      </c>
      <c r="O13" s="245">
        <v>10</v>
      </c>
      <c r="P13" s="245">
        <v>10</v>
      </c>
      <c r="Q13" s="245">
        <v>10</v>
      </c>
      <c r="R13" s="245">
        <v>4</v>
      </c>
      <c r="S13" s="245">
        <v>9</v>
      </c>
      <c r="T13" s="245">
        <v>9</v>
      </c>
      <c r="U13" s="245">
        <v>9</v>
      </c>
      <c r="V13" s="245">
        <v>9</v>
      </c>
    </row>
    <row r="14" spans="1:23" s="379" customFormat="1" ht="12.75" customHeight="1">
      <c r="A14" s="412"/>
      <c r="B14" s="387"/>
      <c r="C14" s="2447" t="s">
        <v>859</v>
      </c>
      <c r="D14" s="2447"/>
      <c r="E14" s="315">
        <v>10</v>
      </c>
      <c r="F14" s="315">
        <v>10</v>
      </c>
      <c r="G14" s="315">
        <v>10</v>
      </c>
      <c r="H14" s="315">
        <v>10</v>
      </c>
      <c r="I14" s="315">
        <v>9</v>
      </c>
      <c r="J14" s="315">
        <v>9</v>
      </c>
      <c r="K14" s="315">
        <v>9</v>
      </c>
      <c r="L14" s="315">
        <v>9</v>
      </c>
      <c r="M14" s="315">
        <v>9</v>
      </c>
      <c r="N14" s="315">
        <v>9</v>
      </c>
      <c r="O14" s="315">
        <v>10.5</v>
      </c>
      <c r="P14" s="315">
        <v>10.5</v>
      </c>
      <c r="Q14" s="315">
        <v>10.5</v>
      </c>
      <c r="R14" s="315">
        <v>4.5</v>
      </c>
      <c r="S14" s="315">
        <v>9.5</v>
      </c>
      <c r="T14" s="315">
        <v>9.5</v>
      </c>
      <c r="U14" s="315">
        <v>9.5</v>
      </c>
      <c r="V14" s="315">
        <v>9.5</v>
      </c>
    </row>
    <row r="15" spans="1:23" s="379" customFormat="1" ht="12.75" customHeight="1">
      <c r="A15" s="413"/>
      <c r="B15" s="382"/>
      <c r="C15" s="2437" t="s">
        <v>858</v>
      </c>
      <c r="D15" s="2437"/>
      <c r="E15" s="245">
        <v>10.5</v>
      </c>
      <c r="F15" s="245">
        <v>10.5</v>
      </c>
      <c r="G15" s="245">
        <v>10.5</v>
      </c>
      <c r="H15" s="245">
        <v>10.5</v>
      </c>
      <c r="I15" s="245">
        <v>9.5</v>
      </c>
      <c r="J15" s="245">
        <v>9.5</v>
      </c>
      <c r="K15" s="245">
        <v>9.5</v>
      </c>
      <c r="L15" s="245">
        <v>9.5</v>
      </c>
      <c r="M15" s="245">
        <v>9.5</v>
      </c>
      <c r="N15" s="245">
        <v>9.5</v>
      </c>
      <c r="O15" s="245">
        <v>11</v>
      </c>
      <c r="P15" s="245">
        <v>11</v>
      </c>
      <c r="Q15" s="245">
        <v>11</v>
      </c>
      <c r="R15" s="245">
        <v>5</v>
      </c>
      <c r="S15" s="245">
        <v>10</v>
      </c>
      <c r="T15" s="245">
        <v>10</v>
      </c>
      <c r="U15" s="245">
        <v>10</v>
      </c>
      <c r="V15" s="245">
        <v>10</v>
      </c>
    </row>
    <row r="16" spans="1:23" s="379" customFormat="1" ht="13.5" customHeight="1">
      <c r="A16" s="2466" t="s">
        <v>934</v>
      </c>
      <c r="B16" s="2466"/>
      <c r="C16" s="2466"/>
      <c r="D16" s="2466"/>
      <c r="E16" s="284"/>
      <c r="F16" s="284"/>
      <c r="G16" s="284"/>
      <c r="H16" s="284"/>
      <c r="I16" s="284"/>
      <c r="J16" s="284"/>
      <c r="K16" s="284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</row>
    <row r="17" spans="1:22" s="379" customFormat="1" ht="12" customHeight="1">
      <c r="A17" s="415"/>
      <c r="B17" s="2445" t="s">
        <v>866</v>
      </c>
      <c r="C17" s="2445"/>
      <c r="D17" s="2445"/>
      <c r="E17" s="226">
        <v>13.5</v>
      </c>
      <c r="F17" s="226">
        <v>12</v>
      </c>
      <c r="G17" s="226">
        <v>12</v>
      </c>
      <c r="H17" s="226">
        <v>12</v>
      </c>
      <c r="I17" s="226">
        <v>12</v>
      </c>
      <c r="J17" s="226">
        <v>11.5</v>
      </c>
      <c r="K17" s="226">
        <v>11.5</v>
      </c>
      <c r="L17" s="226">
        <v>10</v>
      </c>
      <c r="M17" s="250">
        <v>10</v>
      </c>
      <c r="N17" s="250">
        <v>10</v>
      </c>
      <c r="O17" s="250" t="s">
        <v>2036</v>
      </c>
      <c r="P17" s="250" t="s">
        <v>2036</v>
      </c>
      <c r="Q17" s="250" t="s">
        <v>2047</v>
      </c>
      <c r="R17" s="250" t="s">
        <v>2047</v>
      </c>
      <c r="S17" s="250" t="s">
        <v>2047</v>
      </c>
      <c r="T17" s="250" t="s">
        <v>2047</v>
      </c>
      <c r="U17" s="250" t="s">
        <v>2047</v>
      </c>
      <c r="V17" s="250" t="s">
        <v>2047</v>
      </c>
    </row>
    <row r="18" spans="1:22" s="379" customFormat="1" ht="12" customHeight="1">
      <c r="A18" s="414"/>
      <c r="B18" s="2443" t="s">
        <v>867</v>
      </c>
      <c r="C18" s="2443"/>
      <c r="D18" s="2443"/>
      <c r="E18" s="284">
        <v>14.5</v>
      </c>
      <c r="F18" s="284">
        <v>12.5</v>
      </c>
      <c r="G18" s="284">
        <v>12.5</v>
      </c>
      <c r="H18" s="284">
        <v>12.5</v>
      </c>
      <c r="I18" s="284">
        <v>12.5</v>
      </c>
      <c r="J18" s="284">
        <v>12</v>
      </c>
      <c r="K18" s="284">
        <v>12</v>
      </c>
      <c r="L18" s="284">
        <v>10.5</v>
      </c>
      <c r="M18" s="289">
        <v>10.5</v>
      </c>
      <c r="N18" s="289">
        <v>10.5</v>
      </c>
      <c r="O18" s="289" t="s">
        <v>2037</v>
      </c>
      <c r="P18" s="284" t="s">
        <v>2037</v>
      </c>
      <c r="Q18" s="284" t="s">
        <v>2048</v>
      </c>
      <c r="R18" s="284" t="s">
        <v>2048</v>
      </c>
      <c r="S18" s="284" t="s">
        <v>2048</v>
      </c>
      <c r="T18" s="284" t="s">
        <v>2048</v>
      </c>
      <c r="U18" s="284" t="s">
        <v>2048</v>
      </c>
      <c r="V18" s="284" t="s">
        <v>2048</v>
      </c>
    </row>
    <row r="19" spans="1:22" s="379" customFormat="1" ht="12" customHeight="1">
      <c r="A19" s="415"/>
      <c r="B19" s="2465" t="s">
        <v>868</v>
      </c>
      <c r="C19" s="2465"/>
      <c r="D19" s="2465"/>
      <c r="E19" s="473" t="s">
        <v>584</v>
      </c>
      <c r="F19" s="473" t="s">
        <v>584</v>
      </c>
      <c r="G19" s="473" t="s">
        <v>584</v>
      </c>
      <c r="H19" s="473" t="s">
        <v>584</v>
      </c>
      <c r="I19" s="473" t="s">
        <v>584</v>
      </c>
      <c r="J19" s="473">
        <v>12.5</v>
      </c>
      <c r="K19" s="357">
        <v>12.5</v>
      </c>
      <c r="L19" s="226">
        <v>12.5</v>
      </c>
      <c r="M19" s="226">
        <v>11</v>
      </c>
      <c r="N19" s="250">
        <v>11</v>
      </c>
      <c r="O19" s="250" t="s">
        <v>2037</v>
      </c>
      <c r="P19" s="250" t="s">
        <v>2037</v>
      </c>
      <c r="Q19" s="250" t="s">
        <v>2049</v>
      </c>
      <c r="R19" s="250" t="s">
        <v>2049</v>
      </c>
      <c r="S19" s="250" t="s">
        <v>2049</v>
      </c>
      <c r="T19" s="250" t="s">
        <v>2049</v>
      </c>
      <c r="U19" s="250" t="s">
        <v>2049</v>
      </c>
      <c r="V19" s="250" t="s">
        <v>2049</v>
      </c>
    </row>
    <row r="20" spans="1:22" s="379" customFormat="1" ht="12.75" customHeight="1">
      <c r="A20" s="414"/>
      <c r="B20" s="2468" t="s">
        <v>869</v>
      </c>
      <c r="C20" s="2468"/>
      <c r="D20" s="2468"/>
      <c r="E20" s="474" t="s">
        <v>584</v>
      </c>
      <c r="F20" s="474" t="s">
        <v>584</v>
      </c>
      <c r="G20" s="474" t="s">
        <v>584</v>
      </c>
      <c r="H20" s="474" t="s">
        <v>584</v>
      </c>
      <c r="I20" s="474" t="s">
        <v>584</v>
      </c>
      <c r="J20" s="474" t="s">
        <v>584</v>
      </c>
      <c r="K20" s="474" t="s">
        <v>584</v>
      </c>
      <c r="L20" s="474" t="s">
        <v>584</v>
      </c>
      <c r="M20" s="474">
        <v>11.04</v>
      </c>
      <c r="N20" s="289">
        <v>11.04</v>
      </c>
      <c r="O20" s="289" t="s">
        <v>2038</v>
      </c>
      <c r="P20" s="288" t="s">
        <v>2038</v>
      </c>
      <c r="Q20" s="288" t="s">
        <v>2050</v>
      </c>
      <c r="R20" s="288" t="s">
        <v>2050</v>
      </c>
      <c r="S20" s="288" t="s">
        <v>2050</v>
      </c>
      <c r="T20" s="288" t="s">
        <v>2050</v>
      </c>
      <c r="U20" s="288" t="s">
        <v>2050</v>
      </c>
      <c r="V20" s="288" t="s">
        <v>2050</v>
      </c>
    </row>
    <row r="21" spans="1:22" s="379" customFormat="1" ht="12.75" customHeight="1">
      <c r="A21" s="2467" t="s">
        <v>1339</v>
      </c>
      <c r="B21" s="2467"/>
      <c r="C21" s="2467"/>
      <c r="D21" s="2467"/>
      <c r="E21" s="165"/>
      <c r="F21" s="165"/>
      <c r="G21" s="165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</row>
    <row r="22" spans="1:22" s="379" customFormat="1" ht="12.75" customHeight="1">
      <c r="A22" s="414"/>
      <c r="B22" s="389"/>
      <c r="C22" s="2433" t="s">
        <v>845</v>
      </c>
      <c r="D22" s="2433"/>
      <c r="E22" s="409" t="s">
        <v>844</v>
      </c>
      <c r="F22" s="409" t="s">
        <v>844</v>
      </c>
      <c r="G22" s="409" t="s">
        <v>844</v>
      </c>
      <c r="H22" s="409" t="s">
        <v>844</v>
      </c>
      <c r="I22" s="409" t="s">
        <v>844</v>
      </c>
      <c r="J22" s="409" t="s">
        <v>844</v>
      </c>
      <c r="K22" s="409" t="s">
        <v>844</v>
      </c>
      <c r="L22" s="409" t="s">
        <v>844</v>
      </c>
      <c r="M22" s="409" t="s">
        <v>844</v>
      </c>
      <c r="N22" s="409" t="s">
        <v>844</v>
      </c>
      <c r="O22" s="409" t="s">
        <v>844</v>
      </c>
      <c r="P22" s="409" t="s">
        <v>844</v>
      </c>
      <c r="Q22" s="409" t="s">
        <v>844</v>
      </c>
      <c r="R22" s="409" t="s">
        <v>844</v>
      </c>
      <c r="S22" s="409" t="s">
        <v>844</v>
      </c>
      <c r="T22" s="409" t="s">
        <v>844</v>
      </c>
      <c r="U22" s="409" t="s">
        <v>844</v>
      </c>
      <c r="V22" s="409" t="s">
        <v>844</v>
      </c>
    </row>
    <row r="23" spans="1:22" s="379" customFormat="1" ht="12.75" customHeight="1">
      <c r="A23" s="415"/>
      <c r="B23" s="165"/>
      <c r="C23" s="2434" t="s">
        <v>846</v>
      </c>
      <c r="D23" s="2434"/>
      <c r="E23" s="431">
        <v>9</v>
      </c>
      <c r="F23" s="431">
        <v>9</v>
      </c>
      <c r="G23" s="431">
        <v>9</v>
      </c>
      <c r="H23" s="431">
        <v>9</v>
      </c>
      <c r="I23" s="431">
        <v>9</v>
      </c>
      <c r="J23" s="431">
        <v>9</v>
      </c>
      <c r="K23" s="431">
        <v>9</v>
      </c>
      <c r="L23" s="431">
        <v>9</v>
      </c>
      <c r="M23" s="431">
        <v>7.5</v>
      </c>
      <c r="N23" s="431">
        <v>8.5</v>
      </c>
      <c r="O23" s="431">
        <v>8.5</v>
      </c>
      <c r="P23" s="431">
        <v>8.6999999999999993</v>
      </c>
      <c r="Q23" s="431">
        <v>8.6999999999999993</v>
      </c>
      <c r="R23" s="431">
        <v>8.6999999999999993</v>
      </c>
      <c r="S23" s="431">
        <v>8.6999999999999993</v>
      </c>
      <c r="T23" s="431">
        <v>8.6999999999999993</v>
      </c>
      <c r="U23" s="431">
        <v>8.6999999999999993</v>
      </c>
      <c r="V23" s="431">
        <v>8.6999999999999993</v>
      </c>
    </row>
    <row r="24" spans="1:22" s="379" customFormat="1" ht="12.75" customHeight="1">
      <c r="A24" s="414"/>
      <c r="B24" s="389"/>
      <c r="C24" s="2433" t="s">
        <v>847</v>
      </c>
      <c r="D24" s="2433"/>
      <c r="E24" s="296">
        <v>10</v>
      </c>
      <c r="F24" s="296">
        <v>10</v>
      </c>
      <c r="G24" s="296">
        <v>10</v>
      </c>
      <c r="H24" s="296">
        <v>10</v>
      </c>
      <c r="I24" s="296">
        <v>10</v>
      </c>
      <c r="J24" s="296">
        <v>10</v>
      </c>
      <c r="K24" s="296">
        <v>10</v>
      </c>
      <c r="L24" s="296">
        <v>10</v>
      </c>
      <c r="M24" s="296">
        <v>8.25</v>
      </c>
      <c r="N24" s="296">
        <v>9.25</v>
      </c>
      <c r="O24" s="296">
        <v>9.25</v>
      </c>
      <c r="P24" s="296">
        <v>9.4499999999999993</v>
      </c>
      <c r="Q24" s="296">
        <v>9.4499999999999993</v>
      </c>
      <c r="R24" s="296">
        <v>9.4499999999999993</v>
      </c>
      <c r="S24" s="296">
        <v>9.4499999999999993</v>
      </c>
      <c r="T24" s="296">
        <v>9.4499999999999993</v>
      </c>
      <c r="U24" s="296">
        <v>9.4499999999999993</v>
      </c>
      <c r="V24" s="296">
        <v>9.4499999999999993</v>
      </c>
    </row>
    <row r="25" spans="1:22" s="379" customFormat="1" ht="12.75" customHeight="1">
      <c r="A25" s="415"/>
      <c r="B25" s="165"/>
      <c r="C25" s="2434" t="s">
        <v>848</v>
      </c>
      <c r="D25" s="2434"/>
      <c r="E25" s="431">
        <v>11</v>
      </c>
      <c r="F25" s="431">
        <v>11</v>
      </c>
      <c r="G25" s="431">
        <v>11</v>
      </c>
      <c r="H25" s="431">
        <v>11</v>
      </c>
      <c r="I25" s="431">
        <v>11</v>
      </c>
      <c r="J25" s="431">
        <v>11</v>
      </c>
      <c r="K25" s="431">
        <v>11</v>
      </c>
      <c r="L25" s="431">
        <v>11</v>
      </c>
      <c r="M25" s="431">
        <v>9</v>
      </c>
      <c r="N25" s="431">
        <v>10</v>
      </c>
      <c r="O25" s="431">
        <v>10</v>
      </c>
      <c r="P25" s="431">
        <v>10.199999999999999</v>
      </c>
      <c r="Q25" s="431">
        <v>10.199999999999999</v>
      </c>
      <c r="R25" s="431">
        <v>10.199999999999999</v>
      </c>
      <c r="S25" s="431">
        <v>10.199999999999999</v>
      </c>
      <c r="T25" s="431">
        <v>10.199999999999999</v>
      </c>
      <c r="U25" s="431">
        <v>10.199999999999999</v>
      </c>
      <c r="V25" s="431">
        <v>10.199999999999999</v>
      </c>
    </row>
    <row r="26" spans="1:22" s="379" customFormat="1" ht="12.75" customHeight="1">
      <c r="A26" s="414"/>
      <c r="B26" s="389"/>
      <c r="C26" s="2435" t="s">
        <v>849</v>
      </c>
      <c r="D26" s="2435"/>
      <c r="E26" s="294">
        <v>12</v>
      </c>
      <c r="F26" s="294">
        <v>12</v>
      </c>
      <c r="G26" s="294">
        <v>12</v>
      </c>
      <c r="H26" s="294">
        <v>12</v>
      </c>
      <c r="I26" s="294">
        <v>12</v>
      </c>
      <c r="J26" s="294">
        <v>12</v>
      </c>
      <c r="K26" s="294">
        <v>12</v>
      </c>
      <c r="L26" s="294">
        <v>12</v>
      </c>
      <c r="M26" s="294">
        <v>10.5</v>
      </c>
      <c r="N26" s="294">
        <v>11</v>
      </c>
      <c r="O26" s="294">
        <v>11</v>
      </c>
      <c r="P26" s="294">
        <v>11.2</v>
      </c>
      <c r="Q26" s="294">
        <v>11.2</v>
      </c>
      <c r="R26" s="294">
        <v>11.2</v>
      </c>
      <c r="S26" s="294">
        <v>11.2</v>
      </c>
      <c r="T26" s="294">
        <v>11.2</v>
      </c>
      <c r="U26" s="294">
        <v>11.2</v>
      </c>
      <c r="V26" s="294">
        <v>11.2</v>
      </c>
    </row>
    <row r="27" spans="1:22" s="385" customFormat="1" ht="12.75" customHeight="1">
      <c r="A27" s="415"/>
      <c r="B27" s="166"/>
      <c r="C27" s="2436" t="s">
        <v>850</v>
      </c>
      <c r="D27" s="2436"/>
      <c r="E27" s="27">
        <v>12</v>
      </c>
      <c r="F27" s="27">
        <v>12</v>
      </c>
      <c r="G27" s="27">
        <v>12</v>
      </c>
      <c r="H27" s="27">
        <v>12</v>
      </c>
      <c r="I27" s="27">
        <v>12</v>
      </c>
      <c r="J27" s="27">
        <v>12</v>
      </c>
      <c r="K27" s="27">
        <v>12</v>
      </c>
      <c r="L27" s="27">
        <v>12</v>
      </c>
      <c r="M27" s="27">
        <v>10.5</v>
      </c>
      <c r="N27" s="27" t="s">
        <v>2039</v>
      </c>
      <c r="O27" s="27" t="s">
        <v>2039</v>
      </c>
      <c r="P27" s="27" t="s">
        <v>2051</v>
      </c>
      <c r="Q27" s="27" t="s">
        <v>2051</v>
      </c>
      <c r="R27" s="27" t="s">
        <v>2051</v>
      </c>
      <c r="S27" s="27" t="s">
        <v>2051</v>
      </c>
      <c r="T27" s="27" t="s">
        <v>2051</v>
      </c>
      <c r="U27" s="27" t="s">
        <v>2051</v>
      </c>
      <c r="V27" s="27" t="s">
        <v>2051</v>
      </c>
    </row>
    <row r="28" spans="1:22" s="379" customFormat="1">
      <c r="A28" s="2448" t="s">
        <v>1340</v>
      </c>
      <c r="B28" s="2448"/>
      <c r="C28" s="2448"/>
      <c r="D28" s="2448"/>
      <c r="E28" s="386"/>
      <c r="F28" s="386"/>
      <c r="G28" s="386"/>
      <c r="H28" s="386"/>
      <c r="I28" s="386"/>
      <c r="J28" s="386"/>
      <c r="K28" s="386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</row>
    <row r="29" spans="1:22" s="379" customFormat="1" ht="12.75" customHeight="1">
      <c r="A29" s="413"/>
      <c r="B29" s="382"/>
      <c r="C29" s="2451" t="s">
        <v>855</v>
      </c>
      <c r="D29" s="2451"/>
      <c r="E29" s="245" t="s">
        <v>584</v>
      </c>
      <c r="F29" s="245" t="s">
        <v>584</v>
      </c>
      <c r="G29" s="1130" t="s">
        <v>842</v>
      </c>
      <c r="H29" s="419" t="s">
        <v>842</v>
      </c>
      <c r="I29" s="419" t="s">
        <v>842</v>
      </c>
      <c r="J29" s="419" t="s">
        <v>842</v>
      </c>
      <c r="K29" s="419" t="s">
        <v>842</v>
      </c>
      <c r="L29" s="419" t="s">
        <v>842</v>
      </c>
      <c r="M29" s="419" t="s">
        <v>842</v>
      </c>
      <c r="N29" s="419" t="s">
        <v>842</v>
      </c>
      <c r="O29" s="419" t="s">
        <v>842</v>
      </c>
      <c r="P29" s="419" t="s">
        <v>842</v>
      </c>
      <c r="Q29" s="419" t="s">
        <v>842</v>
      </c>
      <c r="R29" s="419" t="s">
        <v>842</v>
      </c>
      <c r="S29" s="419" t="s">
        <v>842</v>
      </c>
      <c r="T29" s="419" t="s">
        <v>842</v>
      </c>
      <c r="U29" s="419" t="s">
        <v>842</v>
      </c>
      <c r="V29" s="419" t="s">
        <v>842</v>
      </c>
    </row>
    <row r="30" spans="1:22" s="379" customFormat="1" ht="12.75" customHeight="1">
      <c r="A30" s="412"/>
      <c r="B30" s="387"/>
      <c r="C30" s="2433" t="s">
        <v>856</v>
      </c>
      <c r="D30" s="2433"/>
      <c r="E30" s="315" t="s">
        <v>584</v>
      </c>
      <c r="F30" s="315" t="s">
        <v>584</v>
      </c>
      <c r="G30" s="315">
        <v>6.5</v>
      </c>
      <c r="H30" s="296">
        <v>6.5</v>
      </c>
      <c r="I30" s="296">
        <v>6.5</v>
      </c>
      <c r="J30" s="296">
        <v>6.5</v>
      </c>
      <c r="K30" s="296">
        <v>6.5</v>
      </c>
      <c r="L30" s="296">
        <v>6.5</v>
      </c>
      <c r="M30" s="296">
        <v>6.5</v>
      </c>
      <c r="N30" s="296">
        <v>6.5</v>
      </c>
      <c r="O30" s="296">
        <v>6.5</v>
      </c>
      <c r="P30" s="296">
        <v>6.5</v>
      </c>
      <c r="Q30" s="296">
        <v>6.5</v>
      </c>
      <c r="R30" s="296">
        <v>6.5</v>
      </c>
      <c r="S30" s="296">
        <v>6.5</v>
      </c>
      <c r="T30" s="296">
        <v>6.5</v>
      </c>
      <c r="U30" s="296">
        <v>4.5</v>
      </c>
      <c r="V30" s="296">
        <v>6.5</v>
      </c>
    </row>
    <row r="31" spans="1:22" s="379" customFormat="1" ht="12.75" customHeight="1">
      <c r="A31" s="413"/>
      <c r="B31" s="382"/>
      <c r="C31" s="2434" t="s">
        <v>857</v>
      </c>
      <c r="D31" s="2434"/>
      <c r="E31" s="245" t="s">
        <v>584</v>
      </c>
      <c r="F31" s="245" t="s">
        <v>584</v>
      </c>
      <c r="G31" s="245">
        <v>7</v>
      </c>
      <c r="H31" s="431">
        <v>7</v>
      </c>
      <c r="I31" s="431">
        <v>7</v>
      </c>
      <c r="J31" s="431">
        <v>7</v>
      </c>
      <c r="K31" s="431">
        <v>7</v>
      </c>
      <c r="L31" s="431">
        <v>7</v>
      </c>
      <c r="M31" s="431">
        <v>7</v>
      </c>
      <c r="N31" s="431">
        <v>7</v>
      </c>
      <c r="O31" s="431">
        <v>7</v>
      </c>
      <c r="P31" s="431">
        <v>7</v>
      </c>
      <c r="Q31" s="431">
        <v>7</v>
      </c>
      <c r="R31" s="431">
        <v>7</v>
      </c>
      <c r="S31" s="431">
        <v>7</v>
      </c>
      <c r="T31" s="431">
        <v>7</v>
      </c>
      <c r="U31" s="431">
        <v>5</v>
      </c>
      <c r="V31" s="431">
        <v>7</v>
      </c>
    </row>
    <row r="32" spans="1:22" s="379" customFormat="1" ht="12" customHeight="1">
      <c r="A32" s="412"/>
      <c r="B32" s="387"/>
      <c r="C32" s="2444" t="s">
        <v>870</v>
      </c>
      <c r="D32" s="2444"/>
      <c r="E32" s="315" t="s">
        <v>584</v>
      </c>
      <c r="F32" s="315" t="s">
        <v>584</v>
      </c>
      <c r="G32" s="315">
        <v>7.5</v>
      </c>
      <c r="H32" s="296">
        <v>7.5</v>
      </c>
      <c r="I32" s="296">
        <v>7.5</v>
      </c>
      <c r="J32" s="296">
        <v>7.5</v>
      </c>
      <c r="K32" s="296">
        <v>7.5</v>
      </c>
      <c r="L32" s="296">
        <v>7.5</v>
      </c>
      <c r="M32" s="296">
        <v>7.5</v>
      </c>
      <c r="N32" s="296">
        <v>7.5</v>
      </c>
      <c r="O32" s="296">
        <v>7.5</v>
      </c>
      <c r="P32" s="296">
        <v>7.5</v>
      </c>
      <c r="Q32" s="296">
        <v>7.5</v>
      </c>
      <c r="R32" s="296">
        <v>7.5</v>
      </c>
      <c r="S32" s="296">
        <v>7.5</v>
      </c>
      <c r="T32" s="296">
        <v>7.5</v>
      </c>
      <c r="U32" s="296">
        <v>5.5</v>
      </c>
      <c r="V32" s="296">
        <v>7.5</v>
      </c>
    </row>
    <row r="33" spans="1:22" s="165" customFormat="1" ht="12.75" customHeight="1">
      <c r="A33" s="2455" t="s">
        <v>1341</v>
      </c>
      <c r="B33" s="2455"/>
      <c r="C33" s="2455"/>
      <c r="D33" s="2455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</row>
    <row r="34" spans="1:22" s="165" customFormat="1" ht="12.75" customHeight="1">
      <c r="A34" s="416"/>
      <c r="B34" s="389"/>
      <c r="C34" s="2444" t="s">
        <v>855</v>
      </c>
      <c r="D34" s="2444"/>
      <c r="E34" s="315" t="s">
        <v>584</v>
      </c>
      <c r="F34" s="315" t="s">
        <v>584</v>
      </c>
      <c r="G34" s="1131" t="s">
        <v>843</v>
      </c>
      <c r="H34" s="408" t="s">
        <v>843</v>
      </c>
      <c r="I34" s="408" t="s">
        <v>843</v>
      </c>
      <c r="J34" s="408" t="s">
        <v>843</v>
      </c>
      <c r="K34" s="408" t="s">
        <v>843</v>
      </c>
      <c r="L34" s="408" t="s">
        <v>843</v>
      </c>
      <c r="M34" s="408" t="s">
        <v>843</v>
      </c>
      <c r="N34" s="408" t="s">
        <v>843</v>
      </c>
      <c r="O34" s="408" t="s">
        <v>843</v>
      </c>
      <c r="P34" s="408" t="s">
        <v>843</v>
      </c>
      <c r="Q34" s="408" t="s">
        <v>843</v>
      </c>
      <c r="R34" s="408" t="s">
        <v>843</v>
      </c>
      <c r="S34" s="408" t="s">
        <v>843</v>
      </c>
      <c r="T34" s="408" t="s">
        <v>843</v>
      </c>
      <c r="U34" s="408" t="s">
        <v>843</v>
      </c>
      <c r="V34" s="408" t="s">
        <v>843</v>
      </c>
    </row>
    <row r="35" spans="1:22" s="165" customFormat="1" ht="12.75" customHeight="1">
      <c r="A35" s="420"/>
      <c r="C35" s="2434" t="s">
        <v>856</v>
      </c>
      <c r="D35" s="2434"/>
      <c r="E35" s="245" t="s">
        <v>584</v>
      </c>
      <c r="F35" s="245" t="s">
        <v>584</v>
      </c>
      <c r="G35" s="245">
        <v>5.5</v>
      </c>
      <c r="H35" s="431">
        <v>5.5</v>
      </c>
      <c r="I35" s="431">
        <v>5.5</v>
      </c>
      <c r="J35" s="431">
        <v>5.5</v>
      </c>
      <c r="K35" s="431">
        <v>5.5</v>
      </c>
      <c r="L35" s="431">
        <v>5.5</v>
      </c>
      <c r="M35" s="431">
        <v>5.5</v>
      </c>
      <c r="N35" s="431">
        <v>5.5</v>
      </c>
      <c r="O35" s="431">
        <v>5.5</v>
      </c>
      <c r="P35" s="431">
        <v>5.5</v>
      </c>
      <c r="Q35" s="431">
        <v>5.5</v>
      </c>
      <c r="R35" s="431">
        <v>5.5</v>
      </c>
      <c r="S35" s="431">
        <v>5.5</v>
      </c>
      <c r="T35" s="431">
        <v>5.5</v>
      </c>
      <c r="U35" s="431">
        <v>4</v>
      </c>
      <c r="V35" s="431">
        <v>5.5</v>
      </c>
    </row>
    <row r="36" spans="1:22" s="165" customFormat="1" ht="12.75" customHeight="1">
      <c r="A36" s="416"/>
      <c r="B36" s="389"/>
      <c r="C36" s="2433" t="s">
        <v>857</v>
      </c>
      <c r="D36" s="2433"/>
      <c r="E36" s="315" t="s">
        <v>584</v>
      </c>
      <c r="F36" s="315" t="s">
        <v>584</v>
      </c>
      <c r="G36" s="315">
        <v>6</v>
      </c>
      <c r="H36" s="296">
        <v>6</v>
      </c>
      <c r="I36" s="296">
        <v>6</v>
      </c>
      <c r="J36" s="296">
        <v>6</v>
      </c>
      <c r="K36" s="296">
        <v>6</v>
      </c>
      <c r="L36" s="296">
        <v>6</v>
      </c>
      <c r="M36" s="296">
        <v>6</v>
      </c>
      <c r="N36" s="296">
        <v>6</v>
      </c>
      <c r="O36" s="296">
        <v>6</v>
      </c>
      <c r="P36" s="296">
        <v>6</v>
      </c>
      <c r="Q36" s="296">
        <v>6</v>
      </c>
      <c r="R36" s="296">
        <v>6</v>
      </c>
      <c r="S36" s="296">
        <v>6</v>
      </c>
      <c r="T36" s="296">
        <v>6</v>
      </c>
      <c r="U36" s="296">
        <v>4.5</v>
      </c>
      <c r="V36" s="296">
        <v>6</v>
      </c>
    </row>
    <row r="37" spans="1:22" s="165" customFormat="1" ht="12.75" customHeight="1">
      <c r="A37" s="420"/>
      <c r="C37" s="2440" t="s">
        <v>870</v>
      </c>
      <c r="D37" s="2440"/>
      <c r="E37" s="245" t="s">
        <v>584</v>
      </c>
      <c r="F37" s="245" t="s">
        <v>584</v>
      </c>
      <c r="G37" s="245">
        <v>6.5</v>
      </c>
      <c r="H37" s="431">
        <v>6.5</v>
      </c>
      <c r="I37" s="431">
        <v>6.5</v>
      </c>
      <c r="J37" s="431">
        <v>6.5</v>
      </c>
      <c r="K37" s="431">
        <v>6.5</v>
      </c>
      <c r="L37" s="431">
        <v>6.5</v>
      </c>
      <c r="M37" s="431">
        <v>6.5</v>
      </c>
      <c r="N37" s="431">
        <v>6.5</v>
      </c>
      <c r="O37" s="431">
        <v>6.5</v>
      </c>
      <c r="P37" s="431">
        <v>6.5</v>
      </c>
      <c r="Q37" s="431">
        <v>6.5</v>
      </c>
      <c r="R37" s="431">
        <v>6.5</v>
      </c>
      <c r="S37" s="431">
        <v>6.5</v>
      </c>
      <c r="T37" s="431">
        <v>6.5</v>
      </c>
      <c r="U37" s="431">
        <v>5</v>
      </c>
      <c r="V37" s="431">
        <v>6.5</v>
      </c>
    </row>
    <row r="38" spans="1:22" s="165" customFormat="1" ht="22.5" customHeight="1">
      <c r="A38" s="423" t="s">
        <v>84</v>
      </c>
      <c r="B38" s="2453" t="s">
        <v>879</v>
      </c>
      <c r="C38" s="2453"/>
      <c r="D38" s="2453"/>
      <c r="E38" s="422"/>
      <c r="F38" s="422"/>
      <c r="G38" s="422"/>
      <c r="H38" s="422"/>
      <c r="I38" s="422"/>
      <c r="J38" s="422"/>
      <c r="K38" s="422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</row>
    <row r="39" spans="1:22" s="165" customFormat="1" ht="13.5" customHeight="1">
      <c r="A39" s="413"/>
      <c r="B39" s="2439" t="s">
        <v>852</v>
      </c>
      <c r="C39" s="2439"/>
      <c r="D39" s="2439"/>
      <c r="E39" s="381"/>
      <c r="F39" s="381"/>
      <c r="G39" s="381"/>
      <c r="H39" s="381"/>
      <c r="I39" s="381"/>
      <c r="J39" s="381"/>
      <c r="K39" s="381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3"/>
    </row>
    <row r="40" spans="1:22" s="165" customFormat="1" ht="13.5" customHeight="1">
      <c r="A40" s="412"/>
      <c r="B40" s="387"/>
      <c r="C40" s="2454" t="s">
        <v>284</v>
      </c>
      <c r="D40" s="2454"/>
      <c r="E40" s="315">
        <v>13</v>
      </c>
      <c r="F40" s="315">
        <v>13</v>
      </c>
      <c r="G40" s="315">
        <v>13</v>
      </c>
      <c r="H40" s="315">
        <v>13</v>
      </c>
      <c r="I40" s="315">
        <v>13</v>
      </c>
      <c r="J40" s="315">
        <v>13</v>
      </c>
      <c r="K40" s="315">
        <v>12</v>
      </c>
      <c r="L40" s="286">
        <v>12</v>
      </c>
      <c r="M40" s="286">
        <v>12</v>
      </c>
      <c r="N40" s="286">
        <v>12</v>
      </c>
      <c r="O40" s="286">
        <v>12</v>
      </c>
      <c r="P40" s="286">
        <v>12</v>
      </c>
      <c r="Q40" s="286">
        <v>12</v>
      </c>
      <c r="R40" s="286">
        <v>12</v>
      </c>
      <c r="S40" s="286">
        <v>12</v>
      </c>
      <c r="T40" s="286">
        <v>12</v>
      </c>
      <c r="U40" s="286">
        <v>12</v>
      </c>
      <c r="V40" s="286">
        <v>12</v>
      </c>
    </row>
    <row r="41" spans="1:22" s="165" customFormat="1" ht="13.5" customHeight="1">
      <c r="A41" s="413"/>
      <c r="B41" s="382"/>
      <c r="C41" s="2452" t="s">
        <v>283</v>
      </c>
      <c r="D41" s="2452"/>
      <c r="E41" s="245">
        <v>15</v>
      </c>
      <c r="F41" s="245">
        <v>15</v>
      </c>
      <c r="G41" s="245">
        <v>15</v>
      </c>
      <c r="H41" s="245">
        <v>15</v>
      </c>
      <c r="I41" s="245">
        <v>15</v>
      </c>
      <c r="J41" s="245">
        <v>15</v>
      </c>
      <c r="K41" s="245">
        <v>12</v>
      </c>
      <c r="L41" s="228">
        <v>12</v>
      </c>
      <c r="M41" s="228">
        <v>12</v>
      </c>
      <c r="N41" s="228">
        <v>12</v>
      </c>
      <c r="O41" s="228">
        <v>12</v>
      </c>
      <c r="P41" s="228">
        <v>12</v>
      </c>
      <c r="Q41" s="228">
        <v>12</v>
      </c>
      <c r="R41" s="228">
        <v>12</v>
      </c>
      <c r="S41" s="228">
        <v>12</v>
      </c>
      <c r="T41" s="228">
        <v>12</v>
      </c>
      <c r="U41" s="228">
        <v>12</v>
      </c>
      <c r="V41" s="228">
        <v>12</v>
      </c>
    </row>
    <row r="42" spans="1:22" s="165" customFormat="1" ht="13.5" customHeight="1" thickBot="1">
      <c r="A42" s="425"/>
      <c r="B42" s="2450" t="s">
        <v>853</v>
      </c>
      <c r="C42" s="2450"/>
      <c r="D42" s="2450"/>
      <c r="E42" s="334">
        <v>10</v>
      </c>
      <c r="F42" s="334">
        <v>10</v>
      </c>
      <c r="G42" s="334">
        <v>10</v>
      </c>
      <c r="H42" s="334">
        <v>10</v>
      </c>
      <c r="I42" s="334">
        <v>10</v>
      </c>
      <c r="J42" s="334">
        <v>10</v>
      </c>
      <c r="K42" s="334">
        <v>10</v>
      </c>
      <c r="L42" s="468">
        <v>10</v>
      </c>
      <c r="M42" s="468">
        <v>10</v>
      </c>
      <c r="N42" s="468">
        <v>10</v>
      </c>
      <c r="O42" s="468">
        <v>10</v>
      </c>
      <c r="P42" s="468">
        <v>10</v>
      </c>
      <c r="Q42" s="468">
        <v>10</v>
      </c>
      <c r="R42" s="468">
        <v>10</v>
      </c>
      <c r="S42" s="468">
        <v>10</v>
      </c>
      <c r="T42" s="468">
        <v>10</v>
      </c>
      <c r="U42" s="468">
        <v>10</v>
      </c>
      <c r="V42" s="468">
        <v>10</v>
      </c>
    </row>
    <row r="43" spans="1:22" s="166" customFormat="1" ht="10.5" customHeight="1">
      <c r="A43" s="426" t="s">
        <v>30</v>
      </c>
      <c r="B43" s="278"/>
      <c r="C43" s="2438" t="s">
        <v>1379</v>
      </c>
      <c r="D43" s="2438"/>
      <c r="E43" s="902"/>
      <c r="F43" s="902"/>
      <c r="G43" s="902"/>
      <c r="K43" s="430" t="s">
        <v>2040</v>
      </c>
      <c r="L43" s="277"/>
      <c r="M43" s="428"/>
      <c r="N43" s="384"/>
      <c r="O43" s="384"/>
      <c r="P43" s="384"/>
      <c r="Q43" s="384"/>
      <c r="R43" s="384"/>
      <c r="S43" s="384"/>
      <c r="T43" s="384"/>
      <c r="U43" s="384"/>
      <c r="V43" s="384"/>
    </row>
    <row r="44" spans="1:22" s="277" customFormat="1" ht="9.75" customHeight="1">
      <c r="A44" s="426"/>
      <c r="B44" s="278"/>
      <c r="C44" s="2438" t="s">
        <v>1342</v>
      </c>
      <c r="D44" s="2438"/>
      <c r="E44" s="2438"/>
      <c r="F44" s="2438"/>
      <c r="G44" s="2438"/>
      <c r="K44" s="430" t="s">
        <v>2041</v>
      </c>
      <c r="L44" s="132"/>
      <c r="M44" s="132"/>
      <c r="N44" s="428"/>
    </row>
    <row r="45" spans="1:22" s="277" customFormat="1" ht="9.75" customHeight="1">
      <c r="A45" s="427"/>
      <c r="B45" s="278"/>
      <c r="C45" s="2438" t="s">
        <v>1380</v>
      </c>
      <c r="D45" s="2438"/>
      <c r="E45" s="428"/>
      <c r="F45" s="428"/>
      <c r="G45" s="428"/>
      <c r="K45" s="430" t="s">
        <v>2042</v>
      </c>
    </row>
    <row r="46" spans="1:22" s="277" customFormat="1" ht="9.75" customHeight="1">
      <c r="A46" s="427"/>
      <c r="B46" s="278"/>
      <c r="C46" s="1078"/>
      <c r="D46" s="132" t="s">
        <v>457</v>
      </c>
      <c r="F46" s="428"/>
      <c r="G46" s="428"/>
      <c r="H46" s="428"/>
      <c r="K46" s="430" t="s">
        <v>2043</v>
      </c>
    </row>
    <row r="47" spans="1:22" s="13" customFormat="1" ht="9.75" customHeight="1">
      <c r="A47" s="603"/>
      <c r="D47" s="132"/>
      <c r="E47" s="277"/>
      <c r="F47" s="132"/>
      <c r="G47" s="132"/>
      <c r="H47" s="132"/>
      <c r="K47" s="430" t="s">
        <v>2044</v>
      </c>
    </row>
    <row r="48" spans="1:22" s="13" customFormat="1" ht="9.75" customHeight="1">
      <c r="A48" s="429"/>
      <c r="E48" s="132"/>
      <c r="F48" s="132"/>
      <c r="G48" s="132"/>
      <c r="H48" s="132"/>
    </row>
    <row r="54" spans="2:8">
      <c r="B54" s="399"/>
      <c r="C54" s="402"/>
      <c r="D54" s="403"/>
      <c r="E54" s="397"/>
      <c r="F54" s="398"/>
      <c r="G54" s="397"/>
      <c r="H54" s="397"/>
    </row>
    <row r="55" spans="2:8">
      <c r="B55" s="404"/>
      <c r="C55" s="402"/>
      <c r="D55" s="405"/>
      <c r="E55" s="397"/>
      <c r="F55" s="398"/>
      <c r="G55" s="406"/>
      <c r="H55" s="406"/>
    </row>
    <row r="56" spans="2:8">
      <c r="B56" s="407"/>
      <c r="C56" s="407"/>
      <c r="D56" s="401"/>
      <c r="E56" s="407"/>
      <c r="F56" s="407"/>
      <c r="G56" s="407"/>
      <c r="H56" s="407"/>
    </row>
    <row r="57" spans="2:8">
      <c r="B57" s="400"/>
      <c r="C57" s="407"/>
      <c r="D57" s="401"/>
      <c r="E57" s="407"/>
      <c r="F57" s="407"/>
      <c r="G57" s="407"/>
      <c r="H57" s="407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62992125984252001" right="0.511811023622047" top="0.31496062992126" bottom="2.5590551E-2" header="0" footer="6.4960630000000005E-2"/>
  <pageSetup paperSize="448" scale="87" orientation="portrait" r:id="rId2"/>
  <headerFooter differentFirst="1" alignWithMargins="0">
    <oddFooter>&amp;C&amp;"Times New Roman,Regular"&amp;8&amp;P</oddFooter>
  </headerFooter>
  <colBreaks count="1" manualBreakCount="1">
    <brk id="9" max="48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zoomScale="120" zoomScaleNormal="120" workbookViewId="0"/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6.5703125" style="8" customWidth="1"/>
    <col min="10" max="10" width="8.140625" style="8" customWidth="1"/>
    <col min="11" max="11" width="6.28515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7109375" style="8" customWidth="1"/>
    <col min="16" max="16" width="6.42578125" style="8" customWidth="1"/>
    <col min="17" max="17" width="7" style="8" customWidth="1"/>
    <col min="18" max="18" width="6.5703125" style="8" customWidth="1"/>
    <col min="19" max="19" width="5.425781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0" customWidth="1"/>
    <col min="25" max="25" width="10.42578125" style="8" customWidth="1"/>
    <col min="26" max="26" width="9.85546875" style="8" customWidth="1"/>
    <col min="27" max="28" width="9.7109375" style="8" customWidth="1"/>
    <col min="29" max="29" width="10" style="8" customWidth="1"/>
    <col min="30" max="30" width="8.85546875" style="8" customWidth="1"/>
    <col min="31" max="31" width="11" style="8" customWidth="1"/>
    <col min="32" max="32" width="9.28515625" style="8" customWidth="1"/>
    <col min="33" max="33" width="8.42578125" style="8" customWidth="1"/>
    <col min="34" max="34" width="9" style="8" customWidth="1"/>
    <col min="35" max="35" width="4" style="8" customWidth="1"/>
    <col min="36" max="36" width="18.5703125" style="13" customWidth="1"/>
    <col min="37" max="37" width="2.85546875" style="8" customWidth="1"/>
    <col min="38" max="38" width="16" style="13" customWidth="1"/>
    <col min="39" max="39" width="8.42578125" style="8" customWidth="1"/>
    <col min="40" max="40" width="8.28515625" style="8" customWidth="1"/>
    <col min="41" max="41" width="8.85546875" style="8" customWidth="1"/>
    <col min="42" max="42" width="9.2851562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1" width="13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1795</v>
      </c>
      <c r="B1" s="1981" t="s">
        <v>807</v>
      </c>
      <c r="C1" s="1981"/>
      <c r="D1" s="1981"/>
      <c r="E1" s="1981"/>
      <c r="F1" s="1981"/>
      <c r="G1" s="1981"/>
      <c r="H1" s="1981"/>
      <c r="I1" s="1981"/>
      <c r="J1" s="1981"/>
      <c r="K1" s="2490" t="s">
        <v>3012</v>
      </c>
      <c r="L1" s="2490"/>
      <c r="M1" s="2490"/>
      <c r="N1" s="2490"/>
      <c r="O1" s="2490"/>
      <c r="P1" s="2490"/>
      <c r="Q1" s="2490"/>
      <c r="R1" s="884"/>
      <c r="S1" s="1100" t="s">
        <v>1080</v>
      </c>
      <c r="T1" s="1100"/>
      <c r="U1" s="1981" t="s">
        <v>1809</v>
      </c>
      <c r="V1" s="1981"/>
      <c r="W1" s="1981"/>
      <c r="X1" s="1981"/>
      <c r="Y1" s="1981"/>
      <c r="Z1" s="1981"/>
      <c r="AA1" s="1981"/>
      <c r="AB1" s="1981"/>
      <c r="AC1" s="2490" t="s">
        <v>3012</v>
      </c>
      <c r="AD1" s="2490"/>
      <c r="AE1" s="2490"/>
      <c r="AF1" s="2490"/>
      <c r="AG1" s="2490"/>
      <c r="AH1" s="2490"/>
      <c r="AI1" s="2491" t="s">
        <v>1080</v>
      </c>
      <c r="AJ1" s="2491"/>
      <c r="AK1" s="2492" t="s">
        <v>2481</v>
      </c>
      <c r="AL1" s="2492"/>
      <c r="AM1" s="2492"/>
      <c r="AN1" s="2492"/>
      <c r="AO1" s="2492"/>
      <c r="AP1" s="2492"/>
      <c r="AQ1" s="2492"/>
      <c r="AR1" s="2492"/>
      <c r="AS1" s="2492"/>
      <c r="AT1" s="2494" t="s">
        <v>3012</v>
      </c>
      <c r="AU1" s="2494"/>
      <c r="AV1" s="2494"/>
      <c r="AW1" s="2494"/>
      <c r="AX1" s="2494"/>
      <c r="AY1" s="2494"/>
      <c r="AZ1" s="1911"/>
      <c r="BA1" s="2493" t="s">
        <v>1080</v>
      </c>
      <c r="BB1" s="2493"/>
      <c r="BD1" s="758"/>
      <c r="BE1" s="1981" t="s">
        <v>807</v>
      </c>
      <c r="BF1" s="1981"/>
      <c r="BG1" s="1981"/>
      <c r="BH1" s="1981"/>
      <c r="BI1" s="2494" t="s">
        <v>3013</v>
      </c>
      <c r="BJ1" s="2494"/>
      <c r="BK1" s="2494"/>
      <c r="BL1" s="2494"/>
      <c r="BM1" s="1911"/>
      <c r="BN1" s="2491" t="s">
        <v>1081</v>
      </c>
      <c r="BO1" s="2491"/>
    </row>
    <row r="2" spans="1:67" ht="11.25" customHeight="1">
      <c r="C2" s="759"/>
      <c r="D2" s="759"/>
      <c r="E2" s="759"/>
      <c r="F2" s="759"/>
      <c r="G2" s="759"/>
      <c r="H2" s="759"/>
      <c r="I2" s="759"/>
      <c r="J2" s="759"/>
      <c r="K2" s="759"/>
      <c r="L2" s="2484"/>
      <c r="M2" s="2484"/>
      <c r="N2" s="760"/>
      <c r="O2" s="760"/>
      <c r="P2" s="760"/>
      <c r="Q2" s="760"/>
      <c r="S2" s="1556"/>
      <c r="T2" s="1811" t="s">
        <v>507</v>
      </c>
      <c r="Y2" s="2488"/>
      <c r="Z2" s="2488"/>
      <c r="AA2" s="1910"/>
      <c r="AB2" s="1910"/>
      <c r="AC2" s="1910"/>
      <c r="AD2" s="1910"/>
      <c r="AE2" s="1910"/>
      <c r="AF2" s="1910"/>
      <c r="AG2" s="760"/>
      <c r="AI2" s="1556"/>
      <c r="AJ2" s="1811" t="s">
        <v>507</v>
      </c>
      <c r="AK2" s="1556"/>
      <c r="AL2" s="1811"/>
      <c r="AM2" s="759"/>
      <c r="AN2" s="759"/>
      <c r="AO2" s="1912"/>
      <c r="AP2" s="1910"/>
      <c r="AQ2" s="1910"/>
      <c r="AR2" s="1910"/>
      <c r="AS2" s="1910"/>
      <c r="AT2" s="1910"/>
      <c r="AU2" s="1910"/>
      <c r="AV2" s="1910"/>
      <c r="AW2" s="760"/>
      <c r="AX2" s="760"/>
      <c r="AY2" s="760"/>
      <c r="AZ2" s="760"/>
      <c r="BA2" s="1556"/>
      <c r="BB2" s="1811" t="s">
        <v>507</v>
      </c>
      <c r="BE2" s="759"/>
      <c r="BF2" s="759"/>
      <c r="BG2" s="2495"/>
      <c r="BH2" s="2495"/>
      <c r="BI2" s="2484"/>
      <c r="BJ2" s="2484"/>
      <c r="BK2" s="2484"/>
      <c r="BL2" s="760"/>
      <c r="BM2" s="760"/>
      <c r="BN2" s="1556"/>
      <c r="BO2" s="1811" t="s">
        <v>507</v>
      </c>
    </row>
    <row r="3" spans="1:67" s="761" customFormat="1" ht="13.5" customHeight="1">
      <c r="A3" s="2478" t="s">
        <v>141</v>
      </c>
      <c r="B3" s="2479"/>
      <c r="C3" s="2485" t="s">
        <v>97</v>
      </c>
      <c r="D3" s="2486"/>
      <c r="E3" s="2486"/>
      <c r="F3" s="2486"/>
      <c r="G3" s="2486"/>
      <c r="H3" s="2487"/>
      <c r="I3" s="2475" t="s">
        <v>2010</v>
      </c>
      <c r="J3" s="2476"/>
      <c r="K3" s="2477"/>
      <c r="L3" s="2485" t="s">
        <v>143</v>
      </c>
      <c r="M3" s="2486"/>
      <c r="N3" s="2486"/>
      <c r="O3" s="2486"/>
      <c r="P3" s="2486"/>
      <c r="Q3" s="2486"/>
      <c r="R3" s="2487"/>
      <c r="S3" s="2478" t="s">
        <v>141</v>
      </c>
      <c r="T3" s="2479"/>
      <c r="U3" s="2478" t="s">
        <v>141</v>
      </c>
      <c r="V3" s="2479"/>
      <c r="W3" s="2485" t="s">
        <v>601</v>
      </c>
      <c r="X3" s="2486"/>
      <c r="Y3" s="2486"/>
      <c r="Z3" s="2486"/>
      <c r="AA3" s="2486"/>
      <c r="AB3" s="2486"/>
      <c r="AC3" s="2486"/>
      <c r="AD3" s="2486"/>
      <c r="AE3" s="2486"/>
      <c r="AF3" s="2486"/>
      <c r="AG3" s="2486"/>
      <c r="AH3" s="2487"/>
      <c r="AI3" s="2478" t="s">
        <v>141</v>
      </c>
      <c r="AJ3" s="2479"/>
      <c r="AK3" s="2497" t="s">
        <v>141</v>
      </c>
      <c r="AL3" s="2498"/>
      <c r="AM3" s="2485" t="s">
        <v>601</v>
      </c>
      <c r="AN3" s="2486"/>
      <c r="AO3" s="2486"/>
      <c r="AP3" s="2486"/>
      <c r="AQ3" s="2486"/>
      <c r="AR3" s="2486"/>
      <c r="AS3" s="2486"/>
      <c r="AT3" s="2486"/>
      <c r="AU3" s="2486"/>
      <c r="AV3" s="2486"/>
      <c r="AW3" s="2486"/>
      <c r="AX3" s="2486"/>
      <c r="AY3" s="2486"/>
      <c r="AZ3" s="2487"/>
      <c r="BA3" s="2496" t="s">
        <v>141</v>
      </c>
      <c r="BB3" s="2479"/>
      <c r="BC3" s="2478" t="s">
        <v>141</v>
      </c>
      <c r="BD3" s="2479"/>
      <c r="BE3" s="2485" t="s">
        <v>602</v>
      </c>
      <c r="BF3" s="2486"/>
      <c r="BG3" s="2486"/>
      <c r="BH3" s="2486"/>
      <c r="BI3" s="2486"/>
      <c r="BJ3" s="2486"/>
      <c r="BK3" s="2486"/>
      <c r="BL3" s="2486"/>
      <c r="BM3" s="2487"/>
      <c r="BN3" s="2478" t="s">
        <v>141</v>
      </c>
      <c r="BO3" s="2479"/>
    </row>
    <row r="4" spans="1:67" s="244" customFormat="1" ht="24" customHeight="1">
      <c r="A4" s="2480"/>
      <c r="B4" s="2481"/>
      <c r="C4" s="1897" t="s">
        <v>1449</v>
      </c>
      <c r="D4" s="1897" t="s">
        <v>1450</v>
      </c>
      <c r="E4" s="1897" t="s">
        <v>1451</v>
      </c>
      <c r="F4" s="1897" t="s">
        <v>1452</v>
      </c>
      <c r="G4" s="1897" t="s">
        <v>1453</v>
      </c>
      <c r="H4" s="1897" t="s">
        <v>461</v>
      </c>
      <c r="I4" s="1897" t="s">
        <v>1312</v>
      </c>
      <c r="J4" s="1898" t="s">
        <v>144</v>
      </c>
      <c r="K4" s="1897" t="s">
        <v>1796</v>
      </c>
      <c r="L4" s="1897" t="s">
        <v>1454</v>
      </c>
      <c r="M4" s="1897" t="s">
        <v>2378</v>
      </c>
      <c r="N4" s="1897" t="s">
        <v>1455</v>
      </c>
      <c r="O4" s="1897" t="s">
        <v>1456</v>
      </c>
      <c r="P4" s="1897" t="s">
        <v>1457</v>
      </c>
      <c r="Q4" s="1897" t="s">
        <v>1458</v>
      </c>
      <c r="R4" s="1897" t="s">
        <v>1459</v>
      </c>
      <c r="S4" s="2480"/>
      <c r="T4" s="2481"/>
      <c r="U4" s="2480"/>
      <c r="V4" s="2481"/>
      <c r="W4" s="1897" t="s">
        <v>1460</v>
      </c>
      <c r="X4" s="1897" t="s">
        <v>164</v>
      </c>
      <c r="Y4" s="1897" t="s">
        <v>1461</v>
      </c>
      <c r="Z4" s="1897" t="s">
        <v>1462</v>
      </c>
      <c r="AA4" s="1897" t="s">
        <v>165</v>
      </c>
      <c r="AB4" s="1897" t="s">
        <v>1463</v>
      </c>
      <c r="AC4" s="1897" t="s">
        <v>1464</v>
      </c>
      <c r="AD4" s="1897" t="s">
        <v>1465</v>
      </c>
      <c r="AE4" s="1897" t="s">
        <v>1466</v>
      </c>
      <c r="AF4" s="1897" t="s">
        <v>1495</v>
      </c>
      <c r="AG4" s="1897" t="s">
        <v>1467</v>
      </c>
      <c r="AH4" s="1897" t="s">
        <v>1468</v>
      </c>
      <c r="AI4" s="2480"/>
      <c r="AJ4" s="2481"/>
      <c r="AK4" s="2499"/>
      <c r="AL4" s="2500"/>
      <c r="AM4" s="1899" t="s">
        <v>1469</v>
      </c>
      <c r="AN4" s="1899" t="s">
        <v>1470</v>
      </c>
      <c r="AO4" s="1899" t="s">
        <v>1471</v>
      </c>
      <c r="AP4" s="1899" t="s">
        <v>1472</v>
      </c>
      <c r="AQ4" s="1899" t="s">
        <v>1473</v>
      </c>
      <c r="AR4" s="1899" t="s">
        <v>1474</v>
      </c>
      <c r="AS4" s="1899" t="s">
        <v>2456</v>
      </c>
      <c r="AT4" s="1899" t="s">
        <v>1475</v>
      </c>
      <c r="AU4" s="1899" t="s">
        <v>1476</v>
      </c>
      <c r="AV4" s="1899" t="s">
        <v>166</v>
      </c>
      <c r="AW4" s="1899" t="s">
        <v>1477</v>
      </c>
      <c r="AX4" s="1899" t="s">
        <v>1478</v>
      </c>
      <c r="AY4" s="1899" t="s">
        <v>1797</v>
      </c>
      <c r="AZ4" s="1899" t="s">
        <v>2076</v>
      </c>
      <c r="BA4" s="2480"/>
      <c r="BB4" s="2481"/>
      <c r="BC4" s="2480"/>
      <c r="BD4" s="2481"/>
      <c r="BE4" s="1908" t="s">
        <v>1479</v>
      </c>
      <c r="BF4" s="1897" t="s">
        <v>1480</v>
      </c>
      <c r="BG4" s="1908" t="s">
        <v>1481</v>
      </c>
      <c r="BH4" s="730" t="s">
        <v>1343</v>
      </c>
      <c r="BI4" s="1897" t="s">
        <v>1482</v>
      </c>
      <c r="BJ4" s="1897" t="s">
        <v>1483</v>
      </c>
      <c r="BK4" s="1897" t="s">
        <v>167</v>
      </c>
      <c r="BL4" s="1897" t="s">
        <v>603</v>
      </c>
      <c r="BM4" s="1897" t="s">
        <v>2011</v>
      </c>
      <c r="BN4" s="2480"/>
      <c r="BO4" s="2481"/>
    </row>
    <row r="5" spans="1:67" s="94" customFormat="1" ht="10.5" customHeight="1">
      <c r="A5" s="2482"/>
      <c r="B5" s="2483"/>
      <c r="C5" s="1908">
        <v>1</v>
      </c>
      <c r="D5" s="1777">
        <v>2</v>
      </c>
      <c r="E5" s="1908">
        <v>3</v>
      </c>
      <c r="F5" s="1777">
        <v>4</v>
      </c>
      <c r="G5" s="1908">
        <v>5</v>
      </c>
      <c r="H5" s="1908">
        <v>6</v>
      </c>
      <c r="I5" s="883">
        <v>7</v>
      </c>
      <c r="J5" s="883">
        <v>8</v>
      </c>
      <c r="K5" s="1908">
        <v>9</v>
      </c>
      <c r="L5" s="714">
        <v>10</v>
      </c>
      <c r="M5" s="1777">
        <v>11</v>
      </c>
      <c r="N5" s="1908">
        <v>12</v>
      </c>
      <c r="O5" s="1777">
        <v>13</v>
      </c>
      <c r="P5" s="1908">
        <v>14</v>
      </c>
      <c r="Q5" s="1777">
        <v>15</v>
      </c>
      <c r="R5" s="1908">
        <v>16</v>
      </c>
      <c r="S5" s="2482"/>
      <c r="T5" s="2483"/>
      <c r="U5" s="2482"/>
      <c r="V5" s="2483"/>
      <c r="W5" s="1908">
        <v>17</v>
      </c>
      <c r="X5" s="1778">
        <v>18</v>
      </c>
      <c r="Y5" s="1908">
        <v>19</v>
      </c>
      <c r="Z5" s="1908">
        <v>20</v>
      </c>
      <c r="AA5" s="1908">
        <v>21</v>
      </c>
      <c r="AB5" s="1908">
        <v>22</v>
      </c>
      <c r="AC5" s="1777">
        <v>23</v>
      </c>
      <c r="AD5" s="1908">
        <v>24</v>
      </c>
      <c r="AE5" s="1908">
        <v>25</v>
      </c>
      <c r="AF5" s="1908">
        <v>26</v>
      </c>
      <c r="AG5" s="698">
        <v>27</v>
      </c>
      <c r="AH5" s="1908">
        <v>28</v>
      </c>
      <c r="AI5" s="2482"/>
      <c r="AJ5" s="2483"/>
      <c r="AK5" s="2501"/>
      <c r="AL5" s="2502"/>
      <c r="AM5" s="1777">
        <v>29</v>
      </c>
      <c r="AN5" s="1908">
        <v>30</v>
      </c>
      <c r="AO5" s="1777">
        <v>31</v>
      </c>
      <c r="AP5" s="1777">
        <v>32</v>
      </c>
      <c r="AQ5" s="1908">
        <v>33</v>
      </c>
      <c r="AR5" s="1777">
        <v>34</v>
      </c>
      <c r="AS5" s="1777">
        <v>35</v>
      </c>
      <c r="AT5" s="1908">
        <v>36</v>
      </c>
      <c r="AU5" s="1777">
        <v>37</v>
      </c>
      <c r="AV5" s="1908">
        <v>38</v>
      </c>
      <c r="AW5" s="1908">
        <v>39</v>
      </c>
      <c r="AX5" s="1908">
        <v>40</v>
      </c>
      <c r="AY5" s="1557">
        <v>41</v>
      </c>
      <c r="AZ5" s="1908">
        <v>42</v>
      </c>
      <c r="BA5" s="2482"/>
      <c r="BB5" s="2483"/>
      <c r="BC5" s="2482"/>
      <c r="BD5" s="2483"/>
      <c r="BE5" s="714">
        <v>43</v>
      </c>
      <c r="BF5" s="1777">
        <v>44</v>
      </c>
      <c r="BG5" s="786">
        <v>45</v>
      </c>
      <c r="BH5" s="1777">
        <v>46</v>
      </c>
      <c r="BI5" s="714">
        <v>47</v>
      </c>
      <c r="BJ5" s="1777">
        <v>48</v>
      </c>
      <c r="BK5" s="714">
        <v>49</v>
      </c>
      <c r="BL5" s="1777">
        <v>50</v>
      </c>
      <c r="BM5" s="1908">
        <v>51</v>
      </c>
      <c r="BN5" s="2482"/>
      <c r="BO5" s="2483"/>
    </row>
    <row r="6" spans="1:67" s="1906" customFormat="1" ht="11.45" customHeight="1">
      <c r="A6" s="2383" t="s">
        <v>26</v>
      </c>
      <c r="B6" s="2383"/>
      <c r="C6" s="1780" t="s">
        <v>2906</v>
      </c>
      <c r="D6" s="1780" t="s">
        <v>2907</v>
      </c>
      <c r="E6" s="1780" t="s">
        <v>2908</v>
      </c>
      <c r="F6" s="1780" t="s">
        <v>1422</v>
      </c>
      <c r="G6" s="1780" t="s">
        <v>2507</v>
      </c>
      <c r="H6" s="1780" t="s">
        <v>2909</v>
      </c>
      <c r="I6" s="1780" t="s">
        <v>2910</v>
      </c>
      <c r="J6" s="1780" t="s">
        <v>2907</v>
      </c>
      <c r="K6" s="1780" t="s">
        <v>2945</v>
      </c>
      <c r="L6" s="1780" t="s">
        <v>3014</v>
      </c>
      <c r="M6" s="1780" t="s">
        <v>2880</v>
      </c>
      <c r="N6" s="1780" t="s">
        <v>2911</v>
      </c>
      <c r="O6" s="1780" t="s">
        <v>2912</v>
      </c>
      <c r="P6" s="1780" t="s">
        <v>2912</v>
      </c>
      <c r="Q6" s="1780" t="s">
        <v>2913</v>
      </c>
      <c r="R6" s="1780" t="s">
        <v>2914</v>
      </c>
      <c r="S6" s="2383" t="s">
        <v>26</v>
      </c>
      <c r="T6" s="2383"/>
      <c r="U6" s="2470" t="s">
        <v>26</v>
      </c>
      <c r="V6" s="2470"/>
      <c r="W6" s="1780" t="s">
        <v>2587</v>
      </c>
      <c r="X6" s="1780" t="s">
        <v>2098</v>
      </c>
      <c r="Y6" s="1780" t="s">
        <v>2881</v>
      </c>
      <c r="Z6" s="1780" t="s">
        <v>2094</v>
      </c>
      <c r="AA6" s="1780" t="s">
        <v>2095</v>
      </c>
      <c r="AB6" s="1780" t="s">
        <v>2882</v>
      </c>
      <c r="AC6" s="1780" t="s">
        <v>2096</v>
      </c>
      <c r="AD6" s="1780" t="s">
        <v>2686</v>
      </c>
      <c r="AE6" s="1780" t="s">
        <v>2277</v>
      </c>
      <c r="AF6" s="1780" t="s">
        <v>3015</v>
      </c>
      <c r="AG6" s="1780" t="s">
        <v>3016</v>
      </c>
      <c r="AH6" s="1780" t="s">
        <v>2513</v>
      </c>
      <c r="AI6" s="2383" t="s">
        <v>26</v>
      </c>
      <c r="AJ6" s="2383"/>
      <c r="AK6" s="2383" t="s">
        <v>26</v>
      </c>
      <c r="AL6" s="2383"/>
      <c r="AM6" s="1780" t="s">
        <v>2979</v>
      </c>
      <c r="AN6" s="1780" t="s">
        <v>2756</v>
      </c>
      <c r="AO6" s="1780" t="s">
        <v>2822</v>
      </c>
      <c r="AP6" s="1780" t="s">
        <v>3017</v>
      </c>
      <c r="AQ6" s="1780" t="s">
        <v>2468</v>
      </c>
      <c r="AR6" s="1780" t="s">
        <v>2807</v>
      </c>
      <c r="AS6" s="1780" t="s">
        <v>2279</v>
      </c>
      <c r="AT6" s="1780" t="s">
        <v>3018</v>
      </c>
      <c r="AU6" s="1780" t="s">
        <v>2980</v>
      </c>
      <c r="AV6" s="1780" t="s">
        <v>3019</v>
      </c>
      <c r="AW6" s="1780" t="s">
        <v>2668</v>
      </c>
      <c r="AX6" s="1780" t="s">
        <v>2823</v>
      </c>
      <c r="AY6" s="1780" t="s">
        <v>2627</v>
      </c>
      <c r="AZ6" s="1780" t="s">
        <v>2698</v>
      </c>
      <c r="BA6" s="2470" t="s">
        <v>26</v>
      </c>
      <c r="BB6" s="2470"/>
      <c r="BC6" s="2470" t="s">
        <v>26</v>
      </c>
      <c r="BD6" s="2470"/>
      <c r="BE6" s="1780" t="s">
        <v>2883</v>
      </c>
      <c r="BF6" s="1780" t="s">
        <v>2757</v>
      </c>
      <c r="BG6" s="1780" t="s">
        <v>2517</v>
      </c>
      <c r="BH6" s="1780" t="s">
        <v>2948</v>
      </c>
      <c r="BI6" s="1780" t="s">
        <v>2910</v>
      </c>
      <c r="BJ6" s="1780" t="s">
        <v>2957</v>
      </c>
      <c r="BK6" s="1780" t="s">
        <v>2958</v>
      </c>
      <c r="BL6" s="1780" t="s">
        <v>2588</v>
      </c>
      <c r="BM6" s="1780" t="s">
        <v>2884</v>
      </c>
      <c r="BN6" s="2470" t="s">
        <v>26</v>
      </c>
      <c r="BO6" s="2470"/>
    </row>
    <row r="7" spans="1:67" ht="11.45" customHeight="1">
      <c r="A7" s="2471" t="s">
        <v>799</v>
      </c>
      <c r="B7" s="2489"/>
      <c r="C7" s="1781"/>
      <c r="D7" s="1781"/>
      <c r="E7" s="1781"/>
      <c r="F7" s="1781"/>
      <c r="G7" s="1781"/>
      <c r="H7" s="1781"/>
      <c r="I7" s="1781"/>
      <c r="J7" s="1781"/>
      <c r="K7" s="1781"/>
      <c r="L7" s="1781"/>
      <c r="M7" s="1781"/>
      <c r="N7" s="1781"/>
      <c r="O7" s="1781"/>
      <c r="P7" s="1781"/>
      <c r="Q7" s="1781"/>
      <c r="R7" s="1781"/>
      <c r="S7" s="2471" t="s">
        <v>799</v>
      </c>
      <c r="T7" s="2471"/>
      <c r="U7" s="2471" t="s">
        <v>799</v>
      </c>
      <c r="V7" s="2489"/>
      <c r="W7" s="1781"/>
      <c r="X7" s="1781"/>
      <c r="Y7" s="1781"/>
      <c r="Z7" s="1781"/>
      <c r="AA7" s="1781"/>
      <c r="AB7" s="1781"/>
      <c r="AC7" s="1781"/>
      <c r="AD7" s="1781"/>
      <c r="AE7" s="1781"/>
      <c r="AF7" s="1781"/>
      <c r="AG7" s="1781"/>
      <c r="AH7" s="1781"/>
      <c r="AI7" s="2471" t="s">
        <v>799</v>
      </c>
      <c r="AJ7" s="2471"/>
      <c r="AK7" s="2471" t="s">
        <v>799</v>
      </c>
      <c r="AL7" s="2471"/>
      <c r="AM7" s="1781"/>
      <c r="AN7" s="1781"/>
      <c r="AO7" s="1781"/>
      <c r="AP7" s="1781"/>
      <c r="AQ7" s="1781"/>
      <c r="AR7" s="1781"/>
      <c r="AS7" s="1781"/>
      <c r="AT7" s="1781"/>
      <c r="AU7" s="1781"/>
      <c r="AV7" s="1781"/>
      <c r="AW7" s="1781"/>
      <c r="AX7" s="1781"/>
      <c r="AY7" s="1781"/>
      <c r="AZ7" s="1781"/>
      <c r="BA7" s="2471" t="s">
        <v>799</v>
      </c>
      <c r="BB7" s="2489"/>
      <c r="BC7" s="2471" t="s">
        <v>799</v>
      </c>
      <c r="BD7" s="2489"/>
      <c r="BE7" s="1781"/>
      <c r="BF7" s="1781"/>
      <c r="BG7" s="1781"/>
      <c r="BH7" s="1781"/>
      <c r="BI7" s="1781"/>
      <c r="BJ7" s="1781"/>
      <c r="BK7" s="1781"/>
      <c r="BL7" s="1781"/>
      <c r="BM7" s="1781"/>
      <c r="BN7" s="2471" t="s">
        <v>799</v>
      </c>
      <c r="BO7" s="2489"/>
    </row>
    <row r="8" spans="1:67" ht="11.45" customHeight="1">
      <c r="A8" s="715" t="s">
        <v>303</v>
      </c>
      <c r="B8" s="1397" t="s">
        <v>790</v>
      </c>
      <c r="C8" s="1780" t="s">
        <v>2928</v>
      </c>
      <c r="D8" s="1780" t="s">
        <v>2910</v>
      </c>
      <c r="E8" s="1780" t="s">
        <v>2917</v>
      </c>
      <c r="F8" s="1780" t="s">
        <v>2924</v>
      </c>
      <c r="G8" s="1780" t="s">
        <v>2508</v>
      </c>
      <c r="H8" s="1780" t="s">
        <v>2922</v>
      </c>
      <c r="I8" s="1780" t="s">
        <v>3020</v>
      </c>
      <c r="J8" s="1780" t="s">
        <v>2910</v>
      </c>
      <c r="K8" s="1780" t="s">
        <v>2945</v>
      </c>
      <c r="L8" s="1780" t="s">
        <v>3021</v>
      </c>
      <c r="M8" s="1780" t="s">
        <v>2276</v>
      </c>
      <c r="N8" s="1780" t="s">
        <v>2929</v>
      </c>
      <c r="O8" s="1780" t="s">
        <v>2924</v>
      </c>
      <c r="P8" s="1780" t="s">
        <v>2907</v>
      </c>
      <c r="Q8" s="1780" t="s">
        <v>2930</v>
      </c>
      <c r="R8" s="1780" t="s">
        <v>3022</v>
      </c>
      <c r="S8" s="1106" t="s">
        <v>303</v>
      </c>
      <c r="T8" s="1397" t="s">
        <v>2071</v>
      </c>
      <c r="U8" s="715" t="s">
        <v>303</v>
      </c>
      <c r="V8" s="1397" t="s">
        <v>790</v>
      </c>
      <c r="W8" s="1780" t="s">
        <v>2912</v>
      </c>
      <c r="X8" s="1780" t="s">
        <v>2912</v>
      </c>
      <c r="Y8" s="1780" t="s">
        <v>2907</v>
      </c>
      <c r="Z8" s="1780" t="s">
        <v>2914</v>
      </c>
      <c r="AA8" s="1780" t="s">
        <v>2907</v>
      </c>
      <c r="AB8" s="1780" t="s">
        <v>2914</v>
      </c>
      <c r="AC8" s="1780" t="s">
        <v>2932</v>
      </c>
      <c r="AD8" s="1780" t="s">
        <v>2922</v>
      </c>
      <c r="AE8" s="1780" t="s">
        <v>2097</v>
      </c>
      <c r="AF8" s="1780" t="s">
        <v>3017</v>
      </c>
      <c r="AG8" s="1780" t="s">
        <v>2921</v>
      </c>
      <c r="AH8" s="1780" t="s">
        <v>2917</v>
      </c>
      <c r="AI8" s="715" t="s">
        <v>303</v>
      </c>
      <c r="AJ8" s="1397" t="s">
        <v>790</v>
      </c>
      <c r="AK8" s="715" t="s">
        <v>303</v>
      </c>
      <c r="AL8" s="1397" t="s">
        <v>790</v>
      </c>
      <c r="AM8" s="1780" t="s">
        <v>3023</v>
      </c>
      <c r="AN8" s="1780" t="s">
        <v>2919</v>
      </c>
      <c r="AO8" s="1780" t="s">
        <v>2907</v>
      </c>
      <c r="AP8" s="1780" t="s">
        <v>2279</v>
      </c>
      <c r="AQ8" s="1780" t="s">
        <v>2913</v>
      </c>
      <c r="AR8" s="1780" t="s">
        <v>2917</v>
      </c>
      <c r="AS8" s="1780" t="s">
        <v>2909</v>
      </c>
      <c r="AT8" s="1780" t="s">
        <v>3024</v>
      </c>
      <c r="AU8" s="1780" t="s">
        <v>2914</v>
      </c>
      <c r="AV8" s="1780" t="s">
        <v>2653</v>
      </c>
      <c r="AW8" s="1780" t="s">
        <v>2922</v>
      </c>
      <c r="AX8" s="1780" t="s">
        <v>2922</v>
      </c>
      <c r="AY8" s="1780" t="s">
        <v>2907</v>
      </c>
      <c r="AZ8" s="1780" t="s">
        <v>2907</v>
      </c>
      <c r="BA8" s="715" t="s">
        <v>303</v>
      </c>
      <c r="BB8" s="1397" t="s">
        <v>790</v>
      </c>
      <c r="BC8" s="715" t="s">
        <v>303</v>
      </c>
      <c r="BD8" s="1397" t="s">
        <v>790</v>
      </c>
      <c r="BE8" s="1780" t="s">
        <v>2914</v>
      </c>
      <c r="BF8" s="1780" t="s">
        <v>2960</v>
      </c>
      <c r="BG8" s="1780" t="s">
        <v>2922</v>
      </c>
      <c r="BH8" s="1780" t="s">
        <v>2932</v>
      </c>
      <c r="BI8" s="1780" t="s">
        <v>2948</v>
      </c>
      <c r="BJ8" s="1780" t="s">
        <v>2914</v>
      </c>
      <c r="BK8" s="1780" t="s">
        <v>2947</v>
      </c>
      <c r="BL8" s="1780" t="s">
        <v>2946</v>
      </c>
      <c r="BM8" s="1780" t="s">
        <v>2778</v>
      </c>
      <c r="BN8" s="715" t="s">
        <v>303</v>
      </c>
      <c r="BO8" s="1397" t="s">
        <v>790</v>
      </c>
    </row>
    <row r="9" spans="1:67" ht="11.45" customHeight="1">
      <c r="A9" s="716" t="s">
        <v>471</v>
      </c>
      <c r="B9" s="717" t="s">
        <v>791</v>
      </c>
      <c r="C9" s="1781" t="s">
        <v>2915</v>
      </c>
      <c r="D9" s="1781" t="s">
        <v>2916</v>
      </c>
      <c r="E9" s="1781" t="s">
        <v>2908</v>
      </c>
      <c r="F9" s="1781" t="s">
        <v>2914</v>
      </c>
      <c r="G9" s="1781" t="s">
        <v>2508</v>
      </c>
      <c r="H9" s="1781" t="s">
        <v>2917</v>
      </c>
      <c r="I9" s="1781" t="s">
        <v>1882</v>
      </c>
      <c r="J9" s="1781" t="s">
        <v>2907</v>
      </c>
      <c r="K9" s="1781" t="s">
        <v>2945</v>
      </c>
      <c r="L9" s="1781" t="s">
        <v>3021</v>
      </c>
      <c r="M9" s="1781" t="s">
        <v>2272</v>
      </c>
      <c r="N9" s="1781" t="s">
        <v>2918</v>
      </c>
      <c r="O9" s="1781" t="s">
        <v>2919</v>
      </c>
      <c r="P9" s="1781" t="s">
        <v>2912</v>
      </c>
      <c r="Q9" s="1781" t="s">
        <v>2910</v>
      </c>
      <c r="R9" s="1781" t="s">
        <v>2846</v>
      </c>
      <c r="S9" s="1107" t="s">
        <v>471</v>
      </c>
      <c r="T9" s="717" t="s">
        <v>2072</v>
      </c>
      <c r="U9" s="716" t="s">
        <v>471</v>
      </c>
      <c r="V9" s="717" t="s">
        <v>791</v>
      </c>
      <c r="W9" s="1781" t="s">
        <v>2946</v>
      </c>
      <c r="X9" s="1781" t="s">
        <v>2912</v>
      </c>
      <c r="Y9" s="1781" t="s">
        <v>2912</v>
      </c>
      <c r="Z9" s="1781" t="s">
        <v>2946</v>
      </c>
      <c r="AA9" s="1781" t="s">
        <v>2912</v>
      </c>
      <c r="AB9" s="1781" t="s">
        <v>2947</v>
      </c>
      <c r="AC9" s="1781" t="s">
        <v>2932</v>
      </c>
      <c r="AD9" s="1781" t="s">
        <v>2912</v>
      </c>
      <c r="AE9" s="1781" t="s">
        <v>2097</v>
      </c>
      <c r="AF9" s="1781" t="s">
        <v>2912</v>
      </c>
      <c r="AG9" s="1781" t="s">
        <v>2948</v>
      </c>
      <c r="AH9" s="1781" t="s">
        <v>2914</v>
      </c>
      <c r="AI9" s="716" t="s">
        <v>471</v>
      </c>
      <c r="AJ9" s="717" t="s">
        <v>791</v>
      </c>
      <c r="AK9" s="716" t="s">
        <v>471</v>
      </c>
      <c r="AL9" s="717" t="s">
        <v>791</v>
      </c>
      <c r="AM9" s="1781" t="s">
        <v>2907</v>
      </c>
      <c r="AN9" s="1781" t="s">
        <v>2948</v>
      </c>
      <c r="AO9" s="1781" t="s">
        <v>2962</v>
      </c>
      <c r="AP9" s="1781" t="s">
        <v>2470</v>
      </c>
      <c r="AQ9" s="1781" t="s">
        <v>2914</v>
      </c>
      <c r="AR9" s="1781" t="s">
        <v>2914</v>
      </c>
      <c r="AS9" s="1781" t="s">
        <v>3025</v>
      </c>
      <c r="AT9" s="1781" t="s">
        <v>3026</v>
      </c>
      <c r="AU9" s="1781" t="s">
        <v>2960</v>
      </c>
      <c r="AV9" s="1781" t="s">
        <v>2649</v>
      </c>
      <c r="AW9" s="1781" t="s">
        <v>2948</v>
      </c>
      <c r="AX9" s="1781" t="s">
        <v>2912</v>
      </c>
      <c r="AY9" s="1781" t="s">
        <v>2912</v>
      </c>
      <c r="AZ9" s="1781" t="s">
        <v>2914</v>
      </c>
      <c r="BA9" s="716" t="s">
        <v>471</v>
      </c>
      <c r="BB9" s="717" t="s">
        <v>791</v>
      </c>
      <c r="BC9" s="716" t="s">
        <v>471</v>
      </c>
      <c r="BD9" s="717" t="s">
        <v>791</v>
      </c>
      <c r="BE9" s="1781" t="s">
        <v>2948</v>
      </c>
      <c r="BF9" s="1781" t="s">
        <v>2959</v>
      </c>
      <c r="BG9" s="1781" t="s">
        <v>2960</v>
      </c>
      <c r="BH9" s="1781" t="s">
        <v>2917</v>
      </c>
      <c r="BI9" s="1781" t="s">
        <v>2961</v>
      </c>
      <c r="BJ9" s="1781" t="s">
        <v>2959</v>
      </c>
      <c r="BK9" s="1781" t="s">
        <v>2947</v>
      </c>
      <c r="BL9" s="1781" t="s">
        <v>2959</v>
      </c>
      <c r="BM9" s="1781" t="s">
        <v>2096</v>
      </c>
      <c r="BN9" s="716" t="s">
        <v>471</v>
      </c>
      <c r="BO9" s="717" t="s">
        <v>791</v>
      </c>
    </row>
    <row r="10" spans="1:67" ht="11.45" customHeight="1">
      <c r="A10" s="715" t="s">
        <v>295</v>
      </c>
      <c r="B10" s="1397" t="s">
        <v>792</v>
      </c>
      <c r="C10" s="1780" t="s">
        <v>2923</v>
      </c>
      <c r="D10" s="1780" t="s">
        <v>2924</v>
      </c>
      <c r="E10" s="1780" t="s">
        <v>2911</v>
      </c>
      <c r="F10" s="1780" t="s">
        <v>2911</v>
      </c>
      <c r="G10" s="1780" t="s">
        <v>2508</v>
      </c>
      <c r="H10" s="1780" t="s">
        <v>2910</v>
      </c>
      <c r="I10" s="1780" t="s">
        <v>2317</v>
      </c>
      <c r="J10" s="1780" t="s">
        <v>2910</v>
      </c>
      <c r="K10" s="1780" t="s">
        <v>2945</v>
      </c>
      <c r="L10" s="1780" t="s">
        <v>3021</v>
      </c>
      <c r="M10" s="1780" t="s">
        <v>2274</v>
      </c>
      <c r="N10" s="1780" t="s">
        <v>2921</v>
      </c>
      <c r="O10" s="1780" t="s">
        <v>2908</v>
      </c>
      <c r="P10" s="1780" t="s">
        <v>2907</v>
      </c>
      <c r="Q10" s="1780" t="s">
        <v>2925</v>
      </c>
      <c r="R10" s="1780" t="s">
        <v>2847</v>
      </c>
      <c r="S10" s="1108" t="s">
        <v>295</v>
      </c>
      <c r="T10" s="1397" t="s">
        <v>2073</v>
      </c>
      <c r="U10" s="715" t="s">
        <v>295</v>
      </c>
      <c r="V10" s="1397" t="s">
        <v>792</v>
      </c>
      <c r="W10" s="1780" t="s">
        <v>2912</v>
      </c>
      <c r="X10" s="1780" t="s">
        <v>2912</v>
      </c>
      <c r="Y10" s="1780" t="s">
        <v>2914</v>
      </c>
      <c r="Z10" s="1780" t="s">
        <v>2912</v>
      </c>
      <c r="AA10" s="1780" t="s">
        <v>2907</v>
      </c>
      <c r="AB10" s="1780" t="s">
        <v>2912</v>
      </c>
      <c r="AC10" s="1780" t="s">
        <v>3027</v>
      </c>
      <c r="AD10" s="1780" t="s">
        <v>2912</v>
      </c>
      <c r="AE10" s="1780" t="s">
        <v>2538</v>
      </c>
      <c r="AF10" s="1780" t="s">
        <v>3017</v>
      </c>
      <c r="AG10" s="1780" t="s">
        <v>2914</v>
      </c>
      <c r="AH10" s="1780" t="s">
        <v>2911</v>
      </c>
      <c r="AI10" s="715" t="s">
        <v>295</v>
      </c>
      <c r="AJ10" s="1397" t="s">
        <v>792</v>
      </c>
      <c r="AK10" s="715" t="s">
        <v>295</v>
      </c>
      <c r="AL10" s="1397" t="s">
        <v>792</v>
      </c>
      <c r="AM10" s="1780" t="s">
        <v>2924</v>
      </c>
      <c r="AN10" s="1780" t="s">
        <v>2960</v>
      </c>
      <c r="AO10" s="1780" t="s">
        <v>2960</v>
      </c>
      <c r="AP10" s="1780" t="s">
        <v>1803</v>
      </c>
      <c r="AQ10" s="1780" t="s">
        <v>2911</v>
      </c>
      <c r="AR10" s="1780" t="s">
        <v>2921</v>
      </c>
      <c r="AS10" s="1780" t="s">
        <v>2917</v>
      </c>
      <c r="AT10" s="1780" t="s">
        <v>3028</v>
      </c>
      <c r="AU10" s="1780" t="s">
        <v>2949</v>
      </c>
      <c r="AV10" s="1780" t="s">
        <v>2651</v>
      </c>
      <c r="AW10" s="1780" t="s">
        <v>2907</v>
      </c>
      <c r="AX10" s="1780" t="s">
        <v>2395</v>
      </c>
      <c r="AY10" s="1780" t="s">
        <v>2914</v>
      </c>
      <c r="AZ10" s="1780" t="s">
        <v>2914</v>
      </c>
      <c r="BA10" s="715" t="s">
        <v>295</v>
      </c>
      <c r="BB10" s="1397" t="s">
        <v>792</v>
      </c>
      <c r="BC10" s="715" t="s">
        <v>295</v>
      </c>
      <c r="BD10" s="1397" t="s">
        <v>792</v>
      </c>
      <c r="BE10" s="1780" t="s">
        <v>2960</v>
      </c>
      <c r="BF10" s="1780" t="s">
        <v>2947</v>
      </c>
      <c r="BG10" s="1780" t="s">
        <v>2912</v>
      </c>
      <c r="BH10" s="1780" t="s">
        <v>2932</v>
      </c>
      <c r="BI10" s="1780" t="s">
        <v>2965</v>
      </c>
      <c r="BJ10" s="1780" t="s">
        <v>2959</v>
      </c>
      <c r="BK10" s="1780" t="s">
        <v>2947</v>
      </c>
      <c r="BL10" s="1780" t="s">
        <v>2966</v>
      </c>
      <c r="BM10" s="1780" t="s">
        <v>2396</v>
      </c>
      <c r="BN10" s="715" t="s">
        <v>295</v>
      </c>
      <c r="BO10" s="1397" t="s">
        <v>792</v>
      </c>
    </row>
    <row r="11" spans="1:67" ht="11.45" customHeight="1">
      <c r="A11" s="716" t="s">
        <v>296</v>
      </c>
      <c r="B11" s="717" t="s">
        <v>793</v>
      </c>
      <c r="C11" s="1781" t="s">
        <v>2926</v>
      </c>
      <c r="D11" s="1781" t="s">
        <v>3029</v>
      </c>
      <c r="E11" s="1781" t="s">
        <v>2921</v>
      </c>
      <c r="F11" s="1781" t="s">
        <v>2921</v>
      </c>
      <c r="G11" s="1781" t="s">
        <v>2508</v>
      </c>
      <c r="H11" s="1781" t="s">
        <v>2909</v>
      </c>
      <c r="I11" s="1781" t="s">
        <v>2922</v>
      </c>
      <c r="J11" s="1781" t="s">
        <v>2910</v>
      </c>
      <c r="K11" s="1781" t="s">
        <v>2945</v>
      </c>
      <c r="L11" s="1781" t="s">
        <v>3021</v>
      </c>
      <c r="M11" s="1781" t="s">
        <v>2275</v>
      </c>
      <c r="N11" s="1781" t="s">
        <v>2917</v>
      </c>
      <c r="O11" s="1781" t="s">
        <v>2911</v>
      </c>
      <c r="P11" s="1781" t="s">
        <v>2907</v>
      </c>
      <c r="Q11" s="1781" t="s">
        <v>2927</v>
      </c>
      <c r="R11" s="1781" t="s">
        <v>2848</v>
      </c>
      <c r="S11" s="1107" t="s">
        <v>296</v>
      </c>
      <c r="T11" s="717" t="s">
        <v>793</v>
      </c>
      <c r="U11" s="716" t="s">
        <v>296</v>
      </c>
      <c r="V11" s="717" t="s">
        <v>793</v>
      </c>
      <c r="W11" s="1781" t="s">
        <v>2912</v>
      </c>
      <c r="X11" s="1781" t="s">
        <v>2912</v>
      </c>
      <c r="Y11" s="1781" t="s">
        <v>2908</v>
      </c>
      <c r="Z11" s="1781" t="s">
        <v>2919</v>
      </c>
      <c r="AA11" s="1781" t="s">
        <v>2907</v>
      </c>
      <c r="AB11" s="1781" t="s">
        <v>2912</v>
      </c>
      <c r="AC11" s="1781" t="s">
        <v>3027</v>
      </c>
      <c r="AD11" s="1781" t="s">
        <v>2912</v>
      </c>
      <c r="AE11" s="1781" t="s">
        <v>2097</v>
      </c>
      <c r="AF11" s="1781" t="s">
        <v>3017</v>
      </c>
      <c r="AG11" s="1781" t="s">
        <v>2907</v>
      </c>
      <c r="AH11" s="1781" t="s">
        <v>2921</v>
      </c>
      <c r="AI11" s="716" t="s">
        <v>296</v>
      </c>
      <c r="AJ11" s="717" t="s">
        <v>793</v>
      </c>
      <c r="AK11" s="716" t="s">
        <v>296</v>
      </c>
      <c r="AL11" s="717" t="s">
        <v>793</v>
      </c>
      <c r="AM11" s="1781" t="s">
        <v>2922</v>
      </c>
      <c r="AN11" s="1781" t="s">
        <v>2912</v>
      </c>
      <c r="AO11" s="1781" t="s">
        <v>2946</v>
      </c>
      <c r="AP11" s="1781" t="s">
        <v>2979</v>
      </c>
      <c r="AQ11" s="1781" t="s">
        <v>2917</v>
      </c>
      <c r="AR11" s="1781" t="s">
        <v>2917</v>
      </c>
      <c r="AS11" s="1781" t="s">
        <v>2909</v>
      </c>
      <c r="AT11" s="1781" t="s">
        <v>3030</v>
      </c>
      <c r="AU11" s="1781" t="s">
        <v>2912</v>
      </c>
      <c r="AV11" s="1781" t="s">
        <v>2652</v>
      </c>
      <c r="AW11" s="1781" t="s">
        <v>2917</v>
      </c>
      <c r="AX11" s="1781" t="s">
        <v>2515</v>
      </c>
      <c r="AY11" s="1781" t="s">
        <v>2908</v>
      </c>
      <c r="AZ11" s="1781" t="s">
        <v>2908</v>
      </c>
      <c r="BA11" s="716" t="s">
        <v>296</v>
      </c>
      <c r="BB11" s="717" t="s">
        <v>793</v>
      </c>
      <c r="BC11" s="716" t="s">
        <v>296</v>
      </c>
      <c r="BD11" s="717" t="s">
        <v>793</v>
      </c>
      <c r="BE11" s="1781" t="s">
        <v>2946</v>
      </c>
      <c r="BF11" s="1781" t="s">
        <v>2957</v>
      </c>
      <c r="BG11" s="1781" t="s">
        <v>2963</v>
      </c>
      <c r="BH11" s="1781" t="s">
        <v>2932</v>
      </c>
      <c r="BI11" s="1781" t="s">
        <v>2947</v>
      </c>
      <c r="BJ11" s="1781" t="s">
        <v>2960</v>
      </c>
      <c r="BK11" s="1781" t="s">
        <v>2947</v>
      </c>
      <c r="BL11" s="1781" t="s">
        <v>2967</v>
      </c>
      <c r="BM11" s="1781" t="s">
        <v>2396</v>
      </c>
      <c r="BN11" s="716" t="s">
        <v>296</v>
      </c>
      <c r="BO11" s="717" t="s">
        <v>793</v>
      </c>
    </row>
    <row r="12" spans="1:67" ht="11.45" customHeight="1">
      <c r="A12" s="715" t="s">
        <v>301</v>
      </c>
      <c r="B12" s="1397" t="s">
        <v>1267</v>
      </c>
      <c r="C12" s="1780" t="s">
        <v>2920</v>
      </c>
      <c r="D12" s="1780" t="s">
        <v>2921</v>
      </c>
      <c r="E12" s="1780" t="s">
        <v>2907</v>
      </c>
      <c r="F12" s="1780" t="s">
        <v>3017</v>
      </c>
      <c r="G12" s="1780" t="s">
        <v>2508</v>
      </c>
      <c r="H12" s="1780" t="s">
        <v>2913</v>
      </c>
      <c r="I12" s="1780" t="s">
        <v>2910</v>
      </c>
      <c r="J12" s="1780" t="s">
        <v>2917</v>
      </c>
      <c r="K12" s="1780" t="s">
        <v>2945</v>
      </c>
      <c r="L12" s="1780" t="s">
        <v>3021</v>
      </c>
      <c r="M12" s="1780" t="s">
        <v>2273</v>
      </c>
      <c r="N12" s="1780" t="s">
        <v>2908</v>
      </c>
      <c r="O12" s="1780" t="s">
        <v>2919</v>
      </c>
      <c r="P12" s="1780" t="s">
        <v>2912</v>
      </c>
      <c r="Q12" s="1780" t="s">
        <v>2922</v>
      </c>
      <c r="R12" s="1780" t="s">
        <v>2907</v>
      </c>
      <c r="S12" s="1108" t="s">
        <v>301</v>
      </c>
      <c r="T12" s="1397" t="s">
        <v>1267</v>
      </c>
      <c r="U12" s="715" t="s">
        <v>301</v>
      </c>
      <c r="V12" s="1397" t="s">
        <v>1267</v>
      </c>
      <c r="W12" s="1780" t="s">
        <v>2912</v>
      </c>
      <c r="X12" s="1780" t="s">
        <v>2912</v>
      </c>
      <c r="Y12" s="1780" t="s">
        <v>2919</v>
      </c>
      <c r="Z12" s="1780" t="s">
        <v>2949</v>
      </c>
      <c r="AA12" s="1780" t="s">
        <v>2907</v>
      </c>
      <c r="AB12" s="1780" t="s">
        <v>2981</v>
      </c>
      <c r="AC12" s="1780" t="s">
        <v>3027</v>
      </c>
      <c r="AD12" s="1780" t="s">
        <v>2912</v>
      </c>
      <c r="AE12" s="1780" t="s">
        <v>2097</v>
      </c>
      <c r="AF12" s="1780" t="s">
        <v>3017</v>
      </c>
      <c r="AG12" s="1780" t="s">
        <v>2946</v>
      </c>
      <c r="AH12" s="1780" t="s">
        <v>2907</v>
      </c>
      <c r="AI12" s="715" t="s">
        <v>301</v>
      </c>
      <c r="AJ12" s="1397" t="s">
        <v>1267</v>
      </c>
      <c r="AK12" s="715" t="s">
        <v>301</v>
      </c>
      <c r="AL12" s="1397" t="s">
        <v>1267</v>
      </c>
      <c r="AM12" s="1780" t="s">
        <v>2921</v>
      </c>
      <c r="AN12" s="1780" t="s">
        <v>3031</v>
      </c>
      <c r="AO12" s="1780" t="s">
        <v>2957</v>
      </c>
      <c r="AP12" s="1780" t="s">
        <v>2281</v>
      </c>
      <c r="AQ12" s="1780" t="s">
        <v>2911</v>
      </c>
      <c r="AR12" s="1780" t="s">
        <v>2907</v>
      </c>
      <c r="AS12" s="1780" t="s">
        <v>2907</v>
      </c>
      <c r="AT12" s="1780" t="s">
        <v>3032</v>
      </c>
      <c r="AU12" s="1780" t="s">
        <v>2946</v>
      </c>
      <c r="AV12" s="1780" t="s">
        <v>2650</v>
      </c>
      <c r="AW12" s="1780" t="s">
        <v>2912</v>
      </c>
      <c r="AX12" s="1780" t="s">
        <v>2849</v>
      </c>
      <c r="AY12" s="1780" t="s">
        <v>2919</v>
      </c>
      <c r="AZ12" s="1780" t="s">
        <v>2914</v>
      </c>
      <c r="BA12" s="715" t="s">
        <v>301</v>
      </c>
      <c r="BB12" s="1397" t="s">
        <v>1267</v>
      </c>
      <c r="BC12" s="715" t="s">
        <v>301</v>
      </c>
      <c r="BD12" s="1397" t="s">
        <v>1267</v>
      </c>
      <c r="BE12" s="1780" t="s">
        <v>2948</v>
      </c>
      <c r="BF12" s="1780" t="s">
        <v>2962</v>
      </c>
      <c r="BG12" s="1780" t="s">
        <v>2949</v>
      </c>
      <c r="BH12" s="1780" t="s">
        <v>2963</v>
      </c>
      <c r="BI12" s="1780" t="s">
        <v>2964</v>
      </c>
      <c r="BJ12" s="1780" t="s">
        <v>2959</v>
      </c>
      <c r="BK12" s="1780" t="s">
        <v>2947</v>
      </c>
      <c r="BL12" s="1780" t="s">
        <v>2962</v>
      </c>
      <c r="BM12" s="1780" t="s">
        <v>2394</v>
      </c>
      <c r="BN12" s="715" t="s">
        <v>301</v>
      </c>
      <c r="BO12" s="1397" t="s">
        <v>1267</v>
      </c>
    </row>
    <row r="13" spans="1:67" ht="11.45" customHeight="1">
      <c r="A13" s="2469" t="s">
        <v>27</v>
      </c>
      <c r="B13" s="2469"/>
      <c r="C13" s="1782"/>
      <c r="D13" s="1782"/>
      <c r="E13" s="1782"/>
      <c r="F13" s="1782"/>
      <c r="G13" s="1782"/>
      <c r="H13" s="1782"/>
      <c r="I13" s="1782"/>
      <c r="J13" s="1782"/>
      <c r="K13" s="1782"/>
      <c r="L13" s="1782"/>
      <c r="M13" s="1782"/>
      <c r="N13" s="1782"/>
      <c r="O13" s="1782"/>
      <c r="P13" s="1782"/>
      <c r="Q13" s="1782"/>
      <c r="R13" s="1782"/>
      <c r="S13" s="2469" t="s">
        <v>27</v>
      </c>
      <c r="T13" s="2469"/>
      <c r="U13" s="2469" t="s">
        <v>27</v>
      </c>
      <c r="V13" s="2469"/>
      <c r="W13" s="1782"/>
      <c r="X13" s="1782"/>
      <c r="Y13" s="1782"/>
      <c r="Z13" s="1782"/>
      <c r="AA13" s="1782"/>
      <c r="AB13" s="1782"/>
      <c r="AC13" s="1782"/>
      <c r="AD13" s="1782"/>
      <c r="AE13" s="1782"/>
      <c r="AF13" s="1782"/>
      <c r="AG13" s="1782"/>
      <c r="AH13" s="1782"/>
      <c r="AI13" s="2469" t="s">
        <v>27</v>
      </c>
      <c r="AJ13" s="2469"/>
      <c r="AK13" s="2469" t="s">
        <v>27</v>
      </c>
      <c r="AL13" s="2469"/>
      <c r="AM13" s="1782"/>
      <c r="AN13" s="1782"/>
      <c r="AO13" s="1782"/>
      <c r="AP13" s="1782"/>
      <c r="AQ13" s="1782"/>
      <c r="AR13" s="1782"/>
      <c r="AS13" s="1782"/>
      <c r="AT13" s="1782"/>
      <c r="AU13" s="1782"/>
      <c r="AV13" s="1782"/>
      <c r="AW13" s="1782"/>
      <c r="AX13" s="1782"/>
      <c r="AY13" s="1782"/>
      <c r="AZ13" s="1782"/>
      <c r="BA13" s="2469" t="s">
        <v>27</v>
      </c>
      <c r="BB13" s="2469"/>
      <c r="BC13" s="2469" t="s">
        <v>27</v>
      </c>
      <c r="BD13" s="2469"/>
      <c r="BE13" s="1782"/>
      <c r="BF13" s="1782"/>
      <c r="BG13" s="1782"/>
      <c r="BH13" s="1782"/>
      <c r="BI13" s="1782"/>
      <c r="BJ13" s="1782"/>
      <c r="BK13" s="1782"/>
      <c r="BL13" s="1782"/>
      <c r="BM13" s="1782"/>
      <c r="BN13" s="2469" t="s">
        <v>27</v>
      </c>
      <c r="BO13" s="2469"/>
    </row>
    <row r="14" spans="1:67" ht="11.45" customHeight="1">
      <c r="A14" s="715" t="s">
        <v>303</v>
      </c>
      <c r="B14" s="1397" t="s">
        <v>794</v>
      </c>
      <c r="C14" s="1780" t="s">
        <v>2943</v>
      </c>
      <c r="D14" s="1780" t="s">
        <v>2944</v>
      </c>
      <c r="E14" s="1780" t="s">
        <v>2945</v>
      </c>
      <c r="F14" s="1780" t="s">
        <v>2942</v>
      </c>
      <c r="G14" s="1780" t="s">
        <v>2511</v>
      </c>
      <c r="H14" s="1780" t="s">
        <v>2945</v>
      </c>
      <c r="I14" s="1780" t="s">
        <v>3033</v>
      </c>
      <c r="J14" s="1780" t="s">
        <v>3034</v>
      </c>
      <c r="K14" s="1780" t="s">
        <v>2945</v>
      </c>
      <c r="L14" s="1780" t="s">
        <v>3035</v>
      </c>
      <c r="M14" s="1780" t="s">
        <v>2130</v>
      </c>
      <c r="N14" s="1780" t="s">
        <v>2945</v>
      </c>
      <c r="O14" s="1780" t="s">
        <v>2942</v>
      </c>
      <c r="P14" s="1780" t="s">
        <v>2888</v>
      </c>
      <c r="Q14" s="1780" t="s">
        <v>2850</v>
      </c>
      <c r="R14" s="1780" t="s">
        <v>3036</v>
      </c>
      <c r="S14" s="1108" t="s">
        <v>303</v>
      </c>
      <c r="T14" s="1397" t="s">
        <v>794</v>
      </c>
      <c r="U14" s="715" t="s">
        <v>303</v>
      </c>
      <c r="V14" s="1397" t="s">
        <v>794</v>
      </c>
      <c r="W14" s="1780" t="s">
        <v>3037</v>
      </c>
      <c r="X14" s="1780" t="s">
        <v>2939</v>
      </c>
      <c r="Y14" s="1780" t="s">
        <v>3038</v>
      </c>
      <c r="Z14" s="1780" t="s">
        <v>2509</v>
      </c>
      <c r="AA14" s="1780" t="s">
        <v>2945</v>
      </c>
      <c r="AB14" s="1780" t="s">
        <v>2687</v>
      </c>
      <c r="AC14" s="1780" t="s">
        <v>2956</v>
      </c>
      <c r="AD14" s="1780" t="s">
        <v>3033</v>
      </c>
      <c r="AE14" s="1780" t="s">
        <v>2780</v>
      </c>
      <c r="AF14" s="1780" t="s">
        <v>3033</v>
      </c>
      <c r="AG14" s="1780" t="s">
        <v>3039</v>
      </c>
      <c r="AH14" s="1780" t="s">
        <v>3033</v>
      </c>
      <c r="AI14" s="715" t="s">
        <v>303</v>
      </c>
      <c r="AJ14" s="1397" t="s">
        <v>794</v>
      </c>
      <c r="AK14" s="715" t="s">
        <v>303</v>
      </c>
      <c r="AL14" s="1397" t="s">
        <v>794</v>
      </c>
      <c r="AM14" s="1780" t="s">
        <v>2278</v>
      </c>
      <c r="AN14" s="1780" t="s">
        <v>2986</v>
      </c>
      <c r="AO14" s="1780" t="s">
        <v>1185</v>
      </c>
      <c r="AP14" s="1780" t="s">
        <v>3039</v>
      </c>
      <c r="AQ14" s="1780" t="s">
        <v>3033</v>
      </c>
      <c r="AR14" s="1780" t="s">
        <v>2990</v>
      </c>
      <c r="AS14" s="1780" t="s">
        <v>2945</v>
      </c>
      <c r="AT14" s="1780" t="s">
        <v>2930</v>
      </c>
      <c r="AU14" s="1780" t="s">
        <v>2554</v>
      </c>
      <c r="AV14" s="1780" t="s">
        <v>3040</v>
      </c>
      <c r="AW14" s="1780" t="s">
        <v>3033</v>
      </c>
      <c r="AX14" s="1780" t="s">
        <v>2779</v>
      </c>
      <c r="AY14" s="1780" t="s">
        <v>3041</v>
      </c>
      <c r="AZ14" s="1780" t="s">
        <v>2851</v>
      </c>
      <c r="BA14" s="715" t="s">
        <v>303</v>
      </c>
      <c r="BB14" s="1397" t="s">
        <v>794</v>
      </c>
      <c r="BC14" s="715" t="s">
        <v>303</v>
      </c>
      <c r="BD14" s="1397" t="s">
        <v>794</v>
      </c>
      <c r="BE14" s="1780" t="s">
        <v>2969</v>
      </c>
      <c r="BF14" s="1780" t="s">
        <v>3042</v>
      </c>
      <c r="BG14" s="1780" t="s">
        <v>3043</v>
      </c>
      <c r="BH14" s="1780" t="s">
        <v>2942</v>
      </c>
      <c r="BI14" s="1780" t="s">
        <v>3023</v>
      </c>
      <c r="BJ14" s="1780" t="s">
        <v>3033</v>
      </c>
      <c r="BK14" s="1780" t="s">
        <v>1803</v>
      </c>
      <c r="BL14" s="1780" t="s">
        <v>2399</v>
      </c>
      <c r="BM14" s="1780" t="s">
        <v>2849</v>
      </c>
      <c r="BN14" s="715" t="s">
        <v>303</v>
      </c>
      <c r="BO14" s="1397" t="s">
        <v>794</v>
      </c>
    </row>
    <row r="15" spans="1:67" ht="11.45" customHeight="1">
      <c r="A15" s="716" t="s">
        <v>471</v>
      </c>
      <c r="B15" s="717" t="s">
        <v>795</v>
      </c>
      <c r="C15" s="1781" t="s">
        <v>2943</v>
      </c>
      <c r="D15" s="1781" t="s">
        <v>2927</v>
      </c>
      <c r="E15" s="1781" t="s">
        <v>2945</v>
      </c>
      <c r="F15" s="1781" t="s">
        <v>2939</v>
      </c>
      <c r="G15" s="1781" t="s">
        <v>2471</v>
      </c>
      <c r="H15" s="1781" t="s">
        <v>2945</v>
      </c>
      <c r="I15" s="1781" t="s">
        <v>3044</v>
      </c>
      <c r="J15" s="1781" t="s">
        <v>2942</v>
      </c>
      <c r="K15" s="1781" t="s">
        <v>2945</v>
      </c>
      <c r="L15" s="1781" t="s">
        <v>3045</v>
      </c>
      <c r="M15" s="1781" t="s">
        <v>2130</v>
      </c>
      <c r="N15" s="1781" t="s">
        <v>2935</v>
      </c>
      <c r="O15" s="1781" t="s">
        <v>2942</v>
      </c>
      <c r="P15" s="1781" t="s">
        <v>2888</v>
      </c>
      <c r="Q15" s="1781" t="s">
        <v>2850</v>
      </c>
      <c r="R15" s="1781" t="s">
        <v>2927</v>
      </c>
      <c r="S15" s="1107" t="s">
        <v>471</v>
      </c>
      <c r="T15" s="717" t="s">
        <v>795</v>
      </c>
      <c r="U15" s="716" t="s">
        <v>471</v>
      </c>
      <c r="V15" s="717" t="s">
        <v>795</v>
      </c>
      <c r="W15" s="1781" t="s">
        <v>3037</v>
      </c>
      <c r="X15" s="1781" t="s">
        <v>2939</v>
      </c>
      <c r="Y15" s="1781" t="s">
        <v>3046</v>
      </c>
      <c r="Z15" s="1781" t="s">
        <v>2509</v>
      </c>
      <c r="AA15" s="1781" t="s">
        <v>2945</v>
      </c>
      <c r="AB15" s="1781" t="s">
        <v>2687</v>
      </c>
      <c r="AC15" s="1781" t="s">
        <v>2956</v>
      </c>
      <c r="AD15" s="1781" t="s">
        <v>3033</v>
      </c>
      <c r="AE15" s="1781" t="s">
        <v>2780</v>
      </c>
      <c r="AF15" s="1781" t="s">
        <v>2945</v>
      </c>
      <c r="AG15" s="1781" t="s">
        <v>3041</v>
      </c>
      <c r="AH15" s="1781" t="s">
        <v>3033</v>
      </c>
      <c r="AI15" s="716" t="s">
        <v>471</v>
      </c>
      <c r="AJ15" s="717" t="s">
        <v>795</v>
      </c>
      <c r="AK15" s="716" t="s">
        <v>471</v>
      </c>
      <c r="AL15" s="717" t="s">
        <v>795</v>
      </c>
      <c r="AM15" s="1781" t="s">
        <v>2278</v>
      </c>
      <c r="AN15" s="1781" t="s">
        <v>2986</v>
      </c>
      <c r="AO15" s="1781" t="s">
        <v>2824</v>
      </c>
      <c r="AP15" s="1781" t="s">
        <v>3047</v>
      </c>
      <c r="AQ15" s="1781" t="s">
        <v>3033</v>
      </c>
      <c r="AR15" s="1781" t="s">
        <v>2862</v>
      </c>
      <c r="AS15" s="1781" t="s">
        <v>2945</v>
      </c>
      <c r="AT15" s="1781" t="s">
        <v>2930</v>
      </c>
      <c r="AU15" s="1781" t="s">
        <v>2554</v>
      </c>
      <c r="AV15" s="1781" t="s">
        <v>3048</v>
      </c>
      <c r="AW15" s="1781" t="s">
        <v>3033</v>
      </c>
      <c r="AX15" s="1781" t="s">
        <v>2290</v>
      </c>
      <c r="AY15" s="1781" t="s">
        <v>3041</v>
      </c>
      <c r="AZ15" s="1781" t="s">
        <v>2851</v>
      </c>
      <c r="BA15" s="716" t="s">
        <v>471</v>
      </c>
      <c r="BB15" s="717" t="s">
        <v>795</v>
      </c>
      <c r="BC15" s="716" t="s">
        <v>471</v>
      </c>
      <c r="BD15" s="717" t="s">
        <v>795</v>
      </c>
      <c r="BE15" s="1781" t="s">
        <v>2852</v>
      </c>
      <c r="BF15" s="1781" t="s">
        <v>2175</v>
      </c>
      <c r="BG15" s="1781" t="s">
        <v>2539</v>
      </c>
      <c r="BH15" s="1781" t="s">
        <v>2932</v>
      </c>
      <c r="BI15" s="1781" t="s">
        <v>2922</v>
      </c>
      <c r="BJ15" s="1781" t="s">
        <v>3033</v>
      </c>
      <c r="BK15" s="1781" t="s">
        <v>2281</v>
      </c>
      <c r="BL15" s="1781" t="s">
        <v>2399</v>
      </c>
      <c r="BM15" s="1781" t="s">
        <v>2849</v>
      </c>
      <c r="BN15" s="716" t="s">
        <v>471</v>
      </c>
      <c r="BO15" s="717" t="s">
        <v>795</v>
      </c>
    </row>
    <row r="16" spans="1:67" ht="11.45" customHeight="1">
      <c r="A16" s="715" t="s">
        <v>295</v>
      </c>
      <c r="B16" s="1397" t="s">
        <v>796</v>
      </c>
      <c r="C16" s="1780" t="s">
        <v>2931</v>
      </c>
      <c r="D16" s="1780" t="s">
        <v>2927</v>
      </c>
      <c r="E16" s="1780" t="s">
        <v>2932</v>
      </c>
      <c r="F16" s="1780" t="s">
        <v>2933</v>
      </c>
      <c r="G16" s="1780" t="s">
        <v>2397</v>
      </c>
      <c r="H16" s="1780" t="s">
        <v>2927</v>
      </c>
      <c r="I16" s="1780" t="s">
        <v>2932</v>
      </c>
      <c r="J16" s="1780" t="s">
        <v>2933</v>
      </c>
      <c r="K16" s="1780" t="s">
        <v>3033</v>
      </c>
      <c r="L16" s="1780" t="s">
        <v>3049</v>
      </c>
      <c r="M16" s="1780" t="s">
        <v>2536</v>
      </c>
      <c r="N16" s="1780" t="s">
        <v>2935</v>
      </c>
      <c r="O16" s="1780" t="s">
        <v>2927</v>
      </c>
      <c r="P16" s="1780" t="s">
        <v>2885</v>
      </c>
      <c r="Q16" s="1780" t="s">
        <v>2853</v>
      </c>
      <c r="R16" s="1780" t="s">
        <v>2925</v>
      </c>
      <c r="S16" s="1108" t="s">
        <v>295</v>
      </c>
      <c r="T16" s="1397" t="s">
        <v>796</v>
      </c>
      <c r="U16" s="715" t="s">
        <v>295</v>
      </c>
      <c r="V16" s="1397" t="s">
        <v>796</v>
      </c>
      <c r="W16" s="1780" t="s">
        <v>2854</v>
      </c>
      <c r="X16" s="1780" t="s">
        <v>2939</v>
      </c>
      <c r="Y16" s="1780" t="s">
        <v>3050</v>
      </c>
      <c r="Z16" s="1780" t="s">
        <v>2855</v>
      </c>
      <c r="AA16" s="1780" t="s">
        <v>2930</v>
      </c>
      <c r="AB16" s="1780" t="s">
        <v>3051</v>
      </c>
      <c r="AC16" s="1780" t="s">
        <v>2950</v>
      </c>
      <c r="AD16" s="1780" t="s">
        <v>3052</v>
      </c>
      <c r="AE16" s="1780" t="s">
        <v>2780</v>
      </c>
      <c r="AF16" s="1780" t="s">
        <v>2951</v>
      </c>
      <c r="AG16" s="1780" t="s">
        <v>1313</v>
      </c>
      <c r="AH16" s="1780" t="s">
        <v>2982</v>
      </c>
      <c r="AI16" s="715" t="s">
        <v>295</v>
      </c>
      <c r="AJ16" s="1397" t="s">
        <v>796</v>
      </c>
      <c r="AK16" s="715" t="s">
        <v>295</v>
      </c>
      <c r="AL16" s="1397" t="s">
        <v>796</v>
      </c>
      <c r="AM16" s="1780" t="s">
        <v>2514</v>
      </c>
      <c r="AN16" s="1780" t="s">
        <v>2821</v>
      </c>
      <c r="AO16" s="1780" t="s">
        <v>2290</v>
      </c>
      <c r="AP16" s="1780" t="s">
        <v>2983</v>
      </c>
      <c r="AQ16" s="1780" t="s">
        <v>3053</v>
      </c>
      <c r="AR16" s="1780" t="s">
        <v>2856</v>
      </c>
      <c r="AS16" s="1780" t="s">
        <v>2851</v>
      </c>
      <c r="AT16" s="1780" t="s">
        <v>3054</v>
      </c>
      <c r="AU16" s="1780" t="s">
        <v>2553</v>
      </c>
      <c r="AV16" s="1780" t="s">
        <v>3055</v>
      </c>
      <c r="AW16" s="1780" t="s">
        <v>2613</v>
      </c>
      <c r="AX16" s="1780" t="s">
        <v>2398</v>
      </c>
      <c r="AY16" s="1780" t="s">
        <v>2984</v>
      </c>
      <c r="AZ16" s="1780" t="s">
        <v>2851</v>
      </c>
      <c r="BA16" s="715" t="s">
        <v>295</v>
      </c>
      <c r="BB16" s="1397" t="s">
        <v>796</v>
      </c>
      <c r="BC16" s="715" t="s">
        <v>295</v>
      </c>
      <c r="BD16" s="1397" t="s">
        <v>796</v>
      </c>
      <c r="BE16" s="1780" t="s">
        <v>2857</v>
      </c>
      <c r="BF16" s="1780" t="s">
        <v>2782</v>
      </c>
      <c r="BG16" s="1780" t="s">
        <v>2808</v>
      </c>
      <c r="BH16" s="1780" t="s">
        <v>2932</v>
      </c>
      <c r="BI16" s="1780" t="s">
        <v>3056</v>
      </c>
      <c r="BJ16" s="1780" t="s">
        <v>2927</v>
      </c>
      <c r="BK16" s="1780" t="s">
        <v>2886</v>
      </c>
      <c r="BL16" s="1780" t="s">
        <v>2809</v>
      </c>
      <c r="BM16" s="1780" t="s">
        <v>3057</v>
      </c>
      <c r="BN16" s="715" t="s">
        <v>295</v>
      </c>
      <c r="BO16" s="1397" t="s">
        <v>796</v>
      </c>
    </row>
    <row r="17" spans="1:67" ht="11.45" customHeight="1">
      <c r="A17" s="716" t="s">
        <v>296</v>
      </c>
      <c r="B17" s="717" t="s">
        <v>797</v>
      </c>
      <c r="C17" s="1781" t="s">
        <v>2937</v>
      </c>
      <c r="D17" s="1781" t="s">
        <v>2938</v>
      </c>
      <c r="E17" s="1781" t="s">
        <v>2932</v>
      </c>
      <c r="F17" s="1781" t="s">
        <v>2927</v>
      </c>
      <c r="G17" s="1781" t="s">
        <v>2509</v>
      </c>
      <c r="H17" s="1781" t="s">
        <v>2939</v>
      </c>
      <c r="I17" s="1781" t="s">
        <v>2927</v>
      </c>
      <c r="J17" s="1781" t="s">
        <v>2927</v>
      </c>
      <c r="K17" s="1781" t="s">
        <v>2945</v>
      </c>
      <c r="L17" s="1781" t="s">
        <v>3058</v>
      </c>
      <c r="M17" s="1781" t="s">
        <v>2552</v>
      </c>
      <c r="N17" s="1781" t="s">
        <v>2935</v>
      </c>
      <c r="O17" s="1781" t="s">
        <v>2939</v>
      </c>
      <c r="P17" s="1781" t="s">
        <v>2418</v>
      </c>
      <c r="Q17" s="1781" t="s">
        <v>2758</v>
      </c>
      <c r="R17" s="1781" t="s">
        <v>2933</v>
      </c>
      <c r="S17" s="1107" t="s">
        <v>296</v>
      </c>
      <c r="T17" s="717" t="s">
        <v>797</v>
      </c>
      <c r="U17" s="716" t="s">
        <v>296</v>
      </c>
      <c r="V17" s="717" t="s">
        <v>797</v>
      </c>
      <c r="W17" s="1781" t="s">
        <v>2858</v>
      </c>
      <c r="X17" s="1781" t="s">
        <v>2942</v>
      </c>
      <c r="Y17" s="1781" t="s">
        <v>3059</v>
      </c>
      <c r="Z17" s="1781" t="s">
        <v>2859</v>
      </c>
      <c r="AA17" s="1781" t="s">
        <v>2952</v>
      </c>
      <c r="AB17" s="1781" t="s">
        <v>3060</v>
      </c>
      <c r="AC17" s="1781" t="s">
        <v>2953</v>
      </c>
      <c r="AD17" s="1781" t="s">
        <v>3061</v>
      </c>
      <c r="AE17" s="1781" t="s">
        <v>2954</v>
      </c>
      <c r="AF17" s="1781" t="s">
        <v>2942</v>
      </c>
      <c r="AG17" s="1781" t="s">
        <v>2927</v>
      </c>
      <c r="AH17" s="1781" t="s">
        <v>3062</v>
      </c>
      <c r="AI17" s="716" t="s">
        <v>296</v>
      </c>
      <c r="AJ17" s="717" t="s">
        <v>797</v>
      </c>
      <c r="AK17" s="716" t="s">
        <v>296</v>
      </c>
      <c r="AL17" s="717" t="s">
        <v>797</v>
      </c>
      <c r="AM17" s="1781" t="s">
        <v>2985</v>
      </c>
      <c r="AN17" s="1781" t="s">
        <v>2986</v>
      </c>
      <c r="AO17" s="1781" t="s">
        <v>2934</v>
      </c>
      <c r="AP17" s="1781" t="s">
        <v>2987</v>
      </c>
      <c r="AQ17" s="1781" t="s">
        <v>3063</v>
      </c>
      <c r="AR17" s="1781" t="s">
        <v>2908</v>
      </c>
      <c r="AS17" s="1781" t="s">
        <v>3064</v>
      </c>
      <c r="AT17" s="1781" t="s">
        <v>3065</v>
      </c>
      <c r="AU17" s="1781" t="s">
        <v>1313</v>
      </c>
      <c r="AV17" s="1781" t="s">
        <v>3066</v>
      </c>
      <c r="AW17" s="1781" t="s">
        <v>3036</v>
      </c>
      <c r="AX17" s="1781" t="s">
        <v>2516</v>
      </c>
      <c r="AY17" s="1781" t="s">
        <v>2940</v>
      </c>
      <c r="AZ17" s="1781" t="s">
        <v>2851</v>
      </c>
      <c r="BA17" s="716" t="s">
        <v>296</v>
      </c>
      <c r="BB17" s="717" t="s">
        <v>797</v>
      </c>
      <c r="BC17" s="716" t="s">
        <v>296</v>
      </c>
      <c r="BD17" s="717" t="s">
        <v>797</v>
      </c>
      <c r="BE17" s="1781" t="s">
        <v>2860</v>
      </c>
      <c r="BF17" s="1781" t="s">
        <v>2759</v>
      </c>
      <c r="BG17" s="1781" t="s">
        <v>3067</v>
      </c>
      <c r="BH17" s="1781" t="s">
        <v>2927</v>
      </c>
      <c r="BI17" s="1781" t="s">
        <v>3056</v>
      </c>
      <c r="BJ17" s="1781" t="s">
        <v>2925</v>
      </c>
      <c r="BK17" s="1781" t="s">
        <v>2807</v>
      </c>
      <c r="BL17" s="1781" t="s">
        <v>2810</v>
      </c>
      <c r="BM17" s="1781" t="s">
        <v>2960</v>
      </c>
      <c r="BN17" s="716" t="s">
        <v>296</v>
      </c>
      <c r="BO17" s="717" t="s">
        <v>797</v>
      </c>
    </row>
    <row r="18" spans="1:67" ht="11.45" customHeight="1">
      <c r="A18" s="715" t="s">
        <v>301</v>
      </c>
      <c r="B18" s="1397" t="s">
        <v>798</v>
      </c>
      <c r="C18" s="1780" t="s">
        <v>2941</v>
      </c>
      <c r="D18" s="1780" t="s">
        <v>2927</v>
      </c>
      <c r="E18" s="1780" t="s">
        <v>2932</v>
      </c>
      <c r="F18" s="1780" t="s">
        <v>2939</v>
      </c>
      <c r="G18" s="1780" t="s">
        <v>2510</v>
      </c>
      <c r="H18" s="1780" t="s">
        <v>2942</v>
      </c>
      <c r="I18" s="1780" t="s">
        <v>2939</v>
      </c>
      <c r="J18" s="1780" t="s">
        <v>3068</v>
      </c>
      <c r="K18" s="1780" t="s">
        <v>2909</v>
      </c>
      <c r="L18" s="1780" t="s">
        <v>3069</v>
      </c>
      <c r="M18" s="1780" t="s">
        <v>2537</v>
      </c>
      <c r="N18" s="1780" t="s">
        <v>2935</v>
      </c>
      <c r="O18" s="1780" t="s">
        <v>2942</v>
      </c>
      <c r="P18" s="1780" t="s">
        <v>2888</v>
      </c>
      <c r="Q18" s="1780" t="s">
        <v>2850</v>
      </c>
      <c r="R18" s="1780" t="s">
        <v>3070</v>
      </c>
      <c r="S18" s="1108" t="s">
        <v>301</v>
      </c>
      <c r="T18" s="1397" t="s">
        <v>798</v>
      </c>
      <c r="U18" s="715" t="s">
        <v>301</v>
      </c>
      <c r="V18" s="1397" t="s">
        <v>798</v>
      </c>
      <c r="W18" s="1780" t="s">
        <v>3071</v>
      </c>
      <c r="X18" s="1780" t="s">
        <v>2936</v>
      </c>
      <c r="Y18" s="1780" t="s">
        <v>3072</v>
      </c>
      <c r="Z18" s="1780" t="s">
        <v>2861</v>
      </c>
      <c r="AA18" s="1780" t="s">
        <v>2955</v>
      </c>
      <c r="AB18" s="1780" t="s">
        <v>3067</v>
      </c>
      <c r="AC18" s="1780" t="s">
        <v>2956</v>
      </c>
      <c r="AD18" s="1780" t="s">
        <v>2909</v>
      </c>
      <c r="AE18" s="1780" t="s">
        <v>2780</v>
      </c>
      <c r="AF18" s="1780" t="s">
        <v>2940</v>
      </c>
      <c r="AG18" s="1780" t="s">
        <v>2940</v>
      </c>
      <c r="AH18" s="1780" t="s">
        <v>3062</v>
      </c>
      <c r="AI18" s="715" t="s">
        <v>301</v>
      </c>
      <c r="AJ18" s="1397" t="s">
        <v>798</v>
      </c>
      <c r="AK18" s="715" t="s">
        <v>301</v>
      </c>
      <c r="AL18" s="1397" t="s">
        <v>798</v>
      </c>
      <c r="AM18" s="1780" t="s">
        <v>2988</v>
      </c>
      <c r="AN18" s="1780" t="s">
        <v>2986</v>
      </c>
      <c r="AO18" s="1780" t="s">
        <v>3073</v>
      </c>
      <c r="AP18" s="1780" t="s">
        <v>2781</v>
      </c>
      <c r="AQ18" s="1780" t="s">
        <v>3074</v>
      </c>
      <c r="AR18" s="1780" t="s">
        <v>2989</v>
      </c>
      <c r="AS18" s="1780" t="s">
        <v>2955</v>
      </c>
      <c r="AT18" s="1780" t="s">
        <v>3075</v>
      </c>
      <c r="AU18" s="1780" t="s">
        <v>2554</v>
      </c>
      <c r="AV18" s="1780" t="s">
        <v>3076</v>
      </c>
      <c r="AW18" s="1780" t="s">
        <v>3074</v>
      </c>
      <c r="AX18" s="1780" t="s">
        <v>2783</v>
      </c>
      <c r="AY18" s="1780" t="s">
        <v>2932</v>
      </c>
      <c r="AZ18" s="1780" t="s">
        <v>2851</v>
      </c>
      <c r="BA18" s="715" t="s">
        <v>301</v>
      </c>
      <c r="BB18" s="1397" t="s">
        <v>798</v>
      </c>
      <c r="BC18" s="715" t="s">
        <v>301</v>
      </c>
      <c r="BD18" s="1397" t="s">
        <v>798</v>
      </c>
      <c r="BE18" s="1780" t="s">
        <v>2863</v>
      </c>
      <c r="BF18" s="1780" t="s">
        <v>3077</v>
      </c>
      <c r="BG18" s="1780" t="s">
        <v>2539</v>
      </c>
      <c r="BH18" s="1780" t="s">
        <v>3078</v>
      </c>
      <c r="BI18" s="1780" t="s">
        <v>2518</v>
      </c>
      <c r="BJ18" s="1780" t="s">
        <v>2968</v>
      </c>
      <c r="BK18" s="1780" t="s">
        <v>2280</v>
      </c>
      <c r="BL18" s="1780" t="s">
        <v>2810</v>
      </c>
      <c r="BM18" s="1780" t="s">
        <v>2949</v>
      </c>
      <c r="BN18" s="715" t="s">
        <v>301</v>
      </c>
      <c r="BO18" s="1397" t="s">
        <v>798</v>
      </c>
    </row>
    <row r="19" spans="1:67" ht="11.45" customHeight="1">
      <c r="A19" s="2469" t="s">
        <v>146</v>
      </c>
      <c r="B19" s="2469"/>
      <c r="C19" s="1783"/>
      <c r="D19" s="1783"/>
      <c r="E19" s="1783"/>
      <c r="F19" s="1783"/>
      <c r="G19" s="1783"/>
      <c r="H19" s="1783"/>
      <c r="I19" s="1783"/>
      <c r="J19" s="1783"/>
      <c r="K19" s="1783"/>
      <c r="L19" s="1783"/>
      <c r="M19" s="1783"/>
      <c r="N19" s="1783"/>
      <c r="O19" s="1783"/>
      <c r="P19" s="1783" t="s">
        <v>132</v>
      </c>
      <c r="Q19" s="1783"/>
      <c r="R19" s="1783"/>
      <c r="S19" s="2469" t="s">
        <v>146</v>
      </c>
      <c r="T19" s="2469"/>
      <c r="U19" s="2469" t="s">
        <v>146</v>
      </c>
      <c r="V19" s="2469"/>
      <c r="W19" s="1783"/>
      <c r="X19" s="1783"/>
      <c r="Y19" s="1783"/>
      <c r="Z19" s="1783"/>
      <c r="AA19" s="1783"/>
      <c r="AB19" s="1783"/>
      <c r="AC19" s="1783"/>
      <c r="AD19" s="1783"/>
      <c r="AE19" s="1783"/>
      <c r="AF19" s="1783"/>
      <c r="AG19" s="1783"/>
      <c r="AH19" s="1783"/>
      <c r="AI19" s="2469" t="s">
        <v>146</v>
      </c>
      <c r="AJ19" s="2469"/>
      <c r="AK19" s="2469" t="s">
        <v>146</v>
      </c>
      <c r="AL19" s="2469"/>
      <c r="AM19" s="1783"/>
      <c r="AN19" s="1783"/>
      <c r="AO19" s="1783"/>
      <c r="AP19" s="1783"/>
      <c r="AQ19" s="1783"/>
      <c r="AR19" s="1783"/>
      <c r="AS19" s="1783"/>
      <c r="AT19" s="1783"/>
      <c r="AU19" s="1783"/>
      <c r="AV19" s="1783"/>
      <c r="AW19" s="1783"/>
      <c r="AX19" s="1783"/>
      <c r="AY19" s="1783"/>
      <c r="AZ19" s="1783"/>
      <c r="BA19" s="2469" t="s">
        <v>146</v>
      </c>
      <c r="BB19" s="2469"/>
      <c r="BC19" s="2469" t="s">
        <v>146</v>
      </c>
      <c r="BD19" s="2469"/>
      <c r="BE19" s="1783"/>
      <c r="BF19" s="1783"/>
      <c r="BG19" s="1783"/>
      <c r="BH19" s="1783"/>
      <c r="BI19" s="1783"/>
      <c r="BJ19" s="1783"/>
      <c r="BK19" s="1783"/>
      <c r="BL19" s="1783"/>
      <c r="BM19" s="1783"/>
      <c r="BN19" s="2469" t="s">
        <v>146</v>
      </c>
      <c r="BO19" s="2469"/>
    </row>
    <row r="20" spans="1:67" ht="11.45" customHeight="1">
      <c r="A20" s="2470" t="s">
        <v>147</v>
      </c>
      <c r="B20" s="2470"/>
      <c r="C20" s="1784"/>
      <c r="D20" s="1784"/>
      <c r="E20" s="1784"/>
      <c r="F20" s="1784"/>
      <c r="G20" s="1784"/>
      <c r="H20" s="1784"/>
      <c r="I20" s="1784"/>
      <c r="J20" s="1784"/>
      <c r="K20" s="1784"/>
      <c r="L20" s="1784"/>
      <c r="M20" s="1784"/>
      <c r="N20" s="1784"/>
      <c r="O20" s="1784"/>
      <c r="P20" s="1784"/>
      <c r="Q20" s="1784"/>
      <c r="R20" s="1784"/>
      <c r="S20" s="2470" t="s">
        <v>147</v>
      </c>
      <c r="T20" s="2470"/>
      <c r="U20" s="2470" t="s">
        <v>147</v>
      </c>
      <c r="V20" s="2470"/>
      <c r="W20" s="1784"/>
      <c r="X20" s="1784"/>
      <c r="Y20" s="1784"/>
      <c r="Z20" s="1784"/>
      <c r="AA20" s="1784"/>
      <c r="AB20" s="1784"/>
      <c r="AC20" s="1784"/>
      <c r="AD20" s="1784"/>
      <c r="AE20" s="1784"/>
      <c r="AF20" s="1784"/>
      <c r="AG20" s="1784"/>
      <c r="AH20" s="1784"/>
      <c r="AI20" s="2470" t="s">
        <v>147</v>
      </c>
      <c r="AJ20" s="2470"/>
      <c r="AK20" s="2470" t="s">
        <v>147</v>
      </c>
      <c r="AL20" s="2470"/>
      <c r="AM20" s="1784"/>
      <c r="AN20" s="1784"/>
      <c r="AO20" s="1784"/>
      <c r="AP20" s="1784"/>
      <c r="AQ20" s="1784"/>
      <c r="AR20" s="1784"/>
      <c r="AS20" s="1784"/>
      <c r="AT20" s="1784"/>
      <c r="AU20" s="1784"/>
      <c r="AV20" s="1784"/>
      <c r="AW20" s="1784"/>
      <c r="AX20" s="1784"/>
      <c r="AY20" s="1784"/>
      <c r="AZ20" s="1784"/>
      <c r="BA20" s="2470" t="s">
        <v>147</v>
      </c>
      <c r="BB20" s="2470"/>
      <c r="BC20" s="2470" t="s">
        <v>147</v>
      </c>
      <c r="BD20" s="2470"/>
      <c r="BE20" s="1784"/>
      <c r="BF20" s="1784"/>
      <c r="BG20" s="1784"/>
      <c r="BH20" s="1784"/>
      <c r="BI20" s="1784"/>
      <c r="BJ20" s="1784"/>
      <c r="BK20" s="1784"/>
      <c r="BL20" s="1784"/>
      <c r="BM20" s="1784"/>
      <c r="BN20" s="2470" t="s">
        <v>147</v>
      </c>
      <c r="BO20" s="2470"/>
    </row>
    <row r="21" spans="1:67" ht="11.45" customHeight="1">
      <c r="A21" s="718"/>
      <c r="B21" s="317" t="s">
        <v>148</v>
      </c>
      <c r="C21" s="1783" t="s">
        <v>2628</v>
      </c>
      <c r="D21" s="1783">
        <v>12.4</v>
      </c>
      <c r="E21" s="1783" t="s">
        <v>2669</v>
      </c>
      <c r="F21" s="1783" t="s">
        <v>2991</v>
      </c>
      <c r="G21" s="1783" t="s">
        <v>2540</v>
      </c>
      <c r="H21" s="1783" t="s">
        <v>2730</v>
      </c>
      <c r="I21" s="1783">
        <v>12.5</v>
      </c>
      <c r="J21" s="1783" t="s">
        <v>2784</v>
      </c>
      <c r="K21" s="1783" t="s">
        <v>52</v>
      </c>
      <c r="L21" s="1783" t="s">
        <v>2671</v>
      </c>
      <c r="M21" s="1783" t="s">
        <v>2457</v>
      </c>
      <c r="N21" s="1783">
        <v>14.5</v>
      </c>
      <c r="O21" s="1783" t="s">
        <v>2543</v>
      </c>
      <c r="P21" s="1783">
        <v>13.5</v>
      </c>
      <c r="Q21" s="1783" t="s">
        <v>2457</v>
      </c>
      <c r="R21" s="1783" t="s">
        <v>2457</v>
      </c>
      <c r="S21" s="1101"/>
      <c r="T21" s="317" t="s">
        <v>148</v>
      </c>
      <c r="U21" s="668"/>
      <c r="V21" s="317" t="s">
        <v>148</v>
      </c>
      <c r="W21" s="1783" t="s">
        <v>2459</v>
      </c>
      <c r="X21" s="1783" t="s">
        <v>2464</v>
      </c>
      <c r="Y21" s="1783" t="s">
        <v>2466</v>
      </c>
      <c r="Z21" s="1783" t="s">
        <v>2460</v>
      </c>
      <c r="AA21" s="1783" t="s">
        <v>2670</v>
      </c>
      <c r="AB21" s="1783" t="s">
        <v>2459</v>
      </c>
      <c r="AC21" s="1783" t="s">
        <v>2474</v>
      </c>
      <c r="AD21" s="1783" t="s">
        <v>2461</v>
      </c>
      <c r="AE21" s="1783" t="s">
        <v>2814</v>
      </c>
      <c r="AF21" s="1783" t="s">
        <v>2545</v>
      </c>
      <c r="AG21" s="1783" t="s">
        <v>2699</v>
      </c>
      <c r="AH21" s="1783">
        <v>13.5</v>
      </c>
      <c r="AI21" s="668"/>
      <c r="AJ21" s="317" t="s">
        <v>148</v>
      </c>
      <c r="AK21" s="668"/>
      <c r="AL21" s="317" t="s">
        <v>148</v>
      </c>
      <c r="AM21" s="1783" t="s">
        <v>2457</v>
      </c>
      <c r="AN21" s="1783">
        <v>13</v>
      </c>
      <c r="AO21" s="1783" t="s">
        <v>2457</v>
      </c>
      <c r="AP21" s="1783" t="s">
        <v>2462</v>
      </c>
      <c r="AQ21" s="1783" t="s">
        <v>2461</v>
      </c>
      <c r="AR21" s="1783" t="s">
        <v>2648</v>
      </c>
      <c r="AS21" s="1783" t="s">
        <v>2465</v>
      </c>
      <c r="AT21" s="1783" t="s">
        <v>2699</v>
      </c>
      <c r="AU21" s="1783" t="s">
        <v>2545</v>
      </c>
      <c r="AV21" s="1783" t="s">
        <v>2459</v>
      </c>
      <c r="AW21" s="1783" t="s">
        <v>2460</v>
      </c>
      <c r="AX21" s="1783" t="s">
        <v>2460</v>
      </c>
      <c r="AY21" s="1783" t="s">
        <v>2461</v>
      </c>
      <c r="AZ21" s="1783" t="s">
        <v>2457</v>
      </c>
      <c r="BA21" s="668"/>
      <c r="BB21" s="317" t="s">
        <v>148</v>
      </c>
      <c r="BC21" s="668"/>
      <c r="BD21" s="317" t="s">
        <v>148</v>
      </c>
      <c r="BE21" s="1783" t="s">
        <v>2460</v>
      </c>
      <c r="BF21" s="1783" t="s">
        <v>2471</v>
      </c>
      <c r="BG21" s="1783" t="s">
        <v>2700</v>
      </c>
      <c r="BH21" s="1783" t="s">
        <v>2889</v>
      </c>
      <c r="BI21" s="1783" t="s">
        <v>1313</v>
      </c>
      <c r="BJ21" s="1783" t="s">
        <v>2887</v>
      </c>
      <c r="BK21" s="1783" t="s">
        <v>2512</v>
      </c>
      <c r="BL21" s="1783" t="s">
        <v>2471</v>
      </c>
      <c r="BM21" s="1783" t="s">
        <v>2992</v>
      </c>
      <c r="BN21" s="668"/>
      <c r="BO21" s="317" t="s">
        <v>148</v>
      </c>
    </row>
    <row r="22" spans="1:67" ht="11.45" customHeight="1">
      <c r="A22" s="30"/>
      <c r="B22" s="719" t="s">
        <v>149</v>
      </c>
      <c r="C22" s="1785" t="s">
        <v>52</v>
      </c>
      <c r="D22" s="1785" t="s">
        <v>52</v>
      </c>
      <c r="E22" s="1785" t="s">
        <v>52</v>
      </c>
      <c r="F22" s="1785" t="s">
        <v>52</v>
      </c>
      <c r="G22" s="1785" t="s">
        <v>52</v>
      </c>
      <c r="H22" s="1785" t="s">
        <v>52</v>
      </c>
      <c r="I22" s="1785" t="s">
        <v>52</v>
      </c>
      <c r="J22" s="1785" t="s">
        <v>52</v>
      </c>
      <c r="K22" s="1785" t="s">
        <v>52</v>
      </c>
      <c r="L22" s="1785" t="s">
        <v>52</v>
      </c>
      <c r="M22" s="1785" t="s">
        <v>52</v>
      </c>
      <c r="N22" s="1785" t="s">
        <v>52</v>
      </c>
      <c r="O22" s="1785" t="s">
        <v>2460</v>
      </c>
      <c r="P22" s="1785" t="s">
        <v>52</v>
      </c>
      <c r="Q22" s="1785" t="s">
        <v>52</v>
      </c>
      <c r="R22" s="1785" t="s">
        <v>52</v>
      </c>
      <c r="S22" s="1102"/>
      <c r="T22" s="719" t="s">
        <v>149</v>
      </c>
      <c r="V22" s="719" t="s">
        <v>149</v>
      </c>
      <c r="W22" s="1785" t="s">
        <v>52</v>
      </c>
      <c r="X22" s="1785" t="s">
        <v>52</v>
      </c>
      <c r="Y22" s="1785" t="s">
        <v>52</v>
      </c>
      <c r="Z22" s="1785" t="s">
        <v>52</v>
      </c>
      <c r="AA22" s="1785" t="s">
        <v>52</v>
      </c>
      <c r="AB22" s="1785" t="s">
        <v>2467</v>
      </c>
      <c r="AC22" s="1785" t="s">
        <v>2474</v>
      </c>
      <c r="AD22" s="1785" t="s">
        <v>52</v>
      </c>
      <c r="AE22" s="1785" t="s">
        <v>52</v>
      </c>
      <c r="AF22" s="1785" t="s">
        <v>2545</v>
      </c>
      <c r="AG22" s="1785" t="s">
        <v>52</v>
      </c>
      <c r="AH22" s="1785" t="s">
        <v>52</v>
      </c>
      <c r="AJ22" s="719" t="s">
        <v>149</v>
      </c>
      <c r="AL22" s="719" t="s">
        <v>149</v>
      </c>
      <c r="AM22" s="1785" t="s">
        <v>52</v>
      </c>
      <c r="AN22" s="1785" t="s">
        <v>52</v>
      </c>
      <c r="AO22" s="1785" t="s">
        <v>52</v>
      </c>
      <c r="AP22" s="1785" t="s">
        <v>52</v>
      </c>
      <c r="AQ22" s="1785" t="s">
        <v>52</v>
      </c>
      <c r="AR22" s="1785" t="s">
        <v>52</v>
      </c>
      <c r="AS22" s="1785"/>
      <c r="AT22" s="1785" t="s">
        <v>52</v>
      </c>
      <c r="AU22" s="1785" t="s">
        <v>52</v>
      </c>
      <c r="AV22" s="1785" t="s">
        <v>52</v>
      </c>
      <c r="AW22" s="1785" t="s">
        <v>52</v>
      </c>
      <c r="AX22" s="1785" t="s">
        <v>52</v>
      </c>
      <c r="AY22" s="1785" t="s">
        <v>52</v>
      </c>
      <c r="AZ22" s="1785" t="s">
        <v>52</v>
      </c>
      <c r="BB22" s="719" t="s">
        <v>149</v>
      </c>
      <c r="BD22" s="719" t="s">
        <v>149</v>
      </c>
      <c r="BE22" s="1785" t="s">
        <v>52</v>
      </c>
      <c r="BF22" s="1785" t="s">
        <v>52</v>
      </c>
      <c r="BG22" s="1785" t="s">
        <v>52</v>
      </c>
      <c r="BH22" s="1785" t="s">
        <v>52</v>
      </c>
      <c r="BI22" s="1785" t="s">
        <v>52</v>
      </c>
      <c r="BJ22" s="1785" t="s">
        <v>52</v>
      </c>
      <c r="BK22" s="1785" t="s">
        <v>52</v>
      </c>
      <c r="BL22" s="1785" t="s">
        <v>52</v>
      </c>
      <c r="BM22" s="1785" t="s">
        <v>52</v>
      </c>
      <c r="BO22" s="719" t="s">
        <v>149</v>
      </c>
    </row>
    <row r="23" spans="1:67" ht="22.5" customHeight="1">
      <c r="A23" s="2469" t="s">
        <v>155</v>
      </c>
      <c r="B23" s="2469"/>
      <c r="C23" s="1783"/>
      <c r="D23" s="1783"/>
      <c r="E23" s="1783"/>
      <c r="F23" s="1783"/>
      <c r="G23" s="1783"/>
      <c r="H23" s="1783"/>
      <c r="I23" s="1783"/>
      <c r="J23" s="1783"/>
      <c r="K23" s="1783"/>
      <c r="L23" s="1783"/>
      <c r="M23" s="1783"/>
      <c r="N23" s="1783"/>
      <c r="O23" s="1783"/>
      <c r="P23" s="1783"/>
      <c r="Q23" s="1783"/>
      <c r="R23" s="1783"/>
      <c r="S23" s="2469" t="s">
        <v>155</v>
      </c>
      <c r="T23" s="2469"/>
      <c r="U23" s="2469" t="s">
        <v>155</v>
      </c>
      <c r="V23" s="2469"/>
      <c r="W23" s="1783"/>
      <c r="X23" s="1783"/>
      <c r="Y23" s="1783"/>
      <c r="Z23" s="1783"/>
      <c r="AA23" s="1783"/>
      <c r="AB23" s="1783"/>
      <c r="AC23" s="1783"/>
      <c r="AD23" s="1783"/>
      <c r="AE23" s="1783"/>
      <c r="AF23" s="1783"/>
      <c r="AG23" s="1783"/>
      <c r="AH23" s="1783"/>
      <c r="AI23" s="2469" t="s">
        <v>155</v>
      </c>
      <c r="AJ23" s="2469"/>
      <c r="AK23" s="2469" t="s">
        <v>155</v>
      </c>
      <c r="AL23" s="2469"/>
      <c r="AM23" s="1783"/>
      <c r="AN23" s="1783"/>
      <c r="AO23" s="1783"/>
      <c r="AP23" s="1783"/>
      <c r="AQ23" s="1783"/>
      <c r="AR23" s="1783"/>
      <c r="AS23" s="1783"/>
      <c r="AT23" s="1783"/>
      <c r="AU23" s="1783"/>
      <c r="AV23" s="1783"/>
      <c r="AW23" s="1783"/>
      <c r="AX23" s="1783"/>
      <c r="AY23" s="1783"/>
      <c r="AZ23" s="1783"/>
      <c r="BA23" s="2469" t="s">
        <v>155</v>
      </c>
      <c r="BB23" s="2469"/>
      <c r="BC23" s="2469" t="s">
        <v>155</v>
      </c>
      <c r="BD23" s="2469"/>
      <c r="BE23" s="1783"/>
      <c r="BF23" s="1783"/>
      <c r="BG23" s="1783"/>
      <c r="BH23" s="1783"/>
      <c r="BI23" s="1783"/>
      <c r="BJ23" s="1783"/>
      <c r="BK23" s="1783"/>
      <c r="BL23" s="1783"/>
      <c r="BM23" s="1783"/>
      <c r="BN23" s="2469" t="s">
        <v>155</v>
      </c>
      <c r="BO23" s="2469"/>
    </row>
    <row r="24" spans="1:67" ht="11.45" customHeight="1">
      <c r="B24" s="719" t="s">
        <v>148</v>
      </c>
      <c r="C24" s="1784">
        <v>13.25</v>
      </c>
      <c r="D24" s="1784">
        <v>13.4</v>
      </c>
      <c r="E24" s="1784">
        <v>9</v>
      </c>
      <c r="F24" s="1784">
        <v>13.5</v>
      </c>
      <c r="G24" s="1784" t="s">
        <v>2541</v>
      </c>
      <c r="H24" s="1784">
        <v>13.4</v>
      </c>
      <c r="I24" s="1784" t="s">
        <v>52</v>
      </c>
      <c r="J24" s="1784" t="s">
        <v>52</v>
      </c>
      <c r="K24" s="1784" t="s">
        <v>52</v>
      </c>
      <c r="L24" s="1784" t="s">
        <v>2457</v>
      </c>
      <c r="M24" s="1784" t="s">
        <v>2458</v>
      </c>
      <c r="N24" s="1784" t="s">
        <v>2469</v>
      </c>
      <c r="O24" s="1784" t="s">
        <v>2458</v>
      </c>
      <c r="P24" s="1784">
        <v>14.5</v>
      </c>
      <c r="Q24" s="1784" t="s">
        <v>2458</v>
      </c>
      <c r="R24" s="1784" t="s">
        <v>2458</v>
      </c>
      <c r="S24" s="1102"/>
      <c r="T24" s="719" t="s">
        <v>148</v>
      </c>
      <c r="V24" s="719" t="s">
        <v>148</v>
      </c>
      <c r="W24" s="1784" t="s">
        <v>2457</v>
      </c>
      <c r="X24" s="1784" t="s">
        <v>2672</v>
      </c>
      <c r="Y24" s="1784" t="s">
        <v>3079</v>
      </c>
      <c r="Z24" s="1784" t="s">
        <v>52</v>
      </c>
      <c r="AA24" s="1784" t="s">
        <v>2522</v>
      </c>
      <c r="AB24" s="1784" t="s">
        <v>2457</v>
      </c>
      <c r="AC24" s="1784" t="s">
        <v>2459</v>
      </c>
      <c r="AD24" s="1784" t="s">
        <v>2615</v>
      </c>
      <c r="AE24" s="1784" t="s">
        <v>2812</v>
      </c>
      <c r="AF24" s="1784" t="s">
        <v>2458</v>
      </c>
      <c r="AG24" s="1784" t="s">
        <v>2464</v>
      </c>
      <c r="AH24" s="1784" t="s">
        <v>2469</v>
      </c>
      <c r="AJ24" s="719" t="s">
        <v>148</v>
      </c>
      <c r="AL24" s="719" t="s">
        <v>148</v>
      </c>
      <c r="AM24" s="1784" t="s">
        <v>2458</v>
      </c>
      <c r="AN24" s="1784" t="s">
        <v>2461</v>
      </c>
      <c r="AO24" s="1784" t="s">
        <v>2460</v>
      </c>
      <c r="AP24" s="1784" t="s">
        <v>2646</v>
      </c>
      <c r="AQ24" s="1784" t="s">
        <v>2461</v>
      </c>
      <c r="AR24" s="1784" t="s">
        <v>2864</v>
      </c>
      <c r="AS24" s="1784" t="s">
        <v>2811</v>
      </c>
      <c r="AT24" s="1784" t="s">
        <v>2464</v>
      </c>
      <c r="AU24" s="1784" t="s">
        <v>2457</v>
      </c>
      <c r="AV24" s="1784" t="s">
        <v>2891</v>
      </c>
      <c r="AW24" s="1784" t="s">
        <v>2458</v>
      </c>
      <c r="AX24" s="1784" t="s">
        <v>2457</v>
      </c>
      <c r="AY24" s="1784" t="s">
        <v>2469</v>
      </c>
      <c r="AZ24" s="1784" t="s">
        <v>2825</v>
      </c>
      <c r="BB24" s="719" t="s">
        <v>148</v>
      </c>
      <c r="BD24" s="719" t="s">
        <v>148</v>
      </c>
      <c r="BE24" s="1784" t="s">
        <v>2462</v>
      </c>
      <c r="BF24" s="1784" t="s">
        <v>2459</v>
      </c>
      <c r="BG24" s="1784" t="s">
        <v>2461</v>
      </c>
      <c r="BH24" s="1784" t="s">
        <v>2892</v>
      </c>
      <c r="BI24" s="1784" t="s">
        <v>52</v>
      </c>
      <c r="BJ24" s="1784" t="s">
        <v>2467</v>
      </c>
      <c r="BK24" s="1784" t="s">
        <v>2474</v>
      </c>
      <c r="BL24" s="1784" t="s">
        <v>2459</v>
      </c>
      <c r="BM24" s="1784">
        <v>12.5</v>
      </c>
      <c r="BO24" s="719" t="s">
        <v>148</v>
      </c>
    </row>
    <row r="25" spans="1:67" ht="11.45" customHeight="1">
      <c r="A25" s="668"/>
      <c r="B25" s="317" t="s">
        <v>149</v>
      </c>
      <c r="C25" s="1783" t="s">
        <v>52</v>
      </c>
      <c r="D25" s="1783" t="s">
        <v>52</v>
      </c>
      <c r="E25" s="1783" t="s">
        <v>52</v>
      </c>
      <c r="F25" s="1783" t="s">
        <v>52</v>
      </c>
      <c r="G25" s="1783" t="s">
        <v>52</v>
      </c>
      <c r="H25" s="1783" t="s">
        <v>52</v>
      </c>
      <c r="I25" s="1783">
        <v>13.75</v>
      </c>
      <c r="J25" s="1783" t="s">
        <v>52</v>
      </c>
      <c r="K25" s="1783" t="s">
        <v>52</v>
      </c>
      <c r="L25" s="1783" t="s">
        <v>52</v>
      </c>
      <c r="M25" s="1783" t="s">
        <v>2458</v>
      </c>
      <c r="N25" s="1783" t="s">
        <v>2469</v>
      </c>
      <c r="O25" s="1783" t="s">
        <v>2458</v>
      </c>
      <c r="P25" s="1783" t="s">
        <v>52</v>
      </c>
      <c r="Q25" s="1783" t="s">
        <v>2458</v>
      </c>
      <c r="R25" s="1783" t="s">
        <v>52</v>
      </c>
      <c r="S25" s="1101"/>
      <c r="T25" s="317" t="s">
        <v>149</v>
      </c>
      <c r="U25" s="668"/>
      <c r="V25" s="317" t="s">
        <v>149</v>
      </c>
      <c r="W25" s="1783" t="s">
        <v>52</v>
      </c>
      <c r="X25" s="1783" t="s">
        <v>52</v>
      </c>
      <c r="Y25" s="1783" t="s">
        <v>52</v>
      </c>
      <c r="Z25" s="1783" t="s">
        <v>2458</v>
      </c>
      <c r="AA25" s="1783" t="s">
        <v>52</v>
      </c>
      <c r="AB25" s="1783" t="s">
        <v>2993</v>
      </c>
      <c r="AC25" s="1783" t="s">
        <v>2459</v>
      </c>
      <c r="AD25" s="1783" t="s">
        <v>2616</v>
      </c>
      <c r="AE25" s="1783" t="s">
        <v>2812</v>
      </c>
      <c r="AF25" s="1783" t="s">
        <v>52</v>
      </c>
      <c r="AG25" s="1783" t="s">
        <v>2464</v>
      </c>
      <c r="AH25" s="1783" t="s">
        <v>52</v>
      </c>
      <c r="AI25" s="668"/>
      <c r="AJ25" s="317" t="s">
        <v>149</v>
      </c>
      <c r="AK25" s="668"/>
      <c r="AL25" s="317" t="s">
        <v>149</v>
      </c>
      <c r="AM25" s="1783" t="s">
        <v>2458</v>
      </c>
      <c r="AN25" s="1783" t="s">
        <v>52</v>
      </c>
      <c r="AO25" s="1783" t="s">
        <v>2465</v>
      </c>
      <c r="AP25" s="1783" t="s">
        <v>52</v>
      </c>
      <c r="AQ25" s="1783" t="s">
        <v>52</v>
      </c>
      <c r="AR25" s="1783" t="s">
        <v>52</v>
      </c>
      <c r="AS25" s="1783" t="s">
        <v>2523</v>
      </c>
      <c r="AT25" s="1783" t="s">
        <v>52</v>
      </c>
      <c r="AU25" s="1783" t="s">
        <v>52</v>
      </c>
      <c r="AV25" s="1783" t="s">
        <v>52</v>
      </c>
      <c r="AW25" s="1783" t="s">
        <v>52</v>
      </c>
      <c r="AX25" s="1783" t="s">
        <v>52</v>
      </c>
      <c r="AY25" s="1783" t="s">
        <v>52</v>
      </c>
      <c r="AZ25" s="1783" t="s">
        <v>52</v>
      </c>
      <c r="BA25" s="668"/>
      <c r="BB25" s="317" t="s">
        <v>149</v>
      </c>
      <c r="BC25" s="668"/>
      <c r="BD25" s="317" t="s">
        <v>149</v>
      </c>
      <c r="BE25" s="1783" t="s">
        <v>52</v>
      </c>
      <c r="BF25" s="1783" t="s">
        <v>2457</v>
      </c>
      <c r="BG25" s="1783" t="s">
        <v>52</v>
      </c>
      <c r="BH25" s="1783" t="s">
        <v>52</v>
      </c>
      <c r="BI25" s="1783" t="s">
        <v>52</v>
      </c>
      <c r="BJ25" s="1783" t="s">
        <v>52</v>
      </c>
      <c r="BK25" s="1783" t="s">
        <v>52</v>
      </c>
      <c r="BL25" s="1783" t="s">
        <v>52</v>
      </c>
      <c r="BM25" s="1783" t="s">
        <v>52</v>
      </c>
      <c r="BN25" s="668"/>
      <c r="BO25" s="317" t="s">
        <v>149</v>
      </c>
    </row>
    <row r="26" spans="1:67" ht="12.75" customHeight="1">
      <c r="A26" s="2470" t="s">
        <v>28</v>
      </c>
      <c r="B26" s="2470"/>
      <c r="C26" s="1784"/>
      <c r="D26" s="1784"/>
      <c r="E26" s="1784"/>
      <c r="F26" s="1784"/>
      <c r="G26" s="1784"/>
      <c r="H26" s="1784"/>
      <c r="I26" s="1784"/>
      <c r="J26" s="1784"/>
      <c r="K26" s="1784"/>
      <c r="L26" s="1784"/>
      <c r="M26" s="1784"/>
      <c r="N26" s="1784"/>
      <c r="O26" s="1784"/>
      <c r="P26" s="1784"/>
      <c r="Q26" s="1784"/>
      <c r="R26" s="1784"/>
      <c r="S26" s="2470" t="s">
        <v>28</v>
      </c>
      <c r="T26" s="2470"/>
      <c r="U26" s="2470" t="s">
        <v>28</v>
      </c>
      <c r="V26" s="2470"/>
      <c r="W26" s="1784"/>
      <c r="X26" s="1784"/>
      <c r="Y26" s="1784"/>
      <c r="Z26" s="1784"/>
      <c r="AA26" s="1784"/>
      <c r="AB26" s="1784"/>
      <c r="AC26" s="1784"/>
      <c r="AD26" s="1784"/>
      <c r="AE26" s="1784"/>
      <c r="AF26" s="1784"/>
      <c r="AG26" s="1784"/>
      <c r="AH26" s="1784"/>
      <c r="AI26" s="2470" t="s">
        <v>28</v>
      </c>
      <c r="AJ26" s="2470"/>
      <c r="AK26" s="2470" t="s">
        <v>28</v>
      </c>
      <c r="AL26" s="2470"/>
      <c r="AM26" s="1784"/>
      <c r="AN26" s="1784"/>
      <c r="AO26" s="1784"/>
      <c r="AP26" s="1784"/>
      <c r="AQ26" s="1784"/>
      <c r="AR26" s="1784"/>
      <c r="AS26" s="1784"/>
      <c r="AT26" s="1784"/>
      <c r="AU26" s="1784"/>
      <c r="AV26" s="1784"/>
      <c r="AW26" s="1784"/>
      <c r="AX26" s="1784"/>
      <c r="AY26" s="1784"/>
      <c r="AZ26" s="1784"/>
      <c r="BA26" s="2470" t="s">
        <v>28</v>
      </c>
      <c r="BB26" s="2470"/>
      <c r="BC26" s="2470" t="s">
        <v>28</v>
      </c>
      <c r="BD26" s="2470"/>
      <c r="BE26" s="1784"/>
      <c r="BF26" s="1784"/>
      <c r="BG26" s="1784"/>
      <c r="BH26" s="1784"/>
      <c r="BI26" s="1784"/>
      <c r="BJ26" s="1784"/>
      <c r="BK26" s="1784"/>
      <c r="BL26" s="1784"/>
      <c r="BM26" s="1784"/>
      <c r="BN26" s="2470" t="s">
        <v>28</v>
      </c>
      <c r="BO26" s="2470"/>
    </row>
    <row r="27" spans="1:67" ht="11.45" customHeight="1">
      <c r="A27" s="668"/>
      <c r="B27" s="317" t="s">
        <v>148</v>
      </c>
      <c r="C27" s="1783">
        <v>13.25</v>
      </c>
      <c r="D27" s="1783">
        <v>13.4</v>
      </c>
      <c r="E27" s="1783">
        <v>9</v>
      </c>
      <c r="F27" s="1783">
        <v>13.25</v>
      </c>
      <c r="G27" s="1783" t="s">
        <v>2541</v>
      </c>
      <c r="H27" s="1783">
        <v>13.4</v>
      </c>
      <c r="I27" s="1783" t="s">
        <v>52</v>
      </c>
      <c r="J27" s="1783" t="s">
        <v>2785</v>
      </c>
      <c r="K27" s="1783" t="s">
        <v>52</v>
      </c>
      <c r="L27" s="1783" t="s">
        <v>2731</v>
      </c>
      <c r="M27" s="1783" t="s">
        <v>2458</v>
      </c>
      <c r="N27" s="1783" t="s">
        <v>2589</v>
      </c>
      <c r="O27" s="1783" t="s">
        <v>2458</v>
      </c>
      <c r="P27" s="1783">
        <v>14.5</v>
      </c>
      <c r="Q27" s="1783" t="s">
        <v>2458</v>
      </c>
      <c r="R27" s="1783" t="s">
        <v>2458</v>
      </c>
      <c r="S27" s="1101"/>
      <c r="T27" s="317" t="s">
        <v>148</v>
      </c>
      <c r="U27" s="668"/>
      <c r="V27" s="317" t="s">
        <v>148</v>
      </c>
      <c r="W27" s="1783" t="s">
        <v>2457</v>
      </c>
      <c r="X27" s="1783">
        <v>14.5</v>
      </c>
      <c r="Y27" s="1783" t="s">
        <v>2462</v>
      </c>
      <c r="Z27" s="1783" t="s">
        <v>2458</v>
      </c>
      <c r="AA27" s="1783" t="s">
        <v>2465</v>
      </c>
      <c r="AB27" s="1783" t="s">
        <v>2993</v>
      </c>
      <c r="AC27" s="1783" t="s">
        <v>2459</v>
      </c>
      <c r="AD27" s="1783" t="s">
        <v>2616</v>
      </c>
      <c r="AE27" s="1783" t="s">
        <v>2812</v>
      </c>
      <c r="AF27" s="1783" t="s">
        <v>2826</v>
      </c>
      <c r="AG27" s="1783" t="s">
        <v>2464</v>
      </c>
      <c r="AH27" s="1783" t="s">
        <v>2521</v>
      </c>
      <c r="AI27" s="668"/>
      <c r="AJ27" s="317" t="s">
        <v>148</v>
      </c>
      <c r="AK27" s="668"/>
      <c r="AL27" s="317" t="s">
        <v>148</v>
      </c>
      <c r="AM27" s="1783" t="s">
        <v>2458</v>
      </c>
      <c r="AN27" s="1783" t="s">
        <v>2461</v>
      </c>
      <c r="AO27" s="1783" t="s">
        <v>2465</v>
      </c>
      <c r="AP27" s="1783" t="s">
        <v>2647</v>
      </c>
      <c r="AQ27" s="1783" t="s">
        <v>2465</v>
      </c>
      <c r="AR27" s="1783" t="s">
        <v>2786</v>
      </c>
      <c r="AS27" s="1783" t="s">
        <v>2465</v>
      </c>
      <c r="AT27" s="1783" t="s">
        <v>2464</v>
      </c>
      <c r="AU27" s="1783" t="s">
        <v>2617</v>
      </c>
      <c r="AV27" s="1783" t="s">
        <v>2461</v>
      </c>
      <c r="AW27" s="1783" t="s">
        <v>2458</v>
      </c>
      <c r="AX27" s="1783" t="s">
        <v>52</v>
      </c>
      <c r="AY27" s="1783" t="s">
        <v>2469</v>
      </c>
      <c r="AZ27" s="1783" t="s">
        <v>2461</v>
      </c>
      <c r="BA27" s="668"/>
      <c r="BB27" s="317" t="s">
        <v>148</v>
      </c>
      <c r="BC27" s="668"/>
      <c r="BD27" s="317" t="s">
        <v>148</v>
      </c>
      <c r="BE27" s="1783" t="s">
        <v>2473</v>
      </c>
      <c r="BF27" s="1783" t="s">
        <v>2548</v>
      </c>
      <c r="BG27" s="1783" t="s">
        <v>2460</v>
      </c>
      <c r="BH27" s="1783" t="s">
        <v>2892</v>
      </c>
      <c r="BI27" s="1783">
        <v>8</v>
      </c>
      <c r="BJ27" s="1783" t="s">
        <v>52</v>
      </c>
      <c r="BK27" s="1783" t="s">
        <v>2474</v>
      </c>
      <c r="BL27" s="1783" t="s">
        <v>2514</v>
      </c>
      <c r="BM27" s="1783" t="s">
        <v>2472</v>
      </c>
      <c r="BN27" s="668"/>
      <c r="BO27" s="317" t="s">
        <v>148</v>
      </c>
    </row>
    <row r="28" spans="1:67" ht="11.45" customHeight="1">
      <c r="B28" s="719" t="s">
        <v>149</v>
      </c>
      <c r="C28" s="1784" t="s">
        <v>52</v>
      </c>
      <c r="D28" s="1784" t="s">
        <v>52</v>
      </c>
      <c r="E28" s="1784" t="s">
        <v>52</v>
      </c>
      <c r="F28" s="1784" t="s">
        <v>52</v>
      </c>
      <c r="G28" s="1784" t="s">
        <v>52</v>
      </c>
      <c r="H28" s="1784" t="s">
        <v>52</v>
      </c>
      <c r="I28" s="1784">
        <v>13.75</v>
      </c>
      <c r="J28" s="1784" t="s">
        <v>52</v>
      </c>
      <c r="K28" s="1784" t="s">
        <v>52</v>
      </c>
      <c r="L28" s="1784" t="s">
        <v>52</v>
      </c>
      <c r="M28" s="1784" t="s">
        <v>2458</v>
      </c>
      <c r="N28" s="1784" t="s">
        <v>2589</v>
      </c>
      <c r="O28" s="1784" t="s">
        <v>52</v>
      </c>
      <c r="P28" s="1784" t="s">
        <v>52</v>
      </c>
      <c r="Q28" s="1784" t="s">
        <v>2458</v>
      </c>
      <c r="R28" s="1784" t="s">
        <v>52</v>
      </c>
      <c r="S28" s="1102"/>
      <c r="T28" s="719" t="s">
        <v>149</v>
      </c>
      <c r="V28" s="719" t="s">
        <v>149</v>
      </c>
      <c r="W28" s="1784" t="s">
        <v>52</v>
      </c>
      <c r="X28" s="1784" t="s">
        <v>52</v>
      </c>
      <c r="Y28" s="1784" t="s">
        <v>52</v>
      </c>
      <c r="Z28" s="1784" t="s">
        <v>52</v>
      </c>
      <c r="AA28" s="1784" t="s">
        <v>52</v>
      </c>
      <c r="AB28" s="1784" t="s">
        <v>2993</v>
      </c>
      <c r="AC28" s="1784" t="s">
        <v>52</v>
      </c>
      <c r="AD28" s="1784" t="s">
        <v>52</v>
      </c>
      <c r="AE28" s="1784" t="s">
        <v>2813</v>
      </c>
      <c r="AF28" s="1784" t="s">
        <v>52</v>
      </c>
      <c r="AG28" s="1784" t="s">
        <v>2464</v>
      </c>
      <c r="AH28" s="1784" t="s">
        <v>52</v>
      </c>
      <c r="AJ28" s="719" t="s">
        <v>149</v>
      </c>
      <c r="AL28" s="719" t="s">
        <v>149</v>
      </c>
      <c r="AM28" s="1784" t="s">
        <v>2458</v>
      </c>
      <c r="AN28" s="1784" t="s">
        <v>52</v>
      </c>
      <c r="AO28" s="1784" t="s">
        <v>52</v>
      </c>
      <c r="AP28" s="1784" t="s">
        <v>52</v>
      </c>
      <c r="AQ28" s="1784" t="s">
        <v>52</v>
      </c>
      <c r="AR28" s="1784" t="s">
        <v>52</v>
      </c>
      <c r="AS28" s="1784"/>
      <c r="AT28" s="1784" t="s">
        <v>52</v>
      </c>
      <c r="AU28" s="1784" t="s">
        <v>52</v>
      </c>
      <c r="AV28" s="1784" t="s">
        <v>52</v>
      </c>
      <c r="AW28" s="1784" t="s">
        <v>52</v>
      </c>
      <c r="AX28" s="1784" t="s">
        <v>52</v>
      </c>
      <c r="AY28" s="1784" t="s">
        <v>52</v>
      </c>
      <c r="AZ28" s="1784" t="s">
        <v>52</v>
      </c>
      <c r="BB28" s="719" t="s">
        <v>149</v>
      </c>
      <c r="BD28" s="719" t="s">
        <v>149</v>
      </c>
      <c r="BE28" s="1784" t="s">
        <v>52</v>
      </c>
      <c r="BF28" s="1784" t="s">
        <v>2548</v>
      </c>
      <c r="BG28" s="1784" t="s">
        <v>52</v>
      </c>
      <c r="BH28" s="1784" t="s">
        <v>52</v>
      </c>
      <c r="BI28" s="1784" t="s">
        <v>52</v>
      </c>
      <c r="BJ28" s="1784" t="s">
        <v>52</v>
      </c>
      <c r="BK28" s="1784" t="s">
        <v>52</v>
      </c>
      <c r="BL28" s="1784" t="s">
        <v>52</v>
      </c>
      <c r="BM28" s="1784" t="s">
        <v>52</v>
      </c>
      <c r="BO28" s="719" t="s">
        <v>149</v>
      </c>
    </row>
    <row r="29" spans="1:67" ht="21" customHeight="1">
      <c r="A29" s="2474" t="s">
        <v>159</v>
      </c>
      <c r="B29" s="2474"/>
      <c r="C29" s="1783"/>
      <c r="D29" s="1783"/>
      <c r="E29" s="1783"/>
      <c r="F29" s="1783"/>
      <c r="G29" s="1783"/>
      <c r="H29" s="1783"/>
      <c r="I29" s="1783"/>
      <c r="J29" s="1783"/>
      <c r="K29" s="1783"/>
      <c r="L29" s="1783"/>
      <c r="M29" s="1783"/>
      <c r="N29" s="1783"/>
      <c r="O29" s="1783"/>
      <c r="P29" s="1783"/>
      <c r="Q29" s="1783"/>
      <c r="R29" s="1783"/>
      <c r="S29" s="2469" t="s">
        <v>159</v>
      </c>
      <c r="T29" s="2469"/>
      <c r="U29" s="2469" t="s">
        <v>159</v>
      </c>
      <c r="V29" s="2469"/>
      <c r="W29" s="1783"/>
      <c r="X29" s="1783"/>
      <c r="Y29" s="1783"/>
      <c r="Z29" s="1783"/>
      <c r="AA29" s="1783"/>
      <c r="AB29" s="1783"/>
      <c r="AC29" s="1783"/>
      <c r="AD29" s="1783"/>
      <c r="AE29" s="1783"/>
      <c r="AF29" s="1783"/>
      <c r="AG29" s="1783"/>
      <c r="AH29" s="1783"/>
      <c r="AI29" s="2469" t="s">
        <v>159</v>
      </c>
      <c r="AJ29" s="2469"/>
      <c r="AK29" s="2469" t="s">
        <v>159</v>
      </c>
      <c r="AL29" s="2469"/>
      <c r="AM29" s="1783"/>
      <c r="AN29" s="1783"/>
      <c r="AO29" s="1783"/>
      <c r="AP29" s="1783"/>
      <c r="AQ29" s="1783"/>
      <c r="AR29" s="1783"/>
      <c r="AS29" s="1783"/>
      <c r="AT29" s="1783"/>
      <c r="AU29" s="1783"/>
      <c r="AV29" s="1783"/>
      <c r="AW29" s="1783"/>
      <c r="AX29" s="1783"/>
      <c r="AY29" s="1783"/>
      <c r="AZ29" s="1783"/>
      <c r="BA29" s="2469" t="s">
        <v>159</v>
      </c>
      <c r="BB29" s="2469"/>
      <c r="BC29" s="2469" t="s">
        <v>159</v>
      </c>
      <c r="BD29" s="2469"/>
      <c r="BE29" s="1783"/>
      <c r="BF29" s="1783"/>
      <c r="BG29" s="1783"/>
      <c r="BH29" s="1783"/>
      <c r="BI29" s="1783"/>
      <c r="BJ29" s="1783"/>
      <c r="BK29" s="1783"/>
      <c r="BL29" s="1783"/>
      <c r="BM29" s="1783"/>
      <c r="BN29" s="2469" t="s">
        <v>159</v>
      </c>
      <c r="BO29" s="2469"/>
    </row>
    <row r="30" spans="1:67" s="762" customFormat="1" ht="18.75" customHeight="1">
      <c r="A30" s="720" t="s">
        <v>303</v>
      </c>
      <c r="B30" s="721" t="s">
        <v>598</v>
      </c>
      <c r="C30" s="1784"/>
      <c r="D30" s="1784"/>
      <c r="E30" s="1784"/>
      <c r="F30" s="1784"/>
      <c r="G30" s="1784"/>
      <c r="H30" s="1784"/>
      <c r="I30" s="1784"/>
      <c r="J30" s="1784"/>
      <c r="K30" s="1784"/>
      <c r="L30" s="1784"/>
      <c r="M30" s="1784"/>
      <c r="N30" s="1784"/>
      <c r="O30" s="1784"/>
      <c r="P30" s="1784"/>
      <c r="Q30" s="1784"/>
      <c r="R30" s="1784"/>
      <c r="S30" s="720" t="s">
        <v>303</v>
      </c>
      <c r="T30" s="1104" t="s">
        <v>598</v>
      </c>
      <c r="U30" s="720" t="s">
        <v>303</v>
      </c>
      <c r="V30" s="722" t="s">
        <v>598</v>
      </c>
      <c r="W30" s="1784"/>
      <c r="X30" s="1784"/>
      <c r="Y30" s="1784"/>
      <c r="Z30" s="1784"/>
      <c r="AA30" s="1784"/>
      <c r="AB30" s="1784"/>
      <c r="AC30" s="1784"/>
      <c r="AD30" s="1784"/>
      <c r="AE30" s="1784"/>
      <c r="AF30" s="1784"/>
      <c r="AG30" s="1784"/>
      <c r="AH30" s="1784"/>
      <c r="AI30" s="720" t="s">
        <v>303</v>
      </c>
      <c r="AJ30" s="722" t="s">
        <v>598</v>
      </c>
      <c r="AK30" s="720" t="s">
        <v>303</v>
      </c>
      <c r="AL30" s="722" t="s">
        <v>598</v>
      </c>
      <c r="AM30" s="1784"/>
      <c r="AN30" s="1784"/>
      <c r="AO30" s="1784"/>
      <c r="AP30" s="1784"/>
      <c r="AQ30" s="1784"/>
      <c r="AR30" s="1784"/>
      <c r="AS30" s="1784"/>
      <c r="AT30" s="1784"/>
      <c r="AU30" s="1784"/>
      <c r="AV30" s="1784"/>
      <c r="AW30" s="1784"/>
      <c r="AX30" s="1784"/>
      <c r="AY30" s="1784"/>
      <c r="AZ30" s="1784"/>
      <c r="BA30" s="720" t="s">
        <v>303</v>
      </c>
      <c r="BB30" s="722" t="s">
        <v>598</v>
      </c>
      <c r="BC30" s="720" t="s">
        <v>303</v>
      </c>
      <c r="BD30" s="722" t="s">
        <v>598</v>
      </c>
      <c r="BE30" s="1784"/>
      <c r="BF30" s="1784"/>
      <c r="BG30" s="1784"/>
      <c r="BH30" s="1784"/>
      <c r="BI30" s="1784"/>
      <c r="BJ30" s="1784"/>
      <c r="BK30" s="1784"/>
      <c r="BL30" s="1784"/>
      <c r="BM30" s="1784"/>
      <c r="BN30" s="720" t="s">
        <v>303</v>
      </c>
      <c r="BO30" s="722" t="s">
        <v>598</v>
      </c>
    </row>
    <row r="31" spans="1:67" ht="11.45" customHeight="1">
      <c r="A31" s="723"/>
      <c r="B31" s="317" t="s">
        <v>156</v>
      </c>
      <c r="C31" s="1783">
        <v>13.25</v>
      </c>
      <c r="D31" s="1783">
        <v>13.4</v>
      </c>
      <c r="E31" s="1783">
        <v>9</v>
      </c>
      <c r="F31" s="1783">
        <v>13.5</v>
      </c>
      <c r="G31" s="1783" t="s">
        <v>2541</v>
      </c>
      <c r="H31" s="1783">
        <v>13.4</v>
      </c>
      <c r="I31" s="1783" t="s">
        <v>52</v>
      </c>
      <c r="J31" s="1783" t="s">
        <v>52</v>
      </c>
      <c r="K31" s="1783" t="s">
        <v>52</v>
      </c>
      <c r="L31" s="1783" t="s">
        <v>2544</v>
      </c>
      <c r="M31" s="1783" t="s">
        <v>2458</v>
      </c>
      <c r="N31" s="1783" t="s">
        <v>2469</v>
      </c>
      <c r="O31" s="1783" t="s">
        <v>2458</v>
      </c>
      <c r="P31" s="1783">
        <v>14.5</v>
      </c>
      <c r="Q31" s="1783" t="s">
        <v>2893</v>
      </c>
      <c r="R31" s="1783" t="s">
        <v>2458</v>
      </c>
      <c r="S31" s="1105"/>
      <c r="T31" s="317" t="s">
        <v>148</v>
      </c>
      <c r="U31" s="723"/>
      <c r="V31" s="317" t="s">
        <v>148</v>
      </c>
      <c r="W31" s="1783" t="s">
        <v>2457</v>
      </c>
      <c r="X31" s="1783" t="s">
        <v>2672</v>
      </c>
      <c r="Y31" s="1783" t="s">
        <v>3079</v>
      </c>
      <c r="Z31" s="1783" t="s">
        <v>2458</v>
      </c>
      <c r="AA31" s="1783" t="s">
        <v>2522</v>
      </c>
      <c r="AB31" s="1783" t="s">
        <v>2457</v>
      </c>
      <c r="AC31" s="1783" t="s">
        <v>2459</v>
      </c>
      <c r="AD31" s="1783" t="s">
        <v>2616</v>
      </c>
      <c r="AE31" s="1783" t="s">
        <v>2812</v>
      </c>
      <c r="AF31" s="1783" t="s">
        <v>2458</v>
      </c>
      <c r="AG31" s="1783" t="s">
        <v>2464</v>
      </c>
      <c r="AH31" s="1783" t="s">
        <v>2469</v>
      </c>
      <c r="AI31" s="723"/>
      <c r="AJ31" s="317" t="s">
        <v>148</v>
      </c>
      <c r="AK31" s="723"/>
      <c r="AL31" s="317" t="s">
        <v>148</v>
      </c>
      <c r="AM31" s="1783" t="s">
        <v>2458</v>
      </c>
      <c r="AN31" s="1783" t="s">
        <v>2461</v>
      </c>
      <c r="AO31" s="1783" t="s">
        <v>2460</v>
      </c>
      <c r="AP31" s="1783" t="s">
        <v>2648</v>
      </c>
      <c r="AQ31" s="1783" t="s">
        <v>2461</v>
      </c>
      <c r="AR31" s="1783" t="s">
        <v>2787</v>
      </c>
      <c r="AS31" s="1783" t="s">
        <v>2465</v>
      </c>
      <c r="AT31" s="1783" t="s">
        <v>2464</v>
      </c>
      <c r="AU31" s="1783" t="s">
        <v>2461</v>
      </c>
      <c r="AV31" s="1783" t="s">
        <v>2671</v>
      </c>
      <c r="AW31" s="1783" t="s">
        <v>2465</v>
      </c>
      <c r="AX31" s="1783" t="s">
        <v>52</v>
      </c>
      <c r="AY31" s="1783" t="s">
        <v>2469</v>
      </c>
      <c r="AZ31" s="1783" t="s">
        <v>2894</v>
      </c>
      <c r="BA31" s="723"/>
      <c r="BB31" s="317" t="s">
        <v>148</v>
      </c>
      <c r="BC31" s="723"/>
      <c r="BD31" s="317" t="s">
        <v>148</v>
      </c>
      <c r="BE31" s="1783" t="s">
        <v>2462</v>
      </c>
      <c r="BF31" s="1783" t="s">
        <v>2890</v>
      </c>
      <c r="BG31" s="1783" t="s">
        <v>2544</v>
      </c>
      <c r="BH31" s="1783" t="s">
        <v>2892</v>
      </c>
      <c r="BI31" s="1783">
        <v>9</v>
      </c>
      <c r="BJ31" s="1783" t="s">
        <v>2467</v>
      </c>
      <c r="BK31" s="1783" t="s">
        <v>2514</v>
      </c>
      <c r="BL31" s="1783" t="s">
        <v>2459</v>
      </c>
      <c r="BM31" s="1783">
        <v>14</v>
      </c>
      <c r="BN31" s="723"/>
      <c r="BO31" s="317" t="s">
        <v>148</v>
      </c>
    </row>
    <row r="32" spans="1:67" ht="11.45" customHeight="1">
      <c r="A32" s="720"/>
      <c r="B32" s="719" t="s">
        <v>157</v>
      </c>
      <c r="C32" s="1784" t="s">
        <v>52</v>
      </c>
      <c r="D32" s="1784" t="s">
        <v>52</v>
      </c>
      <c r="E32" s="1784" t="s">
        <v>52</v>
      </c>
      <c r="F32" s="1784" t="s">
        <v>52</v>
      </c>
      <c r="G32" s="1784" t="s">
        <v>52</v>
      </c>
      <c r="H32" s="1784" t="s">
        <v>52</v>
      </c>
      <c r="I32" s="1784">
        <v>13.75</v>
      </c>
      <c r="J32" s="1784" t="s">
        <v>52</v>
      </c>
      <c r="K32" s="1784" t="s">
        <v>52</v>
      </c>
      <c r="L32" s="1784" t="s">
        <v>52</v>
      </c>
      <c r="M32" s="1784" t="s">
        <v>2458</v>
      </c>
      <c r="N32" s="1784" t="s">
        <v>2469</v>
      </c>
      <c r="O32" s="1784" t="s">
        <v>2458</v>
      </c>
      <c r="P32" s="1784" t="s">
        <v>52</v>
      </c>
      <c r="Q32" s="1784" t="s">
        <v>2893</v>
      </c>
      <c r="R32" s="1784" t="s">
        <v>52</v>
      </c>
      <c r="S32" s="1103"/>
      <c r="T32" s="719" t="s">
        <v>149</v>
      </c>
      <c r="U32" s="720"/>
      <c r="V32" s="719" t="s">
        <v>149</v>
      </c>
      <c r="W32" s="1784" t="s">
        <v>52</v>
      </c>
      <c r="X32" s="1784" t="s">
        <v>52</v>
      </c>
      <c r="Y32" s="1784" t="s">
        <v>52</v>
      </c>
      <c r="Z32" s="1784" t="s">
        <v>52</v>
      </c>
      <c r="AA32" s="1784" t="s">
        <v>52</v>
      </c>
      <c r="AB32" s="1784" t="s">
        <v>2460</v>
      </c>
      <c r="AC32" s="1784" t="s">
        <v>2459</v>
      </c>
      <c r="AD32" s="1784" t="s">
        <v>52</v>
      </c>
      <c r="AE32" s="1784" t="s">
        <v>2812</v>
      </c>
      <c r="AF32" s="1784" t="s">
        <v>52</v>
      </c>
      <c r="AG32" s="1784" t="s">
        <v>52</v>
      </c>
      <c r="AH32" s="1784" t="s">
        <v>52</v>
      </c>
      <c r="AI32" s="720"/>
      <c r="AJ32" s="719" t="s">
        <v>149</v>
      </c>
      <c r="AK32" s="720"/>
      <c r="AL32" s="719" t="s">
        <v>149</v>
      </c>
      <c r="AM32" s="1784" t="s">
        <v>52</v>
      </c>
      <c r="AN32" s="1784" t="s">
        <v>52</v>
      </c>
      <c r="AO32" s="1784" t="s">
        <v>2465</v>
      </c>
      <c r="AP32" s="1784" t="s">
        <v>52</v>
      </c>
      <c r="AQ32" s="1784" t="s">
        <v>52</v>
      </c>
      <c r="AR32" s="1784" t="s">
        <v>52</v>
      </c>
      <c r="AS32" s="1784"/>
      <c r="AT32" s="1784" t="s">
        <v>52</v>
      </c>
      <c r="AU32" s="1784" t="s">
        <v>52</v>
      </c>
      <c r="AV32" s="1784" t="s">
        <v>52</v>
      </c>
      <c r="AW32" s="1784" t="s">
        <v>52</v>
      </c>
      <c r="AX32" s="1784" t="s">
        <v>52</v>
      </c>
      <c r="AY32" s="1784" t="s">
        <v>52</v>
      </c>
      <c r="AZ32" s="1784" t="s">
        <v>52</v>
      </c>
      <c r="BA32" s="720"/>
      <c r="BB32" s="719" t="s">
        <v>149</v>
      </c>
      <c r="BC32" s="720"/>
      <c r="BD32" s="719" t="s">
        <v>149</v>
      </c>
      <c r="BE32" s="1784" t="s">
        <v>52</v>
      </c>
      <c r="BF32" s="1784" t="s">
        <v>2474</v>
      </c>
      <c r="BG32" s="1784" t="s">
        <v>52</v>
      </c>
      <c r="BH32" s="1784" t="s">
        <v>52</v>
      </c>
      <c r="BI32" s="1784" t="s">
        <v>52</v>
      </c>
      <c r="BJ32" s="1784" t="s">
        <v>2467</v>
      </c>
      <c r="BK32" s="1784" t="s">
        <v>52</v>
      </c>
      <c r="BL32" s="1784" t="s">
        <v>52</v>
      </c>
      <c r="BM32" s="1784" t="s">
        <v>52</v>
      </c>
      <c r="BN32" s="720"/>
      <c r="BO32" s="719" t="s">
        <v>149</v>
      </c>
    </row>
    <row r="33" spans="1:67" ht="21" customHeight="1">
      <c r="A33" s="723" t="s">
        <v>471</v>
      </c>
      <c r="B33" s="1909" t="s">
        <v>599</v>
      </c>
      <c r="C33" s="1783"/>
      <c r="D33" s="1783"/>
      <c r="E33" s="1783"/>
      <c r="F33" s="1783"/>
      <c r="G33" s="1783"/>
      <c r="H33" s="1783"/>
      <c r="I33" s="1783"/>
      <c r="J33" s="1783"/>
      <c r="K33" s="1783"/>
      <c r="L33" s="1783"/>
      <c r="M33" s="1783"/>
      <c r="N33" s="1783"/>
      <c r="O33" s="1783"/>
      <c r="P33" s="1783"/>
      <c r="Q33" s="1783"/>
      <c r="R33" s="1783"/>
      <c r="S33" s="723" t="s">
        <v>471</v>
      </c>
      <c r="T33" s="1909" t="s">
        <v>599</v>
      </c>
      <c r="U33" s="723" t="s">
        <v>471</v>
      </c>
      <c r="V33" s="1909" t="s">
        <v>599</v>
      </c>
      <c r="W33" s="1783"/>
      <c r="X33" s="1783"/>
      <c r="Y33" s="1783"/>
      <c r="Z33" s="1783"/>
      <c r="AA33" s="1783"/>
      <c r="AB33" s="1783"/>
      <c r="AC33" s="1783"/>
      <c r="AD33" s="1783"/>
      <c r="AE33" s="1783"/>
      <c r="AF33" s="1783"/>
      <c r="AG33" s="1783"/>
      <c r="AH33" s="1783"/>
      <c r="AI33" s="723" t="s">
        <v>471</v>
      </c>
      <c r="AJ33" s="1909" t="s">
        <v>599</v>
      </c>
      <c r="AK33" s="723" t="s">
        <v>471</v>
      </c>
      <c r="AL33" s="1909" t="s">
        <v>599</v>
      </c>
      <c r="AM33" s="1783"/>
      <c r="AN33" s="1783"/>
      <c r="AO33" s="1783"/>
      <c r="AP33" s="1783"/>
      <c r="AQ33" s="1783"/>
      <c r="AR33" s="1783"/>
      <c r="AS33" s="1783"/>
      <c r="AT33" s="1783"/>
      <c r="AU33" s="1783"/>
      <c r="AV33" s="1783"/>
      <c r="AW33" s="1783"/>
      <c r="AX33" s="1783"/>
      <c r="AY33" s="1783"/>
      <c r="AZ33" s="1783"/>
      <c r="BA33" s="723" t="s">
        <v>471</v>
      </c>
      <c r="BB33" s="1909" t="s">
        <v>599</v>
      </c>
      <c r="BC33" s="723" t="s">
        <v>471</v>
      </c>
      <c r="BD33" s="1909" t="s">
        <v>599</v>
      </c>
      <c r="BE33" s="1783"/>
      <c r="BF33" s="1783"/>
      <c r="BG33" s="1783"/>
      <c r="BH33" s="1783"/>
      <c r="BI33" s="1783"/>
      <c r="BJ33" s="1783"/>
      <c r="BK33" s="1783"/>
      <c r="BL33" s="1783"/>
      <c r="BM33" s="1783"/>
      <c r="BN33" s="723" t="s">
        <v>471</v>
      </c>
      <c r="BO33" s="1909" t="s">
        <v>599</v>
      </c>
    </row>
    <row r="34" spans="1:67" ht="11.45" customHeight="1">
      <c r="B34" s="719" t="s">
        <v>156</v>
      </c>
      <c r="C34" s="1785">
        <v>13.25</v>
      </c>
      <c r="D34" s="1785">
        <v>13.4</v>
      </c>
      <c r="E34" s="1785">
        <v>9</v>
      </c>
      <c r="F34" s="1785">
        <v>13.25</v>
      </c>
      <c r="G34" s="1785" t="s">
        <v>2541</v>
      </c>
      <c r="H34" s="1785">
        <v>13.4</v>
      </c>
      <c r="I34" s="1785" t="s">
        <v>52</v>
      </c>
      <c r="J34" s="1785" t="s">
        <v>2785</v>
      </c>
      <c r="K34" s="1785" t="s">
        <v>52</v>
      </c>
      <c r="L34" s="1785" t="s">
        <v>2731</v>
      </c>
      <c r="M34" s="1785" t="s">
        <v>2458</v>
      </c>
      <c r="N34" s="1785" t="s">
        <v>2589</v>
      </c>
      <c r="O34" s="1785" t="s">
        <v>2461</v>
      </c>
      <c r="P34" s="1785">
        <v>14.5</v>
      </c>
      <c r="Q34" s="1785" t="s">
        <v>2458</v>
      </c>
      <c r="R34" s="1785" t="s">
        <v>2458</v>
      </c>
      <c r="S34" s="1102"/>
      <c r="T34" s="719" t="s">
        <v>148</v>
      </c>
      <c r="V34" s="719" t="s">
        <v>148</v>
      </c>
      <c r="W34" s="1785" t="s">
        <v>2457</v>
      </c>
      <c r="X34" s="1785">
        <v>14.75</v>
      </c>
      <c r="Y34" s="1785" t="s">
        <v>2462</v>
      </c>
      <c r="Z34" s="1785" t="s">
        <v>2458</v>
      </c>
      <c r="AA34" s="1785" t="s">
        <v>2522</v>
      </c>
      <c r="AB34" s="1784" t="s">
        <v>2460</v>
      </c>
      <c r="AC34" s="1785" t="s">
        <v>2459</v>
      </c>
      <c r="AD34" s="1785" t="s">
        <v>2521</v>
      </c>
      <c r="AE34" s="1785" t="s">
        <v>2813</v>
      </c>
      <c r="AF34" s="1785" t="s">
        <v>2826</v>
      </c>
      <c r="AG34" s="1785" t="s">
        <v>2464</v>
      </c>
      <c r="AH34" s="1785" t="s">
        <v>2521</v>
      </c>
      <c r="AJ34" s="719" t="s">
        <v>148</v>
      </c>
      <c r="AL34" s="719" t="s">
        <v>148</v>
      </c>
      <c r="AM34" s="1785" t="s">
        <v>2458</v>
      </c>
      <c r="AN34" s="1785" t="s">
        <v>2461</v>
      </c>
      <c r="AO34" s="1785" t="s">
        <v>2465</v>
      </c>
      <c r="AP34" s="1785" t="s">
        <v>2647</v>
      </c>
      <c r="AQ34" s="1785" t="s">
        <v>2465</v>
      </c>
      <c r="AR34" s="1785" t="s">
        <v>2788</v>
      </c>
      <c r="AS34" s="1785" t="s">
        <v>2789</v>
      </c>
      <c r="AT34" s="1785" t="s">
        <v>2994</v>
      </c>
      <c r="AU34" s="1785" t="s">
        <v>2461</v>
      </c>
      <c r="AV34" s="1785" t="s">
        <v>2461</v>
      </c>
      <c r="AW34" s="1785" t="s">
        <v>2465</v>
      </c>
      <c r="AX34" s="1785" t="s">
        <v>3080</v>
      </c>
      <c r="AY34" s="1785" t="s">
        <v>2469</v>
      </c>
      <c r="AZ34" s="1785" t="s">
        <v>2458</v>
      </c>
      <c r="BB34" s="719" t="s">
        <v>148</v>
      </c>
      <c r="BD34" s="719" t="s">
        <v>148</v>
      </c>
      <c r="BE34" s="1785" t="s">
        <v>2473</v>
      </c>
      <c r="BF34" s="1785" t="s">
        <v>2508</v>
      </c>
      <c r="BG34" s="1785" t="s">
        <v>2459</v>
      </c>
      <c r="BH34" s="1785" t="s">
        <v>2892</v>
      </c>
      <c r="BI34" s="1785">
        <v>9</v>
      </c>
      <c r="BJ34" s="1785" t="s">
        <v>52</v>
      </c>
      <c r="BK34" s="1785" t="s">
        <v>2514</v>
      </c>
      <c r="BL34" s="1785" t="s">
        <v>2514</v>
      </c>
      <c r="BM34" s="1785" t="s">
        <v>52</v>
      </c>
      <c r="BO34" s="719" t="s">
        <v>148</v>
      </c>
    </row>
    <row r="35" spans="1:67" ht="11.45" customHeight="1">
      <c r="A35" s="668"/>
      <c r="B35" s="317" t="s">
        <v>157</v>
      </c>
      <c r="C35" s="1783" t="s">
        <v>52</v>
      </c>
      <c r="D35" s="1783" t="s">
        <v>52</v>
      </c>
      <c r="E35" s="1783" t="s">
        <v>52</v>
      </c>
      <c r="F35" s="1783" t="s">
        <v>52</v>
      </c>
      <c r="G35" s="1783" t="s">
        <v>52</v>
      </c>
      <c r="H35" s="1783" t="s">
        <v>52</v>
      </c>
      <c r="I35" s="1783">
        <v>13.75</v>
      </c>
      <c r="J35" s="1783" t="s">
        <v>52</v>
      </c>
      <c r="K35" s="1783" t="s">
        <v>52</v>
      </c>
      <c r="L35" s="1783" t="s">
        <v>52</v>
      </c>
      <c r="M35" s="1783" t="s">
        <v>2458</v>
      </c>
      <c r="N35" s="1783" t="s">
        <v>2469</v>
      </c>
      <c r="O35" s="1783" t="s">
        <v>52</v>
      </c>
      <c r="P35" s="1783" t="s">
        <v>52</v>
      </c>
      <c r="Q35" s="1783" t="s">
        <v>2458</v>
      </c>
      <c r="R35" s="1783" t="s">
        <v>52</v>
      </c>
      <c r="S35" s="1101"/>
      <c r="T35" s="317" t="s">
        <v>149</v>
      </c>
      <c r="U35" s="668"/>
      <c r="V35" s="317" t="s">
        <v>149</v>
      </c>
      <c r="W35" s="1783" t="s">
        <v>52</v>
      </c>
      <c r="X35" s="1783" t="s">
        <v>52</v>
      </c>
      <c r="Y35" s="1783" t="s">
        <v>52</v>
      </c>
      <c r="Z35" s="1783" t="s">
        <v>52</v>
      </c>
      <c r="AA35" s="1783" t="s">
        <v>52</v>
      </c>
      <c r="AB35" s="1783" t="s">
        <v>52</v>
      </c>
      <c r="AC35" s="1783" t="s">
        <v>52</v>
      </c>
      <c r="AD35" s="1783" t="s">
        <v>52</v>
      </c>
      <c r="AE35" s="1783" t="s">
        <v>2813</v>
      </c>
      <c r="AF35" s="1783" t="s">
        <v>52</v>
      </c>
      <c r="AG35" s="1783" t="s">
        <v>2464</v>
      </c>
      <c r="AH35" s="1783" t="s">
        <v>52</v>
      </c>
      <c r="AI35" s="668"/>
      <c r="AJ35" s="317" t="s">
        <v>149</v>
      </c>
      <c r="AK35" s="668"/>
      <c r="AL35" s="317" t="s">
        <v>149</v>
      </c>
      <c r="AM35" s="1783" t="s">
        <v>52</v>
      </c>
      <c r="AN35" s="1783" t="s">
        <v>52</v>
      </c>
      <c r="AO35" s="1783" t="s">
        <v>52</v>
      </c>
      <c r="AP35" s="1783" t="s">
        <v>52</v>
      </c>
      <c r="AQ35" s="1783" t="s">
        <v>52</v>
      </c>
      <c r="AR35" s="1783" t="s">
        <v>52</v>
      </c>
      <c r="AS35" s="1783"/>
      <c r="AT35" s="1783" t="s">
        <v>52</v>
      </c>
      <c r="AU35" s="1783" t="s">
        <v>52</v>
      </c>
      <c r="AV35" s="1783" t="s">
        <v>52</v>
      </c>
      <c r="AW35" s="1783" t="s">
        <v>52</v>
      </c>
      <c r="AX35" s="1783" t="s">
        <v>52</v>
      </c>
      <c r="AY35" s="1783" t="s">
        <v>52</v>
      </c>
      <c r="AZ35" s="1783" t="s">
        <v>52</v>
      </c>
      <c r="BA35" s="668"/>
      <c r="BB35" s="317" t="s">
        <v>149</v>
      </c>
      <c r="BC35" s="668"/>
      <c r="BD35" s="317" t="s">
        <v>149</v>
      </c>
      <c r="BE35" s="1783" t="s">
        <v>52</v>
      </c>
      <c r="BF35" s="1783" t="s">
        <v>2508</v>
      </c>
      <c r="BG35" s="1783" t="s">
        <v>52</v>
      </c>
      <c r="BH35" s="1783" t="s">
        <v>52</v>
      </c>
      <c r="BI35" s="1783" t="s">
        <v>52</v>
      </c>
      <c r="BJ35" s="1783" t="s">
        <v>52</v>
      </c>
      <c r="BK35" s="1783" t="s">
        <v>52</v>
      </c>
      <c r="BL35" s="1783" t="s">
        <v>52</v>
      </c>
      <c r="BM35" s="1783" t="s">
        <v>52</v>
      </c>
      <c r="BN35" s="668"/>
      <c r="BO35" s="317" t="s">
        <v>149</v>
      </c>
    </row>
    <row r="36" spans="1:67" ht="11.45" customHeight="1">
      <c r="A36" s="2470" t="s">
        <v>88</v>
      </c>
      <c r="B36" s="2470"/>
      <c r="C36" s="1784">
        <v>12.25</v>
      </c>
      <c r="D36" s="1784">
        <v>12.4</v>
      </c>
      <c r="E36" s="1784">
        <v>9</v>
      </c>
      <c r="F36" s="1784" t="s">
        <v>2701</v>
      </c>
      <c r="G36" s="1784" t="s">
        <v>2520</v>
      </c>
      <c r="H36" s="1784" t="s">
        <v>2732</v>
      </c>
      <c r="I36" s="1784">
        <v>12.5</v>
      </c>
      <c r="J36" s="1784" t="s">
        <v>52</v>
      </c>
      <c r="K36" s="1784" t="s">
        <v>52</v>
      </c>
      <c r="L36" s="1784" t="s">
        <v>2459</v>
      </c>
      <c r="M36" s="1784" t="s">
        <v>2457</v>
      </c>
      <c r="N36" s="1784">
        <v>14.5</v>
      </c>
      <c r="O36" s="1784" t="s">
        <v>2457</v>
      </c>
      <c r="P36" s="1784">
        <v>13.5</v>
      </c>
      <c r="Q36" s="1784" t="s">
        <v>2457</v>
      </c>
      <c r="R36" s="1784" t="s">
        <v>2457</v>
      </c>
      <c r="S36" s="2470" t="s">
        <v>88</v>
      </c>
      <c r="T36" s="2470"/>
      <c r="U36" s="2470" t="s">
        <v>88</v>
      </c>
      <c r="V36" s="2470"/>
      <c r="W36" s="1784" t="s">
        <v>2459</v>
      </c>
      <c r="X36" s="1784">
        <v>13.5</v>
      </c>
      <c r="Y36" s="1784" t="s">
        <v>2466</v>
      </c>
      <c r="Z36" s="1784" t="s">
        <v>2460</v>
      </c>
      <c r="AA36" s="1784" t="s">
        <v>2522</v>
      </c>
      <c r="AB36" s="1784" t="s">
        <v>2514</v>
      </c>
      <c r="AC36" s="1784" t="s">
        <v>2474</v>
      </c>
      <c r="AD36" s="1784" t="s">
        <v>2461</v>
      </c>
      <c r="AE36" s="1784" t="s">
        <v>2814</v>
      </c>
      <c r="AF36" s="1784" t="s">
        <v>2458</v>
      </c>
      <c r="AG36" s="1784" t="s">
        <v>2520</v>
      </c>
      <c r="AH36" s="1784" t="s">
        <v>2461</v>
      </c>
      <c r="AI36" s="2470" t="s">
        <v>88</v>
      </c>
      <c r="AJ36" s="2470"/>
      <c r="AK36" s="2470" t="s">
        <v>88</v>
      </c>
      <c r="AL36" s="2470"/>
      <c r="AM36" s="1784" t="s">
        <v>2457</v>
      </c>
      <c r="AN36" s="1784">
        <v>13.5</v>
      </c>
      <c r="AO36" s="1784" t="s">
        <v>2460</v>
      </c>
      <c r="AP36" s="1784" t="s">
        <v>2525</v>
      </c>
      <c r="AQ36" s="1784" t="s">
        <v>2460</v>
      </c>
      <c r="AR36" s="1784" t="s">
        <v>2647</v>
      </c>
      <c r="AS36" s="1784" t="s">
        <v>2465</v>
      </c>
      <c r="AT36" s="1784" t="s">
        <v>2555</v>
      </c>
      <c r="AU36" s="1784" t="s">
        <v>2457</v>
      </c>
      <c r="AV36" s="1784" t="s">
        <v>2459</v>
      </c>
      <c r="AW36" s="1784" t="s">
        <v>2460</v>
      </c>
      <c r="AX36" s="1784" t="s">
        <v>52</v>
      </c>
      <c r="AY36" s="1784" t="s">
        <v>2461</v>
      </c>
      <c r="AZ36" s="1784" t="s">
        <v>2827</v>
      </c>
      <c r="BA36" s="2470" t="s">
        <v>88</v>
      </c>
      <c r="BB36" s="2470"/>
      <c r="BC36" s="2470" t="s">
        <v>88</v>
      </c>
      <c r="BD36" s="2470"/>
      <c r="BE36" s="1784" t="s">
        <v>2460</v>
      </c>
      <c r="BF36" s="1784">
        <v>7</v>
      </c>
      <c r="BG36" s="1784" t="s">
        <v>2467</v>
      </c>
      <c r="BH36" s="1784" t="s">
        <v>2892</v>
      </c>
      <c r="BI36" s="1784">
        <v>9</v>
      </c>
      <c r="BJ36" s="1784" t="s">
        <v>52</v>
      </c>
      <c r="BK36" s="1784" t="s">
        <v>2512</v>
      </c>
      <c r="BL36" s="1784" t="s">
        <v>2459</v>
      </c>
      <c r="BM36" s="1784" t="s">
        <v>52</v>
      </c>
      <c r="BN36" s="2470" t="s">
        <v>88</v>
      </c>
      <c r="BO36" s="2470"/>
    </row>
    <row r="37" spans="1:67" ht="11.45" customHeight="1">
      <c r="A37" s="2469" t="s">
        <v>160</v>
      </c>
      <c r="B37" s="2469"/>
      <c r="C37" s="1783"/>
      <c r="D37" s="1783"/>
      <c r="E37" s="1783"/>
      <c r="F37" s="1783"/>
      <c r="G37" s="1783"/>
      <c r="H37" s="1783"/>
      <c r="I37" s="1783"/>
      <c r="J37" s="1783"/>
      <c r="K37" s="1783"/>
      <c r="L37" s="1783"/>
      <c r="M37" s="1783"/>
      <c r="N37" s="1783"/>
      <c r="O37" s="1783"/>
      <c r="P37" s="1783"/>
      <c r="Q37" s="1783"/>
      <c r="R37" s="1783"/>
      <c r="S37" s="2469" t="s">
        <v>160</v>
      </c>
      <c r="T37" s="2469"/>
      <c r="U37" s="2469" t="s">
        <v>160</v>
      </c>
      <c r="V37" s="2469"/>
      <c r="W37" s="1783"/>
      <c r="X37" s="1783"/>
      <c r="Y37" s="1783"/>
      <c r="Z37" s="1783"/>
      <c r="AA37" s="1783"/>
      <c r="AB37" s="1783"/>
      <c r="AC37" s="1783"/>
      <c r="AD37" s="1783"/>
      <c r="AE37" s="1783"/>
      <c r="AF37" s="1783"/>
      <c r="AG37" s="1783"/>
      <c r="AH37" s="1783"/>
      <c r="AI37" s="2469" t="s">
        <v>160</v>
      </c>
      <c r="AJ37" s="2469"/>
      <c r="AK37" s="2469" t="s">
        <v>160</v>
      </c>
      <c r="AL37" s="2469"/>
      <c r="AM37" s="1783"/>
      <c r="AN37" s="1783"/>
      <c r="AO37" s="1783"/>
      <c r="AP37" s="1783"/>
      <c r="AQ37" s="1783"/>
      <c r="AR37" s="1783"/>
      <c r="AS37" s="1783"/>
      <c r="AT37" s="1783"/>
      <c r="AU37" s="1783"/>
      <c r="AV37" s="1783"/>
      <c r="AW37" s="1783"/>
      <c r="AX37" s="1783"/>
      <c r="AY37" s="1783"/>
      <c r="AZ37" s="1783"/>
      <c r="BA37" s="2469" t="s">
        <v>160</v>
      </c>
      <c r="BB37" s="2469"/>
      <c r="BC37" s="2469" t="s">
        <v>160</v>
      </c>
      <c r="BD37" s="2469"/>
      <c r="BE37" s="1783"/>
      <c r="BF37" s="1783"/>
      <c r="BG37" s="1783"/>
      <c r="BH37" s="1783"/>
      <c r="BI37" s="1783"/>
      <c r="BJ37" s="1783"/>
      <c r="BK37" s="1783"/>
      <c r="BL37" s="1783"/>
      <c r="BM37" s="1783"/>
      <c r="BN37" s="2469" t="s">
        <v>160</v>
      </c>
      <c r="BO37" s="2469"/>
    </row>
    <row r="38" spans="1:67" ht="11.45" customHeight="1">
      <c r="B38" s="719" t="s">
        <v>148</v>
      </c>
      <c r="C38" s="96">
        <v>13.25</v>
      </c>
      <c r="D38" s="96">
        <v>13.4</v>
      </c>
      <c r="E38" s="96" t="s">
        <v>2824</v>
      </c>
      <c r="F38" s="96" t="s">
        <v>2995</v>
      </c>
      <c r="G38" s="96" t="s">
        <v>2541</v>
      </c>
      <c r="H38" s="96">
        <v>13.4</v>
      </c>
      <c r="I38" s="96">
        <v>13.75</v>
      </c>
      <c r="J38" s="96" t="s">
        <v>2785</v>
      </c>
      <c r="K38" s="96" t="s">
        <v>52</v>
      </c>
      <c r="L38" s="96" t="s">
        <v>2461</v>
      </c>
      <c r="M38" s="96" t="s">
        <v>2458</v>
      </c>
      <c r="N38" s="96" t="s">
        <v>2469</v>
      </c>
      <c r="O38" s="96" t="s">
        <v>2458</v>
      </c>
      <c r="P38" s="96">
        <v>14.5</v>
      </c>
      <c r="Q38" s="96" t="s">
        <v>2458</v>
      </c>
      <c r="R38" s="96" t="s">
        <v>2458</v>
      </c>
      <c r="S38" s="1102"/>
      <c r="T38" s="719" t="s">
        <v>148</v>
      </c>
      <c r="V38" s="719" t="s">
        <v>148</v>
      </c>
      <c r="W38" s="96" t="s">
        <v>2457</v>
      </c>
      <c r="X38" s="96">
        <v>15</v>
      </c>
      <c r="Y38" s="96" t="s">
        <v>2547</v>
      </c>
      <c r="Z38" s="96" t="s">
        <v>52</v>
      </c>
      <c r="AA38" s="96" t="s">
        <v>2524</v>
      </c>
      <c r="AB38" s="96" t="s">
        <v>2457</v>
      </c>
      <c r="AC38" s="96" t="s">
        <v>2459</v>
      </c>
      <c r="AD38" s="96" t="s">
        <v>2616</v>
      </c>
      <c r="AE38" s="96" t="s">
        <v>2465</v>
      </c>
      <c r="AF38" s="96" t="s">
        <v>2458</v>
      </c>
      <c r="AG38" s="96" t="s">
        <v>2464</v>
      </c>
      <c r="AH38" s="96" t="s">
        <v>2469</v>
      </c>
      <c r="AJ38" s="719" t="s">
        <v>148</v>
      </c>
      <c r="AL38" s="719" t="s">
        <v>148</v>
      </c>
      <c r="AM38" s="96" t="s">
        <v>2458</v>
      </c>
      <c r="AN38" s="96" t="s">
        <v>2461</v>
      </c>
      <c r="AO38" s="96" t="s">
        <v>2460</v>
      </c>
      <c r="AP38" s="96" t="s">
        <v>2525</v>
      </c>
      <c r="AQ38" s="96" t="s">
        <v>2461</v>
      </c>
      <c r="AR38" s="96" t="s">
        <v>2788</v>
      </c>
      <c r="AS38" s="96" t="s">
        <v>2789</v>
      </c>
      <c r="AT38" s="96" t="s">
        <v>2458</v>
      </c>
      <c r="AU38" s="96" t="s">
        <v>2461</v>
      </c>
      <c r="AV38" s="96" t="s">
        <v>2457</v>
      </c>
      <c r="AW38" s="96" t="s">
        <v>2465</v>
      </c>
      <c r="AX38" s="96" t="s">
        <v>52</v>
      </c>
      <c r="AY38" s="96" t="s">
        <v>2469</v>
      </c>
      <c r="AZ38" s="96" t="s">
        <v>2995</v>
      </c>
      <c r="BB38" s="719" t="s">
        <v>148</v>
      </c>
      <c r="BD38" s="719" t="s">
        <v>148</v>
      </c>
      <c r="BE38" s="96" t="s">
        <v>2461</v>
      </c>
      <c r="BF38" s="96" t="s">
        <v>2474</v>
      </c>
      <c r="BG38" s="96" t="s">
        <v>2457</v>
      </c>
      <c r="BH38" s="96" t="s">
        <v>2892</v>
      </c>
      <c r="BI38" s="96">
        <v>9</v>
      </c>
      <c r="BJ38" s="96" t="s">
        <v>2514</v>
      </c>
      <c r="BK38" s="96" t="s">
        <v>2512</v>
      </c>
      <c r="BL38" s="96" t="s">
        <v>52</v>
      </c>
      <c r="BM38" s="96" t="s">
        <v>52</v>
      </c>
      <c r="BO38" s="719" t="s">
        <v>148</v>
      </c>
    </row>
    <row r="39" spans="1:67" ht="11.45" customHeight="1">
      <c r="A39" s="668"/>
      <c r="B39" s="317" t="s">
        <v>149</v>
      </c>
      <c r="C39" s="1783" t="s">
        <v>52</v>
      </c>
      <c r="D39" s="1783" t="s">
        <v>52</v>
      </c>
      <c r="E39" s="1783" t="s">
        <v>52</v>
      </c>
      <c r="F39" s="1783" t="s">
        <v>52</v>
      </c>
      <c r="G39" s="1783" t="s">
        <v>52</v>
      </c>
      <c r="H39" s="1783" t="s">
        <v>52</v>
      </c>
      <c r="I39" s="1783" t="s">
        <v>52</v>
      </c>
      <c r="J39" s="1783" t="s">
        <v>52</v>
      </c>
      <c r="K39" s="1783" t="s">
        <v>52</v>
      </c>
      <c r="L39" s="1783" t="s">
        <v>2461</v>
      </c>
      <c r="M39" s="1783" t="s">
        <v>2458</v>
      </c>
      <c r="N39" s="1783" t="s">
        <v>2469</v>
      </c>
      <c r="O39" s="1783" t="s">
        <v>2458</v>
      </c>
      <c r="P39" s="1783" t="s">
        <v>52</v>
      </c>
      <c r="Q39" s="1783" t="s">
        <v>2458</v>
      </c>
      <c r="R39" s="1783" t="s">
        <v>52</v>
      </c>
      <c r="S39" s="1101"/>
      <c r="T39" s="317" t="s">
        <v>149</v>
      </c>
      <c r="U39" s="668"/>
      <c r="V39" s="317" t="s">
        <v>149</v>
      </c>
      <c r="W39" s="1783" t="s">
        <v>52</v>
      </c>
      <c r="X39" s="1783" t="s">
        <v>52</v>
      </c>
      <c r="Y39" s="1783" t="s">
        <v>52</v>
      </c>
      <c r="Z39" s="1783" t="s">
        <v>2458</v>
      </c>
      <c r="AA39" s="1783" t="s">
        <v>52</v>
      </c>
      <c r="AB39" s="1783" t="s">
        <v>2467</v>
      </c>
      <c r="AC39" s="1783" t="s">
        <v>52</v>
      </c>
      <c r="AD39" s="1783" t="s">
        <v>52</v>
      </c>
      <c r="AE39" s="1783" t="s">
        <v>52</v>
      </c>
      <c r="AF39" s="1783" t="s">
        <v>52</v>
      </c>
      <c r="AG39" s="1783" t="s">
        <v>2464</v>
      </c>
      <c r="AH39" s="1783" t="s">
        <v>52</v>
      </c>
      <c r="AI39" s="668"/>
      <c r="AJ39" s="317" t="s">
        <v>149</v>
      </c>
      <c r="AK39" s="668"/>
      <c r="AL39" s="317" t="s">
        <v>149</v>
      </c>
      <c r="AM39" s="1783" t="s">
        <v>52</v>
      </c>
      <c r="AN39" s="1783" t="s">
        <v>52</v>
      </c>
      <c r="AO39" s="1783" t="s">
        <v>52</v>
      </c>
      <c r="AP39" s="1783" t="s">
        <v>52</v>
      </c>
      <c r="AQ39" s="1783" t="s">
        <v>52</v>
      </c>
      <c r="AR39" s="1783" t="s">
        <v>2865</v>
      </c>
      <c r="AS39" s="1783"/>
      <c r="AT39" s="1783" t="s">
        <v>52</v>
      </c>
      <c r="AU39" s="1783" t="s">
        <v>52</v>
      </c>
      <c r="AV39" s="1783" t="s">
        <v>52</v>
      </c>
      <c r="AW39" s="1783" t="s">
        <v>52</v>
      </c>
      <c r="AX39" s="1783" t="s">
        <v>52</v>
      </c>
      <c r="AY39" s="1783" t="s">
        <v>2469</v>
      </c>
      <c r="AZ39" s="1783" t="s">
        <v>52</v>
      </c>
      <c r="BA39" s="668"/>
      <c r="BB39" s="317" t="s">
        <v>149</v>
      </c>
      <c r="BC39" s="668"/>
      <c r="BD39" s="317" t="s">
        <v>149</v>
      </c>
      <c r="BE39" s="1783" t="s">
        <v>52</v>
      </c>
      <c r="BF39" s="1783" t="s">
        <v>2459</v>
      </c>
      <c r="BG39" s="1783" t="s">
        <v>52</v>
      </c>
      <c r="BH39" s="1783" t="s">
        <v>52</v>
      </c>
      <c r="BI39" s="1783" t="s">
        <v>52</v>
      </c>
      <c r="BJ39" s="1783" t="s">
        <v>2514</v>
      </c>
      <c r="BK39" s="1783" t="s">
        <v>52</v>
      </c>
      <c r="BL39" s="1783" t="s">
        <v>52</v>
      </c>
      <c r="BM39" s="1783" t="s">
        <v>52</v>
      </c>
      <c r="BN39" s="668"/>
      <c r="BO39" s="317" t="s">
        <v>149</v>
      </c>
    </row>
    <row r="40" spans="1:67" ht="11.45" customHeight="1">
      <c r="A40" s="2470" t="s">
        <v>161</v>
      </c>
      <c r="B40" s="2470"/>
      <c r="C40" s="1784"/>
      <c r="D40" s="1784"/>
      <c r="E40" s="1784"/>
      <c r="F40" s="1784"/>
      <c r="G40" s="1784"/>
      <c r="H40" s="1784"/>
      <c r="I40" s="1784"/>
      <c r="J40" s="1784"/>
      <c r="K40" s="1784"/>
      <c r="L40" s="1784"/>
      <c r="M40" s="1784"/>
      <c r="N40" s="1784"/>
      <c r="O40" s="1784"/>
      <c r="P40" s="1784"/>
      <c r="Q40" s="1784"/>
      <c r="R40" s="1784"/>
      <c r="S40" s="2470" t="s">
        <v>161</v>
      </c>
      <c r="T40" s="2470"/>
      <c r="U40" s="2470" t="s">
        <v>161</v>
      </c>
      <c r="V40" s="2470"/>
      <c r="W40" s="1784"/>
      <c r="X40" s="1784"/>
      <c r="Y40" s="1784"/>
      <c r="Z40" s="1784"/>
      <c r="AA40" s="1784"/>
      <c r="AB40" s="1784"/>
      <c r="AC40" s="1784"/>
      <c r="AD40" s="1784"/>
      <c r="AE40" s="1784"/>
      <c r="AF40" s="1784"/>
      <c r="AG40" s="1784"/>
      <c r="AH40" s="1784"/>
      <c r="AI40" s="2470" t="s">
        <v>161</v>
      </c>
      <c r="AJ40" s="2470"/>
      <c r="AK40" s="2470" t="s">
        <v>161</v>
      </c>
      <c r="AL40" s="2470"/>
      <c r="AM40" s="1784"/>
      <c r="AN40" s="1784"/>
      <c r="AO40" s="1784"/>
      <c r="AP40" s="1784"/>
      <c r="AQ40" s="1784"/>
      <c r="AR40" s="1784"/>
      <c r="AS40" s="1784"/>
      <c r="AT40" s="1784"/>
      <c r="AU40" s="1784"/>
      <c r="AV40" s="1784"/>
      <c r="AW40" s="1784"/>
      <c r="AX40" s="1784"/>
      <c r="AY40" s="1784"/>
      <c r="AZ40" s="1784"/>
      <c r="BA40" s="2470" t="s">
        <v>161</v>
      </c>
      <c r="BB40" s="2470"/>
      <c r="BC40" s="2470" t="s">
        <v>161</v>
      </c>
      <c r="BD40" s="2470"/>
      <c r="BE40" s="1784"/>
      <c r="BF40" s="1784"/>
      <c r="BG40" s="1784"/>
      <c r="BH40" s="1784" t="s">
        <v>629</v>
      </c>
      <c r="BI40" s="1784"/>
      <c r="BJ40" s="1784"/>
      <c r="BK40" s="1784"/>
      <c r="BL40" s="1784"/>
      <c r="BM40" s="1784"/>
      <c r="BN40" s="2470" t="s">
        <v>161</v>
      </c>
      <c r="BO40" s="2470"/>
    </row>
    <row r="41" spans="1:67" ht="11.45" customHeight="1">
      <c r="A41" s="668"/>
      <c r="B41" s="317" t="s">
        <v>148</v>
      </c>
      <c r="C41" s="1786" t="s">
        <v>3081</v>
      </c>
      <c r="D41" s="1786">
        <v>13.4</v>
      </c>
      <c r="E41" s="1786">
        <v>9</v>
      </c>
      <c r="F41" s="1786" t="s">
        <v>2996</v>
      </c>
      <c r="G41" s="1786" t="s">
        <v>2541</v>
      </c>
      <c r="H41" s="1786">
        <v>13.4</v>
      </c>
      <c r="I41" s="1786" t="s">
        <v>52</v>
      </c>
      <c r="J41" s="1786" t="s">
        <v>52</v>
      </c>
      <c r="K41" s="1786" t="s">
        <v>52</v>
      </c>
      <c r="L41" s="1786" t="s">
        <v>2461</v>
      </c>
      <c r="M41" s="1786" t="s">
        <v>2542</v>
      </c>
      <c r="N41" s="1786" t="s">
        <v>2465</v>
      </c>
      <c r="O41" s="1786" t="s">
        <v>2997</v>
      </c>
      <c r="P41" s="1786">
        <v>14.5</v>
      </c>
      <c r="Q41" s="1786" t="s">
        <v>2614</v>
      </c>
      <c r="R41" s="1786" t="s">
        <v>2461</v>
      </c>
      <c r="S41" s="1101"/>
      <c r="T41" s="317" t="s">
        <v>148</v>
      </c>
      <c r="U41" s="668"/>
      <c r="V41" s="317" t="s">
        <v>148</v>
      </c>
      <c r="W41" s="1786" t="s">
        <v>2998</v>
      </c>
      <c r="X41" s="1786" t="s">
        <v>2673</v>
      </c>
      <c r="Y41" s="1786" t="s">
        <v>3082</v>
      </c>
      <c r="Z41" s="1786" t="s">
        <v>2828</v>
      </c>
      <c r="AA41" s="1786" t="s">
        <v>2465</v>
      </c>
      <c r="AB41" s="1786" t="s">
        <v>2457</v>
      </c>
      <c r="AC41" s="1786" t="s">
        <v>2459</v>
      </c>
      <c r="AD41" s="1786" t="s">
        <v>2458</v>
      </c>
      <c r="AE41" s="1786" t="s">
        <v>2812</v>
      </c>
      <c r="AF41" s="1786" t="s">
        <v>2829</v>
      </c>
      <c r="AG41" s="1786" t="s">
        <v>2464</v>
      </c>
      <c r="AH41" s="1786" t="s">
        <v>2469</v>
      </c>
      <c r="AI41" s="668"/>
      <c r="AJ41" s="317" t="s">
        <v>148</v>
      </c>
      <c r="AK41" s="668"/>
      <c r="AL41" s="317" t="s">
        <v>148</v>
      </c>
      <c r="AM41" s="1786" t="s">
        <v>2458</v>
      </c>
      <c r="AN41" s="1786" t="s">
        <v>2461</v>
      </c>
      <c r="AO41" s="1786" t="s">
        <v>3083</v>
      </c>
      <c r="AP41" s="1786" t="s">
        <v>2525</v>
      </c>
      <c r="AQ41" s="1786" t="s">
        <v>2555</v>
      </c>
      <c r="AR41" s="1786" t="s">
        <v>2465</v>
      </c>
      <c r="AS41" s="1786" t="s">
        <v>2465</v>
      </c>
      <c r="AT41" s="1786" t="s">
        <v>2654</v>
      </c>
      <c r="AU41" s="1786">
        <v>12</v>
      </c>
      <c r="AV41" s="1786" t="s">
        <v>2457</v>
      </c>
      <c r="AW41" s="1786" t="s">
        <v>2457</v>
      </c>
      <c r="AX41" s="1786" t="s">
        <v>3084</v>
      </c>
      <c r="AY41" s="1786" t="s">
        <v>2469</v>
      </c>
      <c r="AZ41" s="1786" t="s">
        <v>2760</v>
      </c>
      <c r="BA41" s="668"/>
      <c r="BB41" s="317" t="s">
        <v>148</v>
      </c>
      <c r="BC41" s="668"/>
      <c r="BD41" s="317" t="s">
        <v>148</v>
      </c>
      <c r="BE41" s="1786" t="s">
        <v>2457</v>
      </c>
      <c r="BF41" s="1786" t="s">
        <v>2557</v>
      </c>
      <c r="BG41" s="1786" t="s">
        <v>2460</v>
      </c>
      <c r="BH41" s="1786" t="s">
        <v>2892</v>
      </c>
      <c r="BI41" s="1786">
        <v>9</v>
      </c>
      <c r="BJ41" s="1786" t="s">
        <v>52</v>
      </c>
      <c r="BK41" s="1786" t="s">
        <v>2474</v>
      </c>
      <c r="BL41" s="1786" t="s">
        <v>2460</v>
      </c>
      <c r="BM41" s="1786" t="s">
        <v>52</v>
      </c>
      <c r="BN41" s="668"/>
      <c r="BO41" s="317" t="s">
        <v>148</v>
      </c>
    </row>
    <row r="42" spans="1:67" ht="11.45" customHeight="1">
      <c r="B42" s="719" t="s">
        <v>149</v>
      </c>
      <c r="C42" s="96" t="s">
        <v>52</v>
      </c>
      <c r="D42" s="96">
        <v>13.4</v>
      </c>
      <c r="E42" s="96" t="s">
        <v>52</v>
      </c>
      <c r="F42" s="96" t="s">
        <v>52</v>
      </c>
      <c r="G42" s="96" t="s">
        <v>52</v>
      </c>
      <c r="H42" s="96" t="s">
        <v>52</v>
      </c>
      <c r="I42" s="96" t="s">
        <v>52</v>
      </c>
      <c r="J42" s="96" t="s">
        <v>52</v>
      </c>
      <c r="K42" s="96" t="s">
        <v>52</v>
      </c>
      <c r="L42" s="96" t="s">
        <v>2474</v>
      </c>
      <c r="M42" s="96" t="s">
        <v>52</v>
      </c>
      <c r="N42" s="96" t="s">
        <v>52</v>
      </c>
      <c r="O42" s="96" t="s">
        <v>2993</v>
      </c>
      <c r="P42" s="96" t="s">
        <v>52</v>
      </c>
      <c r="Q42" s="96" t="s">
        <v>52</v>
      </c>
      <c r="R42" s="96" t="s">
        <v>52</v>
      </c>
      <c r="S42" s="1102"/>
      <c r="T42" s="719" t="s">
        <v>149</v>
      </c>
      <c r="V42" s="719" t="s">
        <v>149</v>
      </c>
      <c r="W42" s="96" t="s">
        <v>52</v>
      </c>
      <c r="X42" s="96" t="s">
        <v>52</v>
      </c>
      <c r="Y42" s="96" t="s">
        <v>52</v>
      </c>
      <c r="Z42" s="96" t="s">
        <v>52</v>
      </c>
      <c r="AA42" s="96" t="s">
        <v>52</v>
      </c>
      <c r="AB42" s="96" t="s">
        <v>2467</v>
      </c>
      <c r="AC42" s="96" t="s">
        <v>52</v>
      </c>
      <c r="AD42" s="96" t="s">
        <v>52</v>
      </c>
      <c r="AE42" s="96" t="s">
        <v>52</v>
      </c>
      <c r="AF42" s="96" t="s">
        <v>52</v>
      </c>
      <c r="AG42" s="96" t="s">
        <v>2464</v>
      </c>
      <c r="AH42" s="96" t="s">
        <v>52</v>
      </c>
      <c r="AJ42" s="719" t="s">
        <v>149</v>
      </c>
      <c r="AL42" s="719" t="s">
        <v>149</v>
      </c>
      <c r="AM42" s="96" t="s">
        <v>2458</v>
      </c>
      <c r="AN42" s="96" t="s">
        <v>2645</v>
      </c>
      <c r="AO42" s="96" t="s">
        <v>2646</v>
      </c>
      <c r="AP42" s="96" t="s">
        <v>52</v>
      </c>
      <c r="AQ42" s="96" t="s">
        <v>52</v>
      </c>
      <c r="AR42" s="96" t="s">
        <v>52</v>
      </c>
      <c r="AS42" s="96"/>
      <c r="AT42" s="96" t="s">
        <v>52</v>
      </c>
      <c r="AU42" s="96" t="s">
        <v>52</v>
      </c>
      <c r="AV42" s="96" t="s">
        <v>52</v>
      </c>
      <c r="AW42" s="96" t="s">
        <v>52</v>
      </c>
      <c r="AX42" s="96" t="s">
        <v>52</v>
      </c>
      <c r="AY42" s="96" t="s">
        <v>2461</v>
      </c>
      <c r="AZ42" s="96" t="s">
        <v>52</v>
      </c>
      <c r="BB42" s="719" t="s">
        <v>149</v>
      </c>
      <c r="BD42" s="719" t="s">
        <v>149</v>
      </c>
      <c r="BE42" s="96" t="s">
        <v>52</v>
      </c>
      <c r="BF42" s="96" t="s">
        <v>52</v>
      </c>
      <c r="BG42" s="96" t="s">
        <v>52</v>
      </c>
      <c r="BH42" s="96" t="s">
        <v>52</v>
      </c>
      <c r="BI42" s="96" t="s">
        <v>52</v>
      </c>
      <c r="BJ42" s="96" t="s">
        <v>52</v>
      </c>
      <c r="BK42" s="96" t="s">
        <v>52</v>
      </c>
      <c r="BL42" s="96" t="s">
        <v>52</v>
      </c>
      <c r="BM42" s="96"/>
      <c r="BO42" s="719" t="s">
        <v>149</v>
      </c>
    </row>
    <row r="43" spans="1:67" ht="11.45" customHeight="1">
      <c r="A43" s="2469" t="s">
        <v>162</v>
      </c>
      <c r="B43" s="2469"/>
      <c r="C43" s="1783"/>
      <c r="D43" s="1783"/>
      <c r="E43" s="1783"/>
      <c r="F43" s="1783"/>
      <c r="G43" s="1783"/>
      <c r="H43" s="1783"/>
      <c r="I43" s="1783"/>
      <c r="J43" s="1783"/>
      <c r="K43" s="1783"/>
      <c r="L43" s="1783"/>
      <c r="M43" s="1783"/>
      <c r="N43" s="1783"/>
      <c r="O43" s="1783"/>
      <c r="P43" s="1783"/>
      <c r="Q43" s="1783"/>
      <c r="R43" s="1783"/>
      <c r="S43" s="2469" t="s">
        <v>162</v>
      </c>
      <c r="T43" s="2469"/>
      <c r="U43" s="2469" t="s">
        <v>162</v>
      </c>
      <c r="V43" s="2469"/>
      <c r="W43" s="1783"/>
      <c r="X43" s="1783"/>
      <c r="Y43" s="1783"/>
      <c r="Z43" s="1783"/>
      <c r="AA43" s="1783"/>
      <c r="AB43" s="1783"/>
      <c r="AC43" s="1783"/>
      <c r="AD43" s="1783"/>
      <c r="AE43" s="1783"/>
      <c r="AF43" s="1783"/>
      <c r="AG43" s="1783"/>
      <c r="AH43" s="1783"/>
      <c r="AI43" s="2469" t="s">
        <v>162</v>
      </c>
      <c r="AJ43" s="2469"/>
      <c r="AK43" s="2469" t="s">
        <v>162</v>
      </c>
      <c r="AL43" s="2469"/>
      <c r="AM43" s="1783"/>
      <c r="AN43" s="1783"/>
      <c r="AO43" s="1783"/>
      <c r="AP43" s="1783"/>
      <c r="AQ43" s="1783"/>
      <c r="AR43" s="1783"/>
      <c r="AS43" s="1783"/>
      <c r="AT43" s="1783"/>
      <c r="AU43" s="1783"/>
      <c r="AV43" s="1783"/>
      <c r="AW43" s="1783"/>
      <c r="AX43" s="1783"/>
      <c r="AY43" s="1783"/>
      <c r="AZ43" s="1783"/>
      <c r="BA43" s="2469" t="s">
        <v>162</v>
      </c>
      <c r="BB43" s="2469"/>
      <c r="BC43" s="2469" t="s">
        <v>162</v>
      </c>
      <c r="BD43" s="2469"/>
      <c r="BE43" s="1783"/>
      <c r="BF43" s="1783"/>
      <c r="BG43" s="1783"/>
      <c r="BH43" s="1783"/>
      <c r="BI43" s="1783"/>
      <c r="BJ43" s="1783"/>
      <c r="BK43" s="1783"/>
      <c r="BL43" s="1783"/>
      <c r="BM43" s="1783"/>
      <c r="BN43" s="2469" t="s">
        <v>162</v>
      </c>
      <c r="BO43" s="2469"/>
    </row>
    <row r="44" spans="1:67" s="13" customFormat="1" ht="11.45" customHeight="1">
      <c r="A44" s="8"/>
      <c r="B44" s="719" t="s">
        <v>148</v>
      </c>
      <c r="C44" s="1785">
        <v>12</v>
      </c>
      <c r="D44" s="1785">
        <v>12.7</v>
      </c>
      <c r="E44" s="1785">
        <v>9</v>
      </c>
      <c r="F44" s="1785">
        <v>13.5</v>
      </c>
      <c r="G44" s="1785" t="s">
        <v>2541</v>
      </c>
      <c r="H44" s="1785" t="s">
        <v>52</v>
      </c>
      <c r="I44" s="1785">
        <v>13.75</v>
      </c>
      <c r="J44" s="1785">
        <v>13</v>
      </c>
      <c r="K44" s="1785" t="s">
        <v>52</v>
      </c>
      <c r="L44" s="1785" t="s">
        <v>2999</v>
      </c>
      <c r="M44" s="1785" t="s">
        <v>2458</v>
      </c>
      <c r="N44" s="1785" t="s">
        <v>2465</v>
      </c>
      <c r="O44" s="1785" t="s">
        <v>2461</v>
      </c>
      <c r="P44" s="1785">
        <v>15</v>
      </c>
      <c r="Q44" s="1785" t="s">
        <v>2458</v>
      </c>
      <c r="R44" s="1785" t="s">
        <v>3085</v>
      </c>
      <c r="S44" s="1102"/>
      <c r="T44" s="719" t="s">
        <v>148</v>
      </c>
      <c r="U44" s="8"/>
      <c r="V44" s="719" t="s">
        <v>148</v>
      </c>
      <c r="W44" s="1785" t="s">
        <v>3000</v>
      </c>
      <c r="X44" s="1785" t="s">
        <v>2541</v>
      </c>
      <c r="Y44" s="1785" t="s">
        <v>2591</v>
      </c>
      <c r="Z44" s="1785" t="s">
        <v>2457</v>
      </c>
      <c r="AA44" s="1785" t="s">
        <v>2522</v>
      </c>
      <c r="AB44" s="1785" t="s">
        <v>2467</v>
      </c>
      <c r="AC44" s="1785" t="s">
        <v>2459</v>
      </c>
      <c r="AD44" s="1785" t="s">
        <v>2522</v>
      </c>
      <c r="AE44" s="1785" t="s">
        <v>2815</v>
      </c>
      <c r="AF44" s="1785" t="s">
        <v>2546</v>
      </c>
      <c r="AG44" s="1785" t="s">
        <v>2464</v>
      </c>
      <c r="AH44" s="1785" t="s">
        <v>2469</v>
      </c>
      <c r="AI44" s="8"/>
      <c r="AJ44" s="719" t="s">
        <v>148</v>
      </c>
      <c r="AK44" s="8"/>
      <c r="AL44" s="719" t="s">
        <v>148</v>
      </c>
      <c r="AM44" s="1785" t="s">
        <v>2458</v>
      </c>
      <c r="AN44" s="1785" t="s">
        <v>2555</v>
      </c>
      <c r="AO44" s="1785" t="s">
        <v>3086</v>
      </c>
      <c r="AP44" s="1785" t="s">
        <v>2647</v>
      </c>
      <c r="AQ44" s="1785" t="s">
        <v>2760</v>
      </c>
      <c r="AR44" s="1785">
        <v>25</v>
      </c>
      <c r="AS44" s="1785" t="s">
        <v>2458</v>
      </c>
      <c r="AT44" s="1785" t="s">
        <v>2464</v>
      </c>
      <c r="AU44" s="1785" t="s">
        <v>2464</v>
      </c>
      <c r="AV44" s="1785" t="s">
        <v>2866</v>
      </c>
      <c r="AW44" s="1785" t="s">
        <v>2469</v>
      </c>
      <c r="AX44" s="1785" t="s">
        <v>3084</v>
      </c>
      <c r="AY44" s="1785" t="s">
        <v>2469</v>
      </c>
      <c r="AZ44" s="1785" t="s">
        <v>2830</v>
      </c>
      <c r="BA44" s="8"/>
      <c r="BB44" s="719" t="s">
        <v>148</v>
      </c>
      <c r="BC44" s="8"/>
      <c r="BD44" s="719" t="s">
        <v>148</v>
      </c>
      <c r="BE44" s="1785" t="s">
        <v>2473</v>
      </c>
      <c r="BF44" s="1785" t="s">
        <v>2467</v>
      </c>
      <c r="BG44" s="1785" t="s">
        <v>3001</v>
      </c>
      <c r="BH44" s="1785" t="s">
        <v>52</v>
      </c>
      <c r="BI44" s="1785">
        <v>6.75</v>
      </c>
      <c r="BJ44" s="1785" t="s">
        <v>52</v>
      </c>
      <c r="BK44" s="1785" t="s">
        <v>2474</v>
      </c>
      <c r="BL44" s="1785" t="s">
        <v>2526</v>
      </c>
      <c r="BM44" s="1785" t="s">
        <v>52</v>
      </c>
      <c r="BN44" s="8"/>
      <c r="BO44" s="719" t="s">
        <v>148</v>
      </c>
    </row>
    <row r="45" spans="1:67" ht="11.45" customHeight="1">
      <c r="A45" s="668"/>
      <c r="B45" s="317" t="s">
        <v>149</v>
      </c>
      <c r="C45" s="1783" t="s">
        <v>52</v>
      </c>
      <c r="D45" s="1783" t="s">
        <v>52</v>
      </c>
      <c r="E45" s="1783" t="s">
        <v>52</v>
      </c>
      <c r="F45" s="1783" t="s">
        <v>52</v>
      </c>
      <c r="G45" s="1783" t="s">
        <v>52</v>
      </c>
      <c r="H45" s="1783">
        <v>13.5</v>
      </c>
      <c r="I45" s="1783" t="s">
        <v>52</v>
      </c>
      <c r="J45" s="1783" t="s">
        <v>52</v>
      </c>
      <c r="K45" s="1783" t="s">
        <v>52</v>
      </c>
      <c r="L45" s="1783" t="s">
        <v>3002</v>
      </c>
      <c r="M45" s="1783" t="s">
        <v>2458</v>
      </c>
      <c r="N45" s="1783" t="s">
        <v>52</v>
      </c>
      <c r="O45" s="1783" t="s">
        <v>2461</v>
      </c>
      <c r="P45" s="1783" t="s">
        <v>52</v>
      </c>
      <c r="Q45" s="1783" t="s">
        <v>52</v>
      </c>
      <c r="R45" s="1783" t="s">
        <v>52</v>
      </c>
      <c r="S45" s="1101"/>
      <c r="T45" s="317" t="s">
        <v>149</v>
      </c>
      <c r="U45" s="668"/>
      <c r="V45" s="317" t="s">
        <v>149</v>
      </c>
      <c r="W45" s="1783" t="s">
        <v>52</v>
      </c>
      <c r="X45" s="1783" t="s">
        <v>52</v>
      </c>
      <c r="Y45" s="1783" t="s">
        <v>52</v>
      </c>
      <c r="Z45" s="1783" t="s">
        <v>52</v>
      </c>
      <c r="AA45" s="1783" t="s">
        <v>52</v>
      </c>
      <c r="AB45" s="1783" t="s">
        <v>2459</v>
      </c>
      <c r="AC45" s="1783" t="s">
        <v>52</v>
      </c>
      <c r="AD45" s="1783" t="s">
        <v>52</v>
      </c>
      <c r="AE45" s="1783" t="s">
        <v>52</v>
      </c>
      <c r="AF45" s="1783" t="s">
        <v>52</v>
      </c>
      <c r="AG45" s="1783" t="s">
        <v>2464</v>
      </c>
      <c r="AH45" s="1783" t="s">
        <v>52</v>
      </c>
      <c r="AI45" s="668"/>
      <c r="AJ45" s="317" t="s">
        <v>149</v>
      </c>
      <c r="AK45" s="668"/>
      <c r="AL45" s="317" t="s">
        <v>149</v>
      </c>
      <c r="AM45" s="1783" t="s">
        <v>52</v>
      </c>
      <c r="AN45" s="1783" t="s">
        <v>52</v>
      </c>
      <c r="AO45" s="1783" t="s">
        <v>52</v>
      </c>
      <c r="AP45" s="1783" t="s">
        <v>52</v>
      </c>
      <c r="AQ45" s="1783" t="s">
        <v>52</v>
      </c>
      <c r="AR45" s="1783" t="s">
        <v>3003</v>
      </c>
      <c r="AS45" s="1783"/>
      <c r="AT45" s="1783" t="s">
        <v>52</v>
      </c>
      <c r="AU45" s="1783" t="s">
        <v>52</v>
      </c>
      <c r="AV45" s="1783" t="s">
        <v>52</v>
      </c>
      <c r="AW45" s="1783" t="s">
        <v>52</v>
      </c>
      <c r="AX45" s="1783" t="s">
        <v>52</v>
      </c>
      <c r="AY45" s="1783" t="s">
        <v>52</v>
      </c>
      <c r="AZ45" s="1783" t="s">
        <v>52</v>
      </c>
      <c r="BA45" s="668"/>
      <c r="BB45" s="317" t="s">
        <v>149</v>
      </c>
      <c r="BC45" s="668"/>
      <c r="BD45" s="317" t="s">
        <v>149</v>
      </c>
      <c r="BE45" s="1783" t="s">
        <v>52</v>
      </c>
      <c r="BF45" s="1783" t="s">
        <v>2467</v>
      </c>
      <c r="BG45" s="1783" t="s">
        <v>52</v>
      </c>
      <c r="BH45" s="1783" t="s">
        <v>52</v>
      </c>
      <c r="BI45" s="1783" t="s">
        <v>52</v>
      </c>
      <c r="BJ45" s="1783" t="s">
        <v>52</v>
      </c>
      <c r="BK45" s="1783" t="s">
        <v>52</v>
      </c>
      <c r="BL45" s="1783" t="s">
        <v>52</v>
      </c>
      <c r="BM45" s="1783" t="s">
        <v>52</v>
      </c>
      <c r="BN45" s="668"/>
      <c r="BO45" s="317" t="s">
        <v>149</v>
      </c>
    </row>
    <row r="46" spans="1:67" ht="11.45" customHeight="1">
      <c r="A46" s="2470" t="s">
        <v>163</v>
      </c>
      <c r="B46" s="247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2470" t="s">
        <v>163</v>
      </c>
      <c r="T46" s="2470"/>
      <c r="U46" s="2470" t="s">
        <v>163</v>
      </c>
      <c r="V46" s="247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470" t="s">
        <v>163</v>
      </c>
      <c r="AJ46" s="2470"/>
      <c r="AK46" s="2470" t="s">
        <v>163</v>
      </c>
      <c r="AL46" s="247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2470" t="s">
        <v>163</v>
      </c>
      <c r="BB46" s="2470"/>
      <c r="BC46" s="2470" t="s">
        <v>163</v>
      </c>
      <c r="BD46" s="2470"/>
      <c r="BE46" s="30"/>
      <c r="BF46" s="30"/>
      <c r="BG46" s="30"/>
      <c r="BH46" s="30"/>
      <c r="BI46" s="30"/>
      <c r="BJ46" s="30"/>
      <c r="BK46" s="30"/>
      <c r="BL46" s="30"/>
      <c r="BM46" s="30"/>
      <c r="BN46" s="2470" t="s">
        <v>163</v>
      </c>
      <c r="BO46" s="2470"/>
    </row>
    <row r="47" spans="1:67" s="9" customFormat="1" ht="11.45" customHeight="1">
      <c r="A47" s="298"/>
      <c r="B47" s="317" t="s">
        <v>148</v>
      </c>
      <c r="C47" s="1783" t="s">
        <v>52</v>
      </c>
      <c r="D47" s="1783">
        <v>13.4</v>
      </c>
      <c r="E47" s="1783">
        <v>9</v>
      </c>
      <c r="F47" s="1783" t="s">
        <v>2831</v>
      </c>
      <c r="G47" s="1783" t="s">
        <v>2541</v>
      </c>
      <c r="H47" s="1783">
        <v>13.4</v>
      </c>
      <c r="I47" s="1783" t="s">
        <v>52</v>
      </c>
      <c r="J47" s="1783" t="s">
        <v>52</v>
      </c>
      <c r="K47" s="1783" t="s">
        <v>52</v>
      </c>
      <c r="L47" s="1783" t="s">
        <v>2644</v>
      </c>
      <c r="M47" s="1783" t="s">
        <v>2458</v>
      </c>
      <c r="N47" s="1783" t="s">
        <v>2469</v>
      </c>
      <c r="O47" s="1783" t="s">
        <v>2461</v>
      </c>
      <c r="P47" s="1783">
        <v>14.5</v>
      </c>
      <c r="Q47" s="1783" t="s">
        <v>2458</v>
      </c>
      <c r="R47" s="1783" t="s">
        <v>2458</v>
      </c>
      <c r="S47" s="392"/>
      <c r="T47" s="317" t="s">
        <v>148</v>
      </c>
      <c r="U47" s="298"/>
      <c r="V47" s="317" t="s">
        <v>148</v>
      </c>
      <c r="W47" s="1783" t="s">
        <v>2867</v>
      </c>
      <c r="X47" s="1783" t="s">
        <v>2590</v>
      </c>
      <c r="Y47" s="1783" t="s">
        <v>2547</v>
      </c>
      <c r="Z47" s="1783" t="s">
        <v>2458</v>
      </c>
      <c r="AA47" s="1783" t="s">
        <v>1185</v>
      </c>
      <c r="AB47" s="1783" t="s">
        <v>2895</v>
      </c>
      <c r="AC47" s="1783" t="s">
        <v>2474</v>
      </c>
      <c r="AD47" s="1783" t="s">
        <v>2458</v>
      </c>
      <c r="AE47" s="1783" t="s">
        <v>2646</v>
      </c>
      <c r="AF47" s="1783" t="s">
        <v>2458</v>
      </c>
      <c r="AG47" s="1783" t="s">
        <v>2464</v>
      </c>
      <c r="AH47" s="1783" t="s">
        <v>2556</v>
      </c>
      <c r="AI47" s="298"/>
      <c r="AJ47" s="317" t="s">
        <v>148</v>
      </c>
      <c r="AK47" s="298"/>
      <c r="AL47" s="317" t="s">
        <v>148</v>
      </c>
      <c r="AM47" s="1783" t="s">
        <v>2458</v>
      </c>
      <c r="AN47" s="1783" t="s">
        <v>2461</v>
      </c>
      <c r="AO47" s="1783" t="s">
        <v>2463</v>
      </c>
      <c r="AP47" s="1783" t="s">
        <v>2646</v>
      </c>
      <c r="AQ47" s="1783" t="s">
        <v>2461</v>
      </c>
      <c r="AR47" s="1783" t="s">
        <v>2647</v>
      </c>
      <c r="AS47" s="1783" t="s">
        <v>2523</v>
      </c>
      <c r="AT47" s="1783" t="s">
        <v>2464</v>
      </c>
      <c r="AU47" s="1783" t="s">
        <v>2461</v>
      </c>
      <c r="AV47" s="1786" t="s">
        <v>2457</v>
      </c>
      <c r="AW47" s="1783" t="s">
        <v>2465</v>
      </c>
      <c r="AX47" s="1783" t="s">
        <v>3087</v>
      </c>
      <c r="AY47" s="1783" t="s">
        <v>2469</v>
      </c>
      <c r="AZ47" s="1783" t="s">
        <v>2469</v>
      </c>
      <c r="BA47" s="298"/>
      <c r="BB47" s="317" t="s">
        <v>148</v>
      </c>
      <c r="BC47" s="298"/>
      <c r="BD47" s="317" t="s">
        <v>148</v>
      </c>
      <c r="BE47" s="1783" t="s">
        <v>52</v>
      </c>
      <c r="BF47" s="1783" t="s">
        <v>3004</v>
      </c>
      <c r="BG47" s="1783" t="s">
        <v>2458</v>
      </c>
      <c r="BH47" s="1783" t="s">
        <v>2892</v>
      </c>
      <c r="BI47" s="1783" t="s">
        <v>52</v>
      </c>
      <c r="BJ47" s="1783" t="s">
        <v>2474</v>
      </c>
      <c r="BK47" s="1783" t="s">
        <v>52</v>
      </c>
      <c r="BL47" s="1783" t="s">
        <v>2519</v>
      </c>
      <c r="BM47" s="1783" t="s">
        <v>52</v>
      </c>
      <c r="BN47" s="298"/>
      <c r="BO47" s="317" t="s">
        <v>148</v>
      </c>
    </row>
    <row r="48" spans="1:67" s="244" customFormat="1" ht="11.45" customHeight="1" thickBot="1">
      <c r="A48" s="490"/>
      <c r="B48" s="713" t="s">
        <v>149</v>
      </c>
      <c r="C48" s="1787">
        <v>13.25</v>
      </c>
      <c r="D48" s="1787" t="s">
        <v>52</v>
      </c>
      <c r="E48" s="1787" t="s">
        <v>52</v>
      </c>
      <c r="F48" s="1787" t="s">
        <v>52</v>
      </c>
      <c r="G48" s="1787" t="s">
        <v>52</v>
      </c>
      <c r="H48" s="1787" t="s">
        <v>52</v>
      </c>
      <c r="I48" s="1787" t="s">
        <v>2719</v>
      </c>
      <c r="J48" s="1787" t="s">
        <v>52</v>
      </c>
      <c r="K48" s="1787" t="s">
        <v>1313</v>
      </c>
      <c r="L48" s="1788" t="s">
        <v>2555</v>
      </c>
      <c r="M48" s="1787" t="s">
        <v>2458</v>
      </c>
      <c r="N48" s="1787" t="s">
        <v>2469</v>
      </c>
      <c r="O48" s="1787" t="s">
        <v>52</v>
      </c>
      <c r="P48" s="1787" t="s">
        <v>52</v>
      </c>
      <c r="Q48" s="1787" t="s">
        <v>52</v>
      </c>
      <c r="R48" s="1787" t="s">
        <v>52</v>
      </c>
      <c r="S48" s="1089"/>
      <c r="T48" s="713" t="s">
        <v>149</v>
      </c>
      <c r="U48" s="490"/>
      <c r="V48" s="713" t="s">
        <v>149</v>
      </c>
      <c r="W48" s="1787" t="s">
        <v>52</v>
      </c>
      <c r="X48" s="1787" t="s">
        <v>52</v>
      </c>
      <c r="Y48" s="1787" t="s">
        <v>52</v>
      </c>
      <c r="Z48" s="1787" t="s">
        <v>52</v>
      </c>
      <c r="AA48" s="1787" t="s">
        <v>52</v>
      </c>
      <c r="AB48" s="1787" t="s">
        <v>52</v>
      </c>
      <c r="AC48" s="1787" t="s">
        <v>2459</v>
      </c>
      <c r="AD48" s="1787" t="s">
        <v>2617</v>
      </c>
      <c r="AE48" s="1787" t="s">
        <v>52</v>
      </c>
      <c r="AF48" s="1787" t="s">
        <v>52</v>
      </c>
      <c r="AG48" s="1787" t="s">
        <v>2464</v>
      </c>
      <c r="AH48" s="1787" t="s">
        <v>52</v>
      </c>
      <c r="AI48" s="490"/>
      <c r="AJ48" s="713" t="s">
        <v>149</v>
      </c>
      <c r="AK48" s="490"/>
      <c r="AL48" s="713" t="s">
        <v>149</v>
      </c>
      <c r="AM48" s="1787" t="s">
        <v>52</v>
      </c>
      <c r="AN48" s="1787" t="s">
        <v>52</v>
      </c>
      <c r="AO48" s="1787" t="s">
        <v>2457</v>
      </c>
      <c r="AP48" s="1787" t="s">
        <v>52</v>
      </c>
      <c r="AQ48" s="1787" t="s">
        <v>52</v>
      </c>
      <c r="AR48" s="1787" t="s">
        <v>52</v>
      </c>
      <c r="AS48" s="1787" t="s">
        <v>2789</v>
      </c>
      <c r="AT48" s="1787" t="s">
        <v>52</v>
      </c>
      <c r="AU48" s="1787" t="s">
        <v>52</v>
      </c>
      <c r="AV48" s="1787" t="s">
        <v>52</v>
      </c>
      <c r="AW48" s="1787" t="s">
        <v>2458</v>
      </c>
      <c r="AX48" s="1787" t="s">
        <v>52</v>
      </c>
      <c r="AY48" s="1787" t="s">
        <v>52</v>
      </c>
      <c r="AZ48" s="1787" t="s">
        <v>52</v>
      </c>
      <c r="BA48" s="490"/>
      <c r="BB48" s="713" t="s">
        <v>149</v>
      </c>
      <c r="BC48" s="490"/>
      <c r="BD48" s="713" t="s">
        <v>149</v>
      </c>
      <c r="BE48" s="1787" t="s">
        <v>52</v>
      </c>
      <c r="BF48" s="1787" t="s">
        <v>2470</v>
      </c>
      <c r="BG48" s="1787" t="s">
        <v>52</v>
      </c>
      <c r="BH48" s="1787" t="s">
        <v>52</v>
      </c>
      <c r="BI48" s="1787" t="s">
        <v>52</v>
      </c>
      <c r="BJ48" s="1787" t="s">
        <v>2459</v>
      </c>
      <c r="BK48" s="1787" t="s">
        <v>52</v>
      </c>
      <c r="BL48" s="1787" t="s">
        <v>52</v>
      </c>
      <c r="BM48" s="1787" t="s">
        <v>52</v>
      </c>
      <c r="BN48" s="490"/>
      <c r="BO48" s="713" t="s">
        <v>149</v>
      </c>
    </row>
    <row r="49" spans="1:67" ht="10.5" customHeight="1">
      <c r="A49" s="2472" t="s">
        <v>2288</v>
      </c>
      <c r="B49" s="2472"/>
      <c r="C49" s="2472"/>
      <c r="D49" s="2472"/>
      <c r="E49" s="2472"/>
      <c r="F49" s="2473" t="s">
        <v>2224</v>
      </c>
      <c r="G49" s="2473"/>
      <c r="H49" s="1398"/>
      <c r="I49" s="1398"/>
      <c r="J49" s="1398"/>
      <c r="K49" s="1397"/>
      <c r="L49" s="1913"/>
      <c r="M49" s="1913"/>
      <c r="N49" s="1913"/>
      <c r="O49" s="1913"/>
      <c r="P49" s="1913"/>
      <c r="Q49" s="1913"/>
      <c r="R49" s="1913"/>
      <c r="S49" s="1913"/>
      <c r="T49" s="1913"/>
      <c r="U49" s="2472" t="s">
        <v>2288</v>
      </c>
      <c r="V49" s="2472"/>
      <c r="W49" s="2472"/>
      <c r="X49" s="2472"/>
      <c r="Y49" s="2472"/>
      <c r="Z49" s="725"/>
      <c r="AA49" s="726"/>
      <c r="AB49" s="726"/>
      <c r="AC49" s="726"/>
      <c r="AD49" s="726"/>
      <c r="AE49" s="726"/>
      <c r="AF49" s="726"/>
      <c r="AG49" s="726"/>
      <c r="AH49" s="726"/>
      <c r="AK49" s="2503" t="s">
        <v>2288</v>
      </c>
      <c r="AL49" s="2503"/>
      <c r="AM49" s="2503"/>
      <c r="AN49" s="2503"/>
      <c r="AS49" s="1895"/>
      <c r="BC49" s="2472" t="s">
        <v>2288</v>
      </c>
      <c r="BD49" s="2472"/>
      <c r="BE49" s="2472"/>
      <c r="BF49" s="2472"/>
      <c r="BG49" s="2472"/>
    </row>
    <row r="50" spans="1:67" ht="12" customHeight="1">
      <c r="B50" s="13" t="s">
        <v>152</v>
      </c>
      <c r="F50" s="1312"/>
      <c r="G50" s="1312"/>
      <c r="H50" s="54"/>
      <c r="V50" s="13" t="s">
        <v>152</v>
      </c>
      <c r="W50" s="25"/>
      <c r="X50" s="168"/>
      <c r="Y50" s="25"/>
      <c r="Z50" s="25"/>
      <c r="AB50" s="25"/>
      <c r="AC50" s="25"/>
      <c r="AD50" s="25"/>
      <c r="AE50" s="25"/>
      <c r="AF50" s="25"/>
      <c r="AG50" s="25"/>
      <c r="AH50" s="25"/>
      <c r="AL50" s="13" t="s">
        <v>152</v>
      </c>
      <c r="AM50" s="25"/>
      <c r="AN50" s="25"/>
      <c r="BD50" s="13" t="s">
        <v>152</v>
      </c>
      <c r="BE50" s="25"/>
      <c r="BF50" s="25"/>
      <c r="BG50" s="25"/>
      <c r="BO50" s="13" t="s">
        <v>629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6:B6"/>
    <mergeCell ref="L3:R3"/>
    <mergeCell ref="A3:B5"/>
    <mergeCell ref="C3:H3"/>
    <mergeCell ref="K1:Q1"/>
    <mergeCell ref="AI1:AJ1"/>
    <mergeCell ref="S6:T6"/>
    <mergeCell ref="U3:V5"/>
    <mergeCell ref="AC1:AH1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U7:V7"/>
    <mergeCell ref="A19:B19"/>
    <mergeCell ref="S19:T19"/>
    <mergeCell ref="S20:T20"/>
    <mergeCell ref="A23:B23"/>
    <mergeCell ref="A20:B20"/>
    <mergeCell ref="S23:T23"/>
    <mergeCell ref="A7:B7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T59"/>
  <sheetViews>
    <sheetView zoomScale="130" zoomScaleNormal="130" workbookViewId="0">
      <pane xSplit="3" ySplit="3" topLeftCell="D49" activePane="bottomRight" state="frozen"/>
      <selection activeCell="BU10" sqref="BU10"/>
      <selection pane="topRight" activeCell="BU10" sqref="BU10"/>
      <selection pane="bottomLeft" activeCell="BU10" sqref="BU10"/>
      <selection pane="bottomRight" activeCell="P13" sqref="P13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6" width="4.42578125" style="2" customWidth="1"/>
    <col min="7" max="7" width="4.7109375" style="835" customWidth="1"/>
    <col min="8" max="8" width="4.42578125" style="2" customWidth="1"/>
    <col min="9" max="9" width="3.85546875" style="2" customWidth="1"/>
    <col min="10" max="10" width="5.140625" style="2" customWidth="1"/>
    <col min="11" max="11" width="4.42578125" style="2" customWidth="1"/>
    <col min="12" max="12" width="4.85546875" style="2" customWidth="1"/>
    <col min="13" max="13" width="4.5703125" style="2" customWidth="1"/>
    <col min="14" max="16384" width="9.140625" style="2"/>
  </cols>
  <sheetData>
    <row r="1" spans="1:20" s="16" customFormat="1" ht="15" customHeight="1">
      <c r="A1" s="2504" t="s">
        <v>2896</v>
      </c>
      <c r="B1" s="2504"/>
      <c r="C1" s="2504"/>
      <c r="D1" s="2504"/>
      <c r="E1" s="2504"/>
      <c r="F1" s="2504"/>
      <c r="G1" s="2504"/>
      <c r="H1" s="2504"/>
      <c r="I1" s="2504"/>
      <c r="K1" s="2505" t="s">
        <v>1082</v>
      </c>
      <c r="L1" s="2505"/>
      <c r="M1" s="2505"/>
    </row>
    <row r="2" spans="1:20" s="5" customFormat="1" ht="11.25" customHeight="1">
      <c r="B2" s="984"/>
      <c r="C2" s="984"/>
      <c r="D2" s="984"/>
      <c r="E2" s="984"/>
      <c r="F2" s="984"/>
      <c r="G2" s="959"/>
      <c r="H2" s="1700"/>
      <c r="I2" s="1700"/>
      <c r="K2" s="2508" t="s">
        <v>507</v>
      </c>
      <c r="L2" s="2508"/>
      <c r="M2" s="2508"/>
    </row>
    <row r="3" spans="1:20" s="379" customFormat="1" ht="60" customHeight="1">
      <c r="A3" s="1947" t="s">
        <v>572</v>
      </c>
      <c r="B3" s="1947"/>
      <c r="C3" s="1947"/>
      <c r="D3" s="1698" t="s">
        <v>1360</v>
      </c>
      <c r="E3" s="1698" t="s">
        <v>1304</v>
      </c>
      <c r="F3" s="1698" t="s">
        <v>96</v>
      </c>
      <c r="G3" s="1698" t="s">
        <v>1361</v>
      </c>
      <c r="H3" s="1698" t="s">
        <v>1362</v>
      </c>
      <c r="I3" s="1698" t="s">
        <v>1363</v>
      </c>
      <c r="J3" s="1698" t="s">
        <v>1364</v>
      </c>
      <c r="K3" s="1698" t="s">
        <v>1365</v>
      </c>
      <c r="L3" s="1698" t="s">
        <v>2065</v>
      </c>
      <c r="M3" s="1698" t="s">
        <v>2066</v>
      </c>
    </row>
    <row r="4" spans="1:20" s="1703" customFormat="1" ht="9.9499999999999993" customHeight="1">
      <c r="A4" s="155" t="s">
        <v>586</v>
      </c>
      <c r="B4" s="2510" t="s">
        <v>615</v>
      </c>
      <c r="C4" s="2510"/>
      <c r="D4" s="1110">
        <v>3.5</v>
      </c>
      <c r="E4" s="1110">
        <v>2.94</v>
      </c>
      <c r="F4" s="1097">
        <v>3</v>
      </c>
      <c r="G4" s="1098">
        <v>2</v>
      </c>
      <c r="H4" s="1110">
        <v>2.2599999999999998</v>
      </c>
      <c r="I4" s="1110">
        <v>2.37</v>
      </c>
      <c r="J4" s="1110">
        <v>3.79</v>
      </c>
      <c r="K4" s="1097">
        <v>6.09</v>
      </c>
      <c r="L4" s="1097">
        <v>2</v>
      </c>
      <c r="M4" s="1097">
        <v>3</v>
      </c>
      <c r="O4" s="1096"/>
      <c r="Q4" s="1096"/>
      <c r="R4" s="1096"/>
      <c r="S4" s="1096"/>
      <c r="T4" s="1096"/>
    </row>
    <row r="5" spans="1:20" s="30" customFormat="1" ht="9.9499999999999993" customHeight="1">
      <c r="A5" s="1111" t="s">
        <v>587</v>
      </c>
      <c r="B5" s="2507" t="s">
        <v>616</v>
      </c>
      <c r="C5" s="2507"/>
      <c r="D5" s="795"/>
      <c r="E5" s="795"/>
      <c r="F5" s="1112"/>
      <c r="G5" s="1112"/>
      <c r="H5" s="795"/>
      <c r="I5" s="795"/>
      <c r="J5" s="795"/>
      <c r="K5" s="1112"/>
      <c r="L5" s="1112"/>
      <c r="M5" s="1112"/>
      <c r="N5" s="1703"/>
      <c r="O5" s="1096"/>
      <c r="Q5" s="1096"/>
      <c r="R5" s="1096"/>
      <c r="S5" s="1096"/>
      <c r="T5" s="1096"/>
    </row>
    <row r="6" spans="1:20" s="30" customFormat="1" ht="9.9499999999999993" customHeight="1">
      <c r="A6" s="155"/>
      <c r="B6" s="237" t="s">
        <v>617</v>
      </c>
      <c r="C6" s="65" t="s">
        <v>618</v>
      </c>
      <c r="D6" s="1110">
        <v>11</v>
      </c>
      <c r="E6" s="1110">
        <v>8.4499999999999993</v>
      </c>
      <c r="F6" s="1097">
        <v>12.25</v>
      </c>
      <c r="G6" s="1097">
        <v>6</v>
      </c>
      <c r="H6" s="1110">
        <v>6.08</v>
      </c>
      <c r="I6" s="1110">
        <v>8.64</v>
      </c>
      <c r="J6" s="1110">
        <v>5.78</v>
      </c>
      <c r="K6" s="1097">
        <v>6.9</v>
      </c>
      <c r="L6" s="1097" t="s">
        <v>292</v>
      </c>
      <c r="M6" s="1097">
        <v>10.5</v>
      </c>
      <c r="N6" s="1703"/>
      <c r="O6" s="1096"/>
      <c r="Q6" s="1096"/>
      <c r="R6" s="1096"/>
      <c r="S6" s="1096"/>
      <c r="T6" s="1096"/>
    </row>
    <row r="7" spans="1:20" s="30" customFormat="1" ht="9.9499999999999993" customHeight="1">
      <c r="A7" s="1111"/>
      <c r="B7" s="1702" t="s">
        <v>619</v>
      </c>
      <c r="C7" s="1109" t="s">
        <v>620</v>
      </c>
      <c r="D7" s="795">
        <v>10.7</v>
      </c>
      <c r="E7" s="795">
        <v>8.09</v>
      </c>
      <c r="F7" s="1112">
        <v>11.75</v>
      </c>
      <c r="G7" s="1112">
        <v>6</v>
      </c>
      <c r="H7" s="795">
        <v>5.99</v>
      </c>
      <c r="I7" s="795">
        <v>9.33</v>
      </c>
      <c r="J7" s="795">
        <v>5.78</v>
      </c>
      <c r="K7" s="1112">
        <v>9.08</v>
      </c>
      <c r="L7" s="1112">
        <v>6.3299999999999992</v>
      </c>
      <c r="M7" s="1112">
        <v>10.5</v>
      </c>
      <c r="N7" s="1703"/>
      <c r="O7" s="1096"/>
      <c r="Q7" s="1096"/>
      <c r="R7" s="1096"/>
      <c r="S7" s="1096"/>
      <c r="T7" s="1096"/>
    </row>
    <row r="8" spans="1:20" s="30" customFormat="1" ht="9.9499999999999993" customHeight="1">
      <c r="A8" s="155"/>
      <c r="B8" s="237" t="s">
        <v>621</v>
      </c>
      <c r="C8" s="65" t="s">
        <v>79</v>
      </c>
      <c r="D8" s="1110">
        <v>10.5</v>
      </c>
      <c r="E8" s="1110">
        <v>7.35</v>
      </c>
      <c r="F8" s="1097">
        <v>11.5</v>
      </c>
      <c r="G8" s="1097">
        <v>8</v>
      </c>
      <c r="H8" s="1110">
        <v>5.73</v>
      </c>
      <c r="I8" s="1110">
        <v>9.91</v>
      </c>
      <c r="J8" s="1110">
        <v>5.78</v>
      </c>
      <c r="K8" s="1097">
        <v>9.7100000000000009</v>
      </c>
      <c r="L8" s="1097">
        <v>8.85</v>
      </c>
      <c r="M8" s="1097">
        <v>10.5</v>
      </c>
      <c r="N8" s="1703"/>
      <c r="O8" s="1096"/>
      <c r="Q8" s="1096"/>
      <c r="R8" s="1096"/>
      <c r="S8" s="1096"/>
      <c r="T8" s="1096"/>
    </row>
    <row r="9" spans="1:20" s="30" customFormat="1" ht="9.9499999999999993" customHeight="1">
      <c r="A9" s="1111"/>
      <c r="B9" s="1702" t="s">
        <v>622</v>
      </c>
      <c r="C9" s="1109" t="s">
        <v>623</v>
      </c>
      <c r="D9" s="795">
        <v>10.3</v>
      </c>
      <c r="E9" s="795">
        <v>6.98</v>
      </c>
      <c r="F9" s="1112">
        <v>9.25</v>
      </c>
      <c r="G9" s="1112">
        <v>7.0000000000000009</v>
      </c>
      <c r="H9" s="795">
        <v>5.56</v>
      </c>
      <c r="I9" s="795">
        <v>10.220000000000001</v>
      </c>
      <c r="J9" s="795">
        <v>5.54</v>
      </c>
      <c r="K9" s="1112">
        <v>9.4499999999999993</v>
      </c>
      <c r="L9" s="1112">
        <v>8.75</v>
      </c>
      <c r="M9" s="1112">
        <v>10.25</v>
      </c>
      <c r="N9" s="1703"/>
      <c r="O9" s="1096"/>
      <c r="Q9" s="1096"/>
      <c r="R9" s="1096"/>
      <c r="S9" s="1096"/>
      <c r="T9" s="1096"/>
    </row>
    <row r="10" spans="1:20" s="30" customFormat="1" ht="9.9499999999999993" customHeight="1">
      <c r="A10" s="155"/>
      <c r="B10" s="237" t="s">
        <v>624</v>
      </c>
      <c r="C10" s="65" t="s">
        <v>625</v>
      </c>
      <c r="D10" s="1110">
        <v>10</v>
      </c>
      <c r="E10" s="1110">
        <v>6.62</v>
      </c>
      <c r="F10" s="1097">
        <v>9</v>
      </c>
      <c r="G10" s="1097">
        <v>7.5</v>
      </c>
      <c r="H10" s="1110">
        <v>5.13</v>
      </c>
      <c r="I10" s="1110">
        <v>9.56</v>
      </c>
      <c r="J10" s="1110">
        <v>5.3</v>
      </c>
      <c r="K10" s="1097">
        <v>8.08</v>
      </c>
      <c r="L10" s="1097">
        <v>8.5</v>
      </c>
      <c r="M10" s="1097">
        <v>9.75</v>
      </c>
      <c r="N10" s="1703"/>
      <c r="O10" s="1096"/>
      <c r="Q10" s="1096"/>
      <c r="R10" s="1096"/>
      <c r="S10" s="1096"/>
      <c r="T10" s="1096"/>
    </row>
    <row r="11" spans="1:20" s="30" customFormat="1" ht="9.9499999999999993" customHeight="1">
      <c r="A11" s="1111"/>
      <c r="B11" s="1702" t="s">
        <v>302</v>
      </c>
      <c r="C11" s="1109" t="s">
        <v>78</v>
      </c>
      <c r="D11" s="795">
        <v>6</v>
      </c>
      <c r="E11" s="795">
        <v>5.15</v>
      </c>
      <c r="F11" s="1112">
        <v>5</v>
      </c>
      <c r="G11" s="1112">
        <v>5</v>
      </c>
      <c r="H11" s="795">
        <v>4.5999999999999996</v>
      </c>
      <c r="I11" s="795">
        <v>8.9</v>
      </c>
      <c r="J11" s="795">
        <v>5</v>
      </c>
      <c r="K11" s="1112">
        <v>6.63</v>
      </c>
      <c r="L11" s="1112">
        <v>4</v>
      </c>
      <c r="M11" s="1112">
        <v>6</v>
      </c>
      <c r="N11" s="1703"/>
      <c r="O11" s="1096"/>
      <c r="Q11" s="1096"/>
      <c r="R11" s="1096"/>
      <c r="S11" s="1096"/>
      <c r="T11" s="1096"/>
    </row>
    <row r="12" spans="1:20" s="156" customFormat="1" ht="10.5" customHeight="1">
      <c r="A12" s="155" t="s">
        <v>588</v>
      </c>
      <c r="B12" s="2510" t="s">
        <v>626</v>
      </c>
      <c r="C12" s="2510"/>
      <c r="D12" s="621" t="s">
        <v>292</v>
      </c>
      <c r="E12" s="1110" t="s">
        <v>292</v>
      </c>
      <c r="F12" s="1097" t="s">
        <v>292</v>
      </c>
      <c r="G12" s="1110" t="s">
        <v>292</v>
      </c>
      <c r="H12" s="1110" t="s">
        <v>292</v>
      </c>
      <c r="I12" s="1110" t="s">
        <v>292</v>
      </c>
      <c r="J12" s="1110" t="s">
        <v>292</v>
      </c>
      <c r="K12" s="1097" t="s">
        <v>292</v>
      </c>
      <c r="L12" s="1097" t="s">
        <v>292</v>
      </c>
      <c r="M12" s="1098" t="s">
        <v>292</v>
      </c>
      <c r="N12" s="1703"/>
      <c r="O12" s="1096"/>
      <c r="Q12" s="1096"/>
      <c r="R12" s="1096"/>
      <c r="S12" s="1096"/>
      <c r="T12" s="1096"/>
    </row>
    <row r="13" spans="1:20" s="30" customFormat="1" ht="9.9499999999999993" customHeight="1">
      <c r="A13" s="1113"/>
      <c r="B13" s="1702" t="s">
        <v>617</v>
      </c>
      <c r="C13" s="1702" t="s">
        <v>627</v>
      </c>
      <c r="D13" s="795" t="s">
        <v>292</v>
      </c>
      <c r="E13" s="795">
        <v>8.4499999999999993</v>
      </c>
      <c r="F13" s="1112" t="s">
        <v>292</v>
      </c>
      <c r="G13" s="1112">
        <v>7.0000000000000009</v>
      </c>
      <c r="H13" s="795" t="s">
        <v>292</v>
      </c>
      <c r="I13" s="795">
        <v>10.11</v>
      </c>
      <c r="J13" s="1112" t="s">
        <v>292</v>
      </c>
      <c r="K13" s="1112" t="s">
        <v>292</v>
      </c>
      <c r="L13" s="1112" t="s">
        <v>292</v>
      </c>
      <c r="M13" s="1112" t="s">
        <v>292</v>
      </c>
      <c r="N13" s="1703"/>
      <c r="O13" s="1096"/>
      <c r="Q13" s="1096"/>
      <c r="R13" s="1096"/>
      <c r="S13" s="1096"/>
      <c r="T13" s="1096"/>
    </row>
    <row r="14" spans="1:20" s="30" customFormat="1" ht="9.9499999999999993" customHeight="1">
      <c r="A14" s="1114"/>
      <c r="B14" s="237" t="s">
        <v>619</v>
      </c>
      <c r="C14" s="237" t="s">
        <v>628</v>
      </c>
      <c r="D14" s="1110" t="s">
        <v>292</v>
      </c>
      <c r="E14" s="1110">
        <v>8.4499999999999993</v>
      </c>
      <c r="F14" s="1097" t="s">
        <v>292</v>
      </c>
      <c r="G14" s="1097" t="s">
        <v>292</v>
      </c>
      <c r="H14" s="1110" t="s">
        <v>292</v>
      </c>
      <c r="I14" s="1110" t="s">
        <v>292</v>
      </c>
      <c r="J14" s="1110" t="s">
        <v>292</v>
      </c>
      <c r="K14" s="1097" t="s">
        <v>292</v>
      </c>
      <c r="L14" s="1097" t="s">
        <v>292</v>
      </c>
      <c r="M14" s="1097" t="s">
        <v>292</v>
      </c>
      <c r="N14" s="1703"/>
      <c r="O14" s="1096"/>
      <c r="Q14" s="1096"/>
      <c r="R14" s="1096"/>
      <c r="S14" s="1096"/>
      <c r="T14" s="1096"/>
    </row>
    <row r="15" spans="1:20" s="30" customFormat="1" ht="9.9499999999999993" customHeight="1">
      <c r="A15" s="1113"/>
      <c r="B15" s="1702" t="s">
        <v>621</v>
      </c>
      <c r="C15" s="1702" t="s">
        <v>237</v>
      </c>
      <c r="D15" s="795" t="s">
        <v>292</v>
      </c>
      <c r="E15" s="795">
        <v>8.4499999999999993</v>
      </c>
      <c r="F15" s="1112" t="s">
        <v>292</v>
      </c>
      <c r="G15" s="1112" t="s">
        <v>292</v>
      </c>
      <c r="H15" s="795">
        <v>6.78</v>
      </c>
      <c r="I15" s="795" t="s">
        <v>292</v>
      </c>
      <c r="J15" s="1112" t="s">
        <v>292</v>
      </c>
      <c r="K15" s="1112">
        <v>10.119999999999999</v>
      </c>
      <c r="L15" s="1112" t="s">
        <v>292</v>
      </c>
      <c r="M15" s="1112" t="s">
        <v>292</v>
      </c>
      <c r="N15" s="1703"/>
      <c r="O15" s="1096"/>
      <c r="Q15" s="1096"/>
      <c r="R15" s="1096"/>
      <c r="S15" s="1096"/>
      <c r="T15" s="1096"/>
    </row>
    <row r="16" spans="1:20" s="30" customFormat="1" ht="9.9499999999999993" customHeight="1">
      <c r="A16" s="345"/>
      <c r="B16" s="2452" t="s">
        <v>883</v>
      </c>
      <c r="C16" s="2452"/>
      <c r="D16" s="621" t="s">
        <v>292</v>
      </c>
      <c r="E16" s="1098" t="s">
        <v>292</v>
      </c>
      <c r="F16" s="1098" t="s">
        <v>292</v>
      </c>
      <c r="G16" s="1098" t="s">
        <v>292</v>
      </c>
      <c r="H16" s="621" t="s">
        <v>292</v>
      </c>
      <c r="I16" s="621" t="s">
        <v>292</v>
      </c>
      <c r="J16" s="1098" t="s">
        <v>292</v>
      </c>
      <c r="K16" s="1098" t="s">
        <v>292</v>
      </c>
      <c r="L16" s="1098" t="s">
        <v>292</v>
      </c>
      <c r="M16" s="1098" t="s">
        <v>292</v>
      </c>
      <c r="N16" s="1703"/>
      <c r="O16" s="1096"/>
      <c r="Q16" s="1096"/>
      <c r="R16" s="1096"/>
      <c r="S16" s="1096"/>
      <c r="T16" s="1096"/>
    </row>
    <row r="17" spans="1:20" s="30" customFormat="1" ht="9.9499999999999993" customHeight="1">
      <c r="A17" s="1113"/>
      <c r="B17" s="319" t="s">
        <v>303</v>
      </c>
      <c r="C17" s="1702" t="s">
        <v>618</v>
      </c>
      <c r="D17" s="795" t="s">
        <v>292</v>
      </c>
      <c r="E17" s="795">
        <v>8.4499999999999993</v>
      </c>
      <c r="F17" s="1112" t="s">
        <v>292</v>
      </c>
      <c r="G17" s="1112" t="s">
        <v>292</v>
      </c>
      <c r="H17" s="795" t="s">
        <v>292</v>
      </c>
      <c r="I17" s="795" t="s">
        <v>292</v>
      </c>
      <c r="J17" s="1112" t="s">
        <v>292</v>
      </c>
      <c r="K17" s="1112" t="s">
        <v>292</v>
      </c>
      <c r="L17" s="1112" t="s">
        <v>292</v>
      </c>
      <c r="M17" s="1112">
        <v>10</v>
      </c>
      <c r="N17" s="1703"/>
      <c r="O17" s="1096"/>
      <c r="Q17" s="1096"/>
      <c r="R17" s="1096"/>
      <c r="S17" s="1096"/>
      <c r="T17" s="1096"/>
    </row>
    <row r="18" spans="1:20" s="30" customFormat="1" ht="9.9499999999999993" customHeight="1">
      <c r="A18" s="1114"/>
      <c r="B18" s="596" t="s">
        <v>471</v>
      </c>
      <c r="C18" s="237" t="s">
        <v>98</v>
      </c>
      <c r="D18" s="1110">
        <v>7.1</v>
      </c>
      <c r="E18" s="1110">
        <v>8.4499999999999993</v>
      </c>
      <c r="F18" s="1097" t="s">
        <v>292</v>
      </c>
      <c r="G18" s="1097" t="s">
        <v>292</v>
      </c>
      <c r="H18" s="1110" t="s">
        <v>292</v>
      </c>
      <c r="I18" s="1110" t="s">
        <v>292</v>
      </c>
      <c r="J18" s="1098" t="s">
        <v>292</v>
      </c>
      <c r="K18" s="1097" t="s">
        <v>292</v>
      </c>
      <c r="L18" s="1097" t="s">
        <v>292</v>
      </c>
      <c r="M18" s="1097">
        <v>10</v>
      </c>
      <c r="N18" s="1703"/>
      <c r="O18" s="1096"/>
      <c r="Q18" s="1096"/>
      <c r="R18" s="1096"/>
      <c r="S18" s="1096"/>
      <c r="T18" s="1096"/>
    </row>
    <row r="19" spans="1:20" s="30" customFormat="1" ht="9.9499999999999993" customHeight="1">
      <c r="A19" s="1113"/>
      <c r="B19" s="319" t="s">
        <v>295</v>
      </c>
      <c r="C19" s="1702" t="s">
        <v>99</v>
      </c>
      <c r="D19" s="795">
        <v>7.5</v>
      </c>
      <c r="E19" s="795">
        <v>8.4499999999999993</v>
      </c>
      <c r="F19" s="1112" t="s">
        <v>292</v>
      </c>
      <c r="G19" s="1112" t="s">
        <v>292</v>
      </c>
      <c r="H19" s="795" t="s">
        <v>292</v>
      </c>
      <c r="I19" s="795" t="s">
        <v>292</v>
      </c>
      <c r="J19" s="1112" t="s">
        <v>292</v>
      </c>
      <c r="K19" s="1112" t="s">
        <v>292</v>
      </c>
      <c r="L19" s="1112" t="s">
        <v>292</v>
      </c>
      <c r="M19" s="1112">
        <v>10</v>
      </c>
      <c r="N19" s="1703"/>
      <c r="O19" s="1096"/>
      <c r="Q19" s="1096"/>
      <c r="R19" s="1096"/>
      <c r="S19" s="1096"/>
      <c r="T19" s="1096"/>
    </row>
    <row r="20" spans="1:20" s="30" customFormat="1" ht="9.9499999999999993" customHeight="1">
      <c r="A20" s="1114"/>
      <c r="B20" s="65" t="s">
        <v>356</v>
      </c>
      <c r="C20" s="65" t="s">
        <v>357</v>
      </c>
      <c r="D20" s="1097" t="s">
        <v>292</v>
      </c>
      <c r="E20" s="1097" t="s">
        <v>292</v>
      </c>
      <c r="F20" s="1097" t="s">
        <v>292</v>
      </c>
      <c r="G20" s="1097" t="s">
        <v>292</v>
      </c>
      <c r="H20" s="1097" t="s">
        <v>292</v>
      </c>
      <c r="I20" s="1097" t="s">
        <v>292</v>
      </c>
      <c r="J20" s="1098" t="s">
        <v>292</v>
      </c>
      <c r="K20" s="1097" t="s">
        <v>292</v>
      </c>
      <c r="L20" s="1097" t="s">
        <v>292</v>
      </c>
      <c r="M20" s="1097" t="s">
        <v>292</v>
      </c>
      <c r="N20" s="1703"/>
      <c r="O20" s="1096"/>
      <c r="Q20" s="1096"/>
      <c r="R20" s="1096"/>
      <c r="S20" s="1096"/>
      <c r="T20" s="1096"/>
    </row>
    <row r="21" spans="1:20" s="30" customFormat="1" ht="9.9499999999999993" customHeight="1">
      <c r="A21" s="1113"/>
      <c r="B21" s="319" t="s">
        <v>303</v>
      </c>
      <c r="C21" s="1702" t="s">
        <v>100</v>
      </c>
      <c r="D21" s="1112">
        <v>12.5</v>
      </c>
      <c r="E21" s="795">
        <v>8.4499999999999993</v>
      </c>
      <c r="F21" s="1112" t="s">
        <v>292</v>
      </c>
      <c r="G21" s="1112" t="s">
        <v>292</v>
      </c>
      <c r="H21" s="795">
        <v>7.91</v>
      </c>
      <c r="I21" s="795">
        <v>10.83</v>
      </c>
      <c r="J21" s="795" t="s">
        <v>292</v>
      </c>
      <c r="K21" s="1112">
        <v>8.65</v>
      </c>
      <c r="L21" s="1112">
        <v>13.389999999999999</v>
      </c>
      <c r="M21" s="1112">
        <v>13.950000000000001</v>
      </c>
      <c r="N21" s="1703"/>
      <c r="O21" s="1096"/>
      <c r="Q21" s="1096"/>
      <c r="R21" s="1096"/>
      <c r="S21" s="1096"/>
      <c r="T21" s="1096"/>
    </row>
    <row r="22" spans="1:20" s="30" customFormat="1" ht="9.9499999999999993" customHeight="1">
      <c r="A22" s="1114"/>
      <c r="B22" s="596" t="s">
        <v>471</v>
      </c>
      <c r="C22" s="237" t="s">
        <v>101</v>
      </c>
      <c r="D22" s="1097" t="s">
        <v>292</v>
      </c>
      <c r="E22" s="1110">
        <v>8.4499999999999993</v>
      </c>
      <c r="F22" s="1097" t="s">
        <v>292</v>
      </c>
      <c r="G22" s="1097" t="s">
        <v>292</v>
      </c>
      <c r="H22" s="1110">
        <v>8.43</v>
      </c>
      <c r="I22" s="1110" t="s">
        <v>292</v>
      </c>
      <c r="J22" s="1110" t="s">
        <v>292</v>
      </c>
      <c r="K22" s="1097">
        <v>7.98</v>
      </c>
      <c r="L22" s="1097" t="s">
        <v>292</v>
      </c>
      <c r="M22" s="1097" t="s">
        <v>292</v>
      </c>
      <c r="N22" s="1703"/>
      <c r="O22" s="1096"/>
      <c r="Q22" s="1096"/>
      <c r="R22" s="1096"/>
      <c r="S22" s="1096"/>
      <c r="T22" s="1096"/>
    </row>
    <row r="23" spans="1:20" s="30" customFormat="1" ht="9.9499999999999993" customHeight="1">
      <c r="A23" s="1113"/>
      <c r="B23" s="1702" t="s">
        <v>358</v>
      </c>
      <c r="C23" s="1109" t="s">
        <v>359</v>
      </c>
      <c r="D23" s="1112" t="s">
        <v>292</v>
      </c>
      <c r="E23" s="1112"/>
      <c r="F23" s="1112" t="s">
        <v>292</v>
      </c>
      <c r="G23" s="1112" t="s">
        <v>292</v>
      </c>
      <c r="H23" s="795" t="s">
        <v>292</v>
      </c>
      <c r="I23" s="795" t="s">
        <v>292</v>
      </c>
      <c r="J23" s="795" t="s">
        <v>292</v>
      </c>
      <c r="K23" s="1112" t="s">
        <v>292</v>
      </c>
      <c r="L23" s="1112" t="s">
        <v>292</v>
      </c>
      <c r="M23" s="1112" t="s">
        <v>292</v>
      </c>
      <c r="N23" s="1703"/>
      <c r="O23" s="1096"/>
      <c r="Q23" s="1096"/>
      <c r="R23" s="1096"/>
      <c r="S23" s="1096"/>
      <c r="T23" s="1096"/>
    </row>
    <row r="24" spans="1:20" s="30" customFormat="1" ht="9.9499999999999993" customHeight="1">
      <c r="A24" s="1114"/>
      <c r="B24" s="596" t="s">
        <v>348</v>
      </c>
      <c r="C24" s="65" t="s">
        <v>347</v>
      </c>
      <c r="D24" s="1097" t="s">
        <v>292</v>
      </c>
      <c r="E24" s="1110">
        <v>8.4499999999999993</v>
      </c>
      <c r="F24" s="1097" t="s">
        <v>292</v>
      </c>
      <c r="G24" s="1097" t="s">
        <v>292</v>
      </c>
      <c r="H24" s="1110">
        <v>8.6</v>
      </c>
      <c r="I24" s="1110">
        <v>8.6499999999999986</v>
      </c>
      <c r="J24" s="1110">
        <v>8.07</v>
      </c>
      <c r="K24" s="1097">
        <v>8.59</v>
      </c>
      <c r="L24" s="1097">
        <v>11.5</v>
      </c>
      <c r="M24" s="1097">
        <v>10</v>
      </c>
      <c r="N24" s="1703"/>
      <c r="O24" s="1096"/>
      <c r="Q24" s="1096"/>
      <c r="R24" s="1096"/>
      <c r="S24" s="1096"/>
      <c r="T24" s="1096"/>
    </row>
    <row r="25" spans="1:20" s="30" customFormat="1" ht="10.5" customHeight="1">
      <c r="A25" s="1113"/>
      <c r="B25" s="319" t="s">
        <v>349</v>
      </c>
      <c r="C25" s="1109" t="s">
        <v>350</v>
      </c>
      <c r="D25" s="1112" t="s">
        <v>292</v>
      </c>
      <c r="E25" s="795">
        <v>8.4499999999999993</v>
      </c>
      <c r="F25" s="1112" t="s">
        <v>292</v>
      </c>
      <c r="G25" s="1112" t="s">
        <v>292</v>
      </c>
      <c r="H25" s="795">
        <v>8.77</v>
      </c>
      <c r="I25" s="795" t="s">
        <v>292</v>
      </c>
      <c r="J25" s="795">
        <v>8.1300000000000008</v>
      </c>
      <c r="K25" s="1112" t="s">
        <v>292</v>
      </c>
      <c r="L25" s="1112">
        <v>12.25</v>
      </c>
      <c r="M25" s="1112">
        <v>10</v>
      </c>
      <c r="N25" s="1703"/>
      <c r="O25" s="1096"/>
      <c r="Q25" s="1096"/>
      <c r="R25" s="1096"/>
      <c r="S25" s="1096"/>
      <c r="T25" s="1096"/>
    </row>
    <row r="26" spans="1:20" s="30" customFormat="1" ht="9.9499999999999993" customHeight="1">
      <c r="A26" s="1114"/>
      <c r="B26" s="596" t="s">
        <v>293</v>
      </c>
      <c r="C26" s="65" t="s">
        <v>351</v>
      </c>
      <c r="D26" s="1097" t="s">
        <v>292</v>
      </c>
      <c r="E26" s="1110">
        <v>8.4499999999999993</v>
      </c>
      <c r="F26" s="1097" t="s">
        <v>292</v>
      </c>
      <c r="G26" s="1097" t="s">
        <v>292</v>
      </c>
      <c r="H26" s="1110">
        <v>9.4700000000000006</v>
      </c>
      <c r="I26" s="1110" t="s">
        <v>292</v>
      </c>
      <c r="J26" s="1110" t="s">
        <v>292</v>
      </c>
      <c r="K26" s="1097" t="s">
        <v>292</v>
      </c>
      <c r="L26" s="1097" t="s">
        <v>292</v>
      </c>
      <c r="M26" s="1097" t="s">
        <v>292</v>
      </c>
      <c r="N26" s="1703"/>
      <c r="O26" s="1096"/>
      <c r="Q26" s="1096"/>
      <c r="R26" s="1096"/>
      <c r="S26" s="1096"/>
      <c r="T26" s="1096"/>
    </row>
    <row r="27" spans="1:20" s="30" customFormat="1" ht="9.9499999999999993" customHeight="1">
      <c r="A27" s="1113"/>
      <c r="B27" s="319" t="s">
        <v>294</v>
      </c>
      <c r="C27" s="1109" t="s">
        <v>352</v>
      </c>
      <c r="D27" s="1112" t="s">
        <v>292</v>
      </c>
      <c r="E27" s="795" t="s">
        <v>292</v>
      </c>
      <c r="F27" s="1112" t="s">
        <v>292</v>
      </c>
      <c r="G27" s="1112" t="s">
        <v>292</v>
      </c>
      <c r="H27" s="795">
        <v>9.73</v>
      </c>
      <c r="I27" s="795" t="s">
        <v>292</v>
      </c>
      <c r="J27" s="795" t="s">
        <v>292</v>
      </c>
      <c r="K27" s="1112" t="s">
        <v>292</v>
      </c>
      <c r="L27" s="1112" t="s">
        <v>292</v>
      </c>
      <c r="M27" s="1112" t="s">
        <v>292</v>
      </c>
      <c r="N27" s="1703"/>
      <c r="O27" s="1096"/>
      <c r="Q27" s="1096"/>
      <c r="R27" s="1096"/>
      <c r="S27" s="1096"/>
      <c r="T27" s="1096"/>
    </row>
    <row r="28" spans="1:20" s="30" customFormat="1" ht="10.5" customHeight="1">
      <c r="A28" s="1114"/>
      <c r="B28" s="237" t="s">
        <v>345</v>
      </c>
      <c r="C28" s="1115" t="s">
        <v>346</v>
      </c>
      <c r="D28" s="1097" t="s">
        <v>292</v>
      </c>
      <c r="E28" s="1097" t="s">
        <v>292</v>
      </c>
      <c r="F28" s="1098" t="s">
        <v>292</v>
      </c>
      <c r="G28" s="1097" t="s">
        <v>292</v>
      </c>
      <c r="H28" s="1110" t="s">
        <v>292</v>
      </c>
      <c r="I28" s="1110" t="s">
        <v>292</v>
      </c>
      <c r="J28" s="1110" t="s">
        <v>292</v>
      </c>
      <c r="K28" s="1097" t="s">
        <v>292</v>
      </c>
      <c r="L28" s="1097" t="s">
        <v>292</v>
      </c>
      <c r="M28" s="1097" t="s">
        <v>292</v>
      </c>
      <c r="N28" s="1703"/>
      <c r="O28" s="1096"/>
      <c r="Q28" s="1096"/>
      <c r="R28" s="1096"/>
      <c r="S28" s="1096"/>
      <c r="T28" s="1096"/>
    </row>
    <row r="29" spans="1:20" s="30" customFormat="1" ht="9.9499999999999993" customHeight="1">
      <c r="A29" s="1113"/>
      <c r="B29" s="319" t="s">
        <v>303</v>
      </c>
      <c r="C29" s="861" t="s">
        <v>618</v>
      </c>
      <c r="D29" s="1112">
        <v>6.5</v>
      </c>
      <c r="E29" s="1112">
        <v>8.4499999999999993</v>
      </c>
      <c r="F29" s="1112">
        <v>8.75</v>
      </c>
      <c r="G29" s="1112" t="s">
        <v>292</v>
      </c>
      <c r="H29" s="795" t="s">
        <v>292</v>
      </c>
      <c r="I29" s="795" t="s">
        <v>292</v>
      </c>
      <c r="J29" s="795">
        <v>7.77</v>
      </c>
      <c r="K29" s="1112" t="s">
        <v>292</v>
      </c>
      <c r="L29" s="1112" t="s">
        <v>292</v>
      </c>
      <c r="M29" s="1112">
        <v>13</v>
      </c>
      <c r="N29" s="1703"/>
      <c r="O29" s="1096"/>
      <c r="Q29" s="1096"/>
      <c r="R29" s="1096"/>
      <c r="S29" s="1096"/>
      <c r="T29" s="1096"/>
    </row>
    <row r="30" spans="1:20" s="218" customFormat="1" ht="9.9499999999999993" customHeight="1">
      <c r="A30" s="345"/>
      <c r="B30" s="252" t="s">
        <v>349</v>
      </c>
      <c r="C30" s="251" t="s">
        <v>98</v>
      </c>
      <c r="D30" s="621">
        <v>7</v>
      </c>
      <c r="E30" s="621">
        <v>8.4499999999999993</v>
      </c>
      <c r="F30" s="1098">
        <v>9</v>
      </c>
      <c r="G30" s="1098" t="s">
        <v>292</v>
      </c>
      <c r="H30" s="621" t="s">
        <v>292</v>
      </c>
      <c r="I30" s="621" t="s">
        <v>292</v>
      </c>
      <c r="J30" s="621">
        <v>7.89</v>
      </c>
      <c r="K30" s="1098" t="s">
        <v>292</v>
      </c>
      <c r="L30" s="1098" t="s">
        <v>292</v>
      </c>
      <c r="M30" s="1098">
        <v>13</v>
      </c>
      <c r="N30" s="1703"/>
      <c r="O30" s="1096"/>
      <c r="Q30" s="1096"/>
      <c r="R30" s="1096"/>
      <c r="S30" s="1096"/>
      <c r="T30" s="1096"/>
    </row>
    <row r="31" spans="1:20" s="218" customFormat="1" ht="9.9499999999999993" customHeight="1">
      <c r="A31" s="1113"/>
      <c r="B31" s="319" t="s">
        <v>293</v>
      </c>
      <c r="C31" s="1109" t="s">
        <v>99</v>
      </c>
      <c r="D31" s="795" t="s">
        <v>292</v>
      </c>
      <c r="E31" s="795" t="s">
        <v>292</v>
      </c>
      <c r="F31" s="1112">
        <v>8.4</v>
      </c>
      <c r="G31" s="1112" t="s">
        <v>292</v>
      </c>
      <c r="H31" s="795" t="s">
        <v>292</v>
      </c>
      <c r="I31" s="795" t="s">
        <v>292</v>
      </c>
      <c r="J31" s="795">
        <v>7.71</v>
      </c>
      <c r="K31" s="1112" t="s">
        <v>292</v>
      </c>
      <c r="L31" s="1112" t="s">
        <v>292</v>
      </c>
      <c r="M31" s="1112">
        <v>13</v>
      </c>
      <c r="N31" s="1703"/>
      <c r="O31" s="1096"/>
      <c r="Q31" s="1096"/>
      <c r="R31" s="1096"/>
      <c r="S31" s="1096"/>
      <c r="T31" s="1096"/>
    </row>
    <row r="32" spans="1:20" s="218" customFormat="1" ht="9.9499999999999993" customHeight="1">
      <c r="A32" s="345"/>
      <c r="B32" s="252" t="s">
        <v>294</v>
      </c>
      <c r="C32" s="251" t="s">
        <v>353</v>
      </c>
      <c r="D32" s="621">
        <v>7.5</v>
      </c>
      <c r="E32" s="621" t="s">
        <v>292</v>
      </c>
      <c r="F32" s="1098">
        <v>9.25</v>
      </c>
      <c r="G32" s="1098" t="s">
        <v>292</v>
      </c>
      <c r="H32" s="621" t="s">
        <v>292</v>
      </c>
      <c r="I32" s="621">
        <v>6.81</v>
      </c>
      <c r="J32" s="621">
        <v>7.71</v>
      </c>
      <c r="K32" s="1098">
        <v>9.44</v>
      </c>
      <c r="L32" s="1098" t="s">
        <v>292</v>
      </c>
      <c r="M32" s="1098">
        <v>13</v>
      </c>
      <c r="N32" s="1703"/>
      <c r="O32" s="1096"/>
      <c r="Q32" s="1096"/>
      <c r="R32" s="1096"/>
      <c r="S32" s="1096"/>
      <c r="T32" s="1096"/>
    </row>
    <row r="33" spans="1:20" s="218" customFormat="1" ht="9.9499999999999993" customHeight="1">
      <c r="A33" s="1113"/>
      <c r="B33" s="319" t="s">
        <v>2067</v>
      </c>
      <c r="C33" s="1109" t="s">
        <v>347</v>
      </c>
      <c r="D33" s="1112" t="s">
        <v>292</v>
      </c>
      <c r="E33" s="795" t="s">
        <v>292</v>
      </c>
      <c r="F33" s="1112">
        <v>8.75</v>
      </c>
      <c r="G33" s="1112" t="s">
        <v>292</v>
      </c>
      <c r="H33" s="795" t="s">
        <v>292</v>
      </c>
      <c r="I33" s="795" t="s">
        <v>292</v>
      </c>
      <c r="J33" s="795">
        <v>7.65</v>
      </c>
      <c r="K33" s="1112" t="s">
        <v>292</v>
      </c>
      <c r="L33" s="1112" t="s">
        <v>292</v>
      </c>
      <c r="M33" s="1112" t="s">
        <v>292</v>
      </c>
      <c r="N33" s="1703"/>
      <c r="O33" s="1096"/>
      <c r="Q33" s="1096"/>
      <c r="R33" s="1096"/>
      <c r="S33" s="1096"/>
      <c r="T33" s="1096"/>
    </row>
    <row r="34" spans="1:20" s="218" customFormat="1" ht="9.9499999999999993" customHeight="1">
      <c r="A34" s="345"/>
      <c r="B34" s="1701" t="s">
        <v>355</v>
      </c>
      <c r="C34" s="251" t="s">
        <v>735</v>
      </c>
      <c r="D34" s="1098">
        <v>7.7</v>
      </c>
      <c r="E34" s="1098">
        <v>8.4499999999999993</v>
      </c>
      <c r="F34" s="1098">
        <v>8.75</v>
      </c>
      <c r="G34" s="1098" t="s">
        <v>292</v>
      </c>
      <c r="H34" s="621">
        <v>8.89</v>
      </c>
      <c r="I34" s="621" t="s">
        <v>292</v>
      </c>
      <c r="J34" s="621" t="s">
        <v>52</v>
      </c>
      <c r="K34" s="1098">
        <v>9.44</v>
      </c>
      <c r="L34" s="1098" t="s">
        <v>292</v>
      </c>
      <c r="M34" s="1098" t="s">
        <v>292</v>
      </c>
      <c r="N34" s="1703"/>
      <c r="O34" s="1096"/>
      <c r="Q34" s="1096"/>
      <c r="R34" s="1096"/>
      <c r="S34" s="1096"/>
      <c r="T34" s="1096"/>
    </row>
    <row r="35" spans="1:20" s="218" customFormat="1" ht="10.5" customHeight="1">
      <c r="A35" s="1113"/>
      <c r="B35" s="1702" t="s">
        <v>303</v>
      </c>
      <c r="C35" s="1702" t="s">
        <v>102</v>
      </c>
      <c r="D35" s="1112" t="s">
        <v>292</v>
      </c>
      <c r="E35" s="1112" t="s">
        <v>292</v>
      </c>
      <c r="F35" s="1112" t="s">
        <v>292</v>
      </c>
      <c r="G35" s="1112" t="s">
        <v>292</v>
      </c>
      <c r="H35" s="795" t="s">
        <v>292</v>
      </c>
      <c r="I35" s="795" t="s">
        <v>292</v>
      </c>
      <c r="J35" s="795" t="s">
        <v>292</v>
      </c>
      <c r="K35" s="1112" t="s">
        <v>292</v>
      </c>
      <c r="L35" s="1112" t="s">
        <v>292</v>
      </c>
      <c r="M35" s="1112" t="s">
        <v>292</v>
      </c>
      <c r="N35" s="1703"/>
      <c r="O35" s="1096"/>
      <c r="Q35" s="1096"/>
      <c r="R35" s="1096"/>
      <c r="S35" s="1096"/>
      <c r="T35" s="1096"/>
    </row>
    <row r="36" spans="1:20" s="218" customFormat="1" ht="9.9499999999999993" customHeight="1">
      <c r="A36" s="345"/>
      <c r="B36" s="1701" t="s">
        <v>304</v>
      </c>
      <c r="C36" s="1701" t="s">
        <v>103</v>
      </c>
      <c r="D36" s="1098" t="s">
        <v>292</v>
      </c>
      <c r="E36" s="1098" t="s">
        <v>292</v>
      </c>
      <c r="F36" s="1098">
        <v>4</v>
      </c>
      <c r="G36" s="1098" t="s">
        <v>292</v>
      </c>
      <c r="H36" s="621" t="s">
        <v>292</v>
      </c>
      <c r="I36" s="621" t="s">
        <v>292</v>
      </c>
      <c r="J36" s="621">
        <v>7.41</v>
      </c>
      <c r="K36" s="1098" t="s">
        <v>292</v>
      </c>
      <c r="L36" s="1098">
        <v>4.5</v>
      </c>
      <c r="M36" s="1098" t="s">
        <v>292</v>
      </c>
      <c r="N36" s="1703"/>
      <c r="O36" s="1096"/>
      <c r="Q36" s="1096"/>
      <c r="R36" s="1096"/>
      <c r="S36" s="1096"/>
      <c r="T36" s="1096"/>
    </row>
    <row r="37" spans="1:20" s="218" customFormat="1" ht="9.9499999999999993" customHeight="1">
      <c r="A37" s="1113"/>
      <c r="B37" s="1702" t="s">
        <v>305</v>
      </c>
      <c r="C37" s="1702" t="s">
        <v>104</v>
      </c>
      <c r="D37" s="1112" t="s">
        <v>292</v>
      </c>
      <c r="E37" s="1112" t="s">
        <v>292</v>
      </c>
      <c r="F37" s="1112" t="s">
        <v>292</v>
      </c>
      <c r="G37" s="1112" t="s">
        <v>292</v>
      </c>
      <c r="H37" s="795" t="s">
        <v>292</v>
      </c>
      <c r="I37" s="795" t="s">
        <v>292</v>
      </c>
      <c r="J37" s="795">
        <v>7.05</v>
      </c>
      <c r="K37" s="1112" t="s">
        <v>292</v>
      </c>
      <c r="L37" s="1112" t="s">
        <v>292</v>
      </c>
      <c r="M37" s="1112" t="s">
        <v>292</v>
      </c>
      <c r="N37" s="1703"/>
      <c r="O37" s="1096"/>
      <c r="Q37" s="1096"/>
      <c r="R37" s="1096"/>
      <c r="S37" s="1096"/>
      <c r="T37" s="1096"/>
    </row>
    <row r="38" spans="1:20" s="218" customFormat="1" ht="9.9499999999999993" customHeight="1">
      <c r="A38" s="345"/>
      <c r="B38" s="1701" t="s">
        <v>306</v>
      </c>
      <c r="C38" s="1701" t="s">
        <v>105</v>
      </c>
      <c r="D38" s="1098" t="s">
        <v>292</v>
      </c>
      <c r="E38" s="1098" t="s">
        <v>292</v>
      </c>
      <c r="F38" s="1098" t="s">
        <v>292</v>
      </c>
      <c r="G38" s="1098" t="s">
        <v>292</v>
      </c>
      <c r="H38" s="621" t="s">
        <v>292</v>
      </c>
      <c r="I38" s="621" t="s">
        <v>292</v>
      </c>
      <c r="J38" s="621" t="s">
        <v>292</v>
      </c>
      <c r="K38" s="1098" t="s">
        <v>292</v>
      </c>
      <c r="L38" s="1098">
        <v>5</v>
      </c>
      <c r="M38" s="1098" t="s">
        <v>292</v>
      </c>
      <c r="N38" s="1703"/>
      <c r="O38" s="1096"/>
      <c r="Q38" s="1096"/>
      <c r="R38" s="1096"/>
      <c r="S38" s="1096"/>
      <c r="T38" s="1096"/>
    </row>
    <row r="39" spans="1:20" s="218" customFormat="1" ht="9.9499999999999993" customHeight="1">
      <c r="A39" s="1113"/>
      <c r="B39" s="1702" t="s">
        <v>307</v>
      </c>
      <c r="C39" s="1702" t="s">
        <v>106</v>
      </c>
      <c r="D39" s="1112" t="s">
        <v>292</v>
      </c>
      <c r="E39" s="795">
        <v>8.4499999999999993</v>
      </c>
      <c r="F39" s="1112" t="s">
        <v>292</v>
      </c>
      <c r="G39" s="1112" t="s">
        <v>292</v>
      </c>
      <c r="H39" s="795">
        <v>7.57</v>
      </c>
      <c r="I39" s="795">
        <v>5.8000000000000007</v>
      </c>
      <c r="J39" s="795" t="s">
        <v>292</v>
      </c>
      <c r="K39" s="1112" t="s">
        <v>292</v>
      </c>
      <c r="L39" s="1112" t="s">
        <v>292</v>
      </c>
      <c r="M39" s="1112">
        <v>10</v>
      </c>
      <c r="N39" s="1703"/>
      <c r="O39" s="1096"/>
      <c r="Q39" s="1096"/>
      <c r="R39" s="1096"/>
      <c r="S39" s="1096"/>
      <c r="T39" s="1096"/>
    </row>
    <row r="40" spans="1:20" s="218" customFormat="1" ht="9.9499999999999993" customHeight="1">
      <c r="A40" s="345"/>
      <c r="B40" s="1701" t="s">
        <v>308</v>
      </c>
      <c r="C40" s="1701" t="s">
        <v>107</v>
      </c>
      <c r="D40" s="1098" t="s">
        <v>292</v>
      </c>
      <c r="E40" s="1098" t="s">
        <v>292</v>
      </c>
      <c r="F40" s="1098" t="s">
        <v>292</v>
      </c>
      <c r="G40" s="1098" t="s">
        <v>292</v>
      </c>
      <c r="H40" s="621" t="s">
        <v>292</v>
      </c>
      <c r="I40" s="621" t="s">
        <v>292</v>
      </c>
      <c r="J40" s="621" t="s">
        <v>292</v>
      </c>
      <c r="K40" s="1098" t="s">
        <v>292</v>
      </c>
      <c r="L40" s="1098" t="s">
        <v>292</v>
      </c>
      <c r="M40" s="1098" t="s">
        <v>292</v>
      </c>
      <c r="N40" s="1703"/>
      <c r="O40" s="1096"/>
      <c r="Q40" s="1096"/>
      <c r="R40" s="1096"/>
      <c r="S40" s="1096"/>
      <c r="T40" s="1096"/>
    </row>
    <row r="41" spans="1:20" s="218" customFormat="1" ht="9.9499999999999993" customHeight="1">
      <c r="A41" s="1113"/>
      <c r="B41" s="1702" t="s">
        <v>309</v>
      </c>
      <c r="C41" s="1702" t="s">
        <v>108</v>
      </c>
      <c r="D41" s="1112">
        <v>8</v>
      </c>
      <c r="E41" s="1112" t="s">
        <v>292</v>
      </c>
      <c r="F41" s="1112">
        <v>6.5</v>
      </c>
      <c r="G41" s="1112" t="s">
        <v>292</v>
      </c>
      <c r="H41" s="795">
        <v>8.77</v>
      </c>
      <c r="I41" s="795" t="s">
        <v>292</v>
      </c>
      <c r="J41" s="795">
        <v>6.63</v>
      </c>
      <c r="K41" s="1112" t="s">
        <v>292</v>
      </c>
      <c r="L41" s="1112" t="s">
        <v>292</v>
      </c>
      <c r="M41" s="1112" t="s">
        <v>292</v>
      </c>
      <c r="N41" s="1703"/>
      <c r="O41" s="1096"/>
      <c r="P41" s="275"/>
      <c r="Q41" s="1096"/>
      <c r="R41" s="1096"/>
      <c r="S41" s="1096"/>
      <c r="T41" s="1096"/>
    </row>
    <row r="42" spans="1:20" s="218" customFormat="1" ht="9.9499999999999993" customHeight="1">
      <c r="A42" s="1701"/>
      <c r="B42" s="1701" t="s">
        <v>310</v>
      </c>
      <c r="C42" s="1701" t="s">
        <v>109</v>
      </c>
      <c r="D42" s="1098" t="s">
        <v>292</v>
      </c>
      <c r="E42" s="1098" t="s">
        <v>292</v>
      </c>
      <c r="F42" s="1098">
        <v>5</v>
      </c>
      <c r="G42" s="1098" t="s">
        <v>292</v>
      </c>
      <c r="H42" s="621" t="s">
        <v>292</v>
      </c>
      <c r="I42" s="621" t="s">
        <v>292</v>
      </c>
      <c r="J42" s="621" t="s">
        <v>292</v>
      </c>
      <c r="K42" s="1098" t="s">
        <v>292</v>
      </c>
      <c r="L42" s="1098" t="s">
        <v>292</v>
      </c>
      <c r="M42" s="1098" t="s">
        <v>292</v>
      </c>
      <c r="N42" s="1703"/>
      <c r="O42" s="1096"/>
      <c r="Q42" s="1096"/>
      <c r="R42" s="1096"/>
      <c r="S42" s="1096"/>
      <c r="T42" s="1096"/>
    </row>
    <row r="43" spans="1:20" s="218" customFormat="1" ht="9.9499999999999993" customHeight="1">
      <c r="A43" s="1702"/>
      <c r="B43" s="1702" t="s">
        <v>458</v>
      </c>
      <c r="C43" s="1702" t="s">
        <v>459</v>
      </c>
      <c r="D43" s="795">
        <v>7.5</v>
      </c>
      <c r="E43" s="795">
        <v>8.4499999999999993</v>
      </c>
      <c r="F43" s="1112">
        <v>6.5</v>
      </c>
      <c r="G43" s="1112" t="s">
        <v>292</v>
      </c>
      <c r="H43" s="795" t="s">
        <v>292</v>
      </c>
      <c r="I43" s="795">
        <v>6.54</v>
      </c>
      <c r="J43" s="795">
        <v>7.71</v>
      </c>
      <c r="K43" s="1112" t="s">
        <v>292</v>
      </c>
      <c r="L43" s="1112">
        <v>13</v>
      </c>
      <c r="M43" s="1112">
        <v>10</v>
      </c>
      <c r="N43" s="1703"/>
      <c r="O43" s="1096"/>
      <c r="Q43" s="1096"/>
      <c r="R43" s="1096"/>
      <c r="S43" s="1096"/>
      <c r="T43" s="1096"/>
    </row>
    <row r="44" spans="1:20" s="218" customFormat="1" ht="9.9499999999999993" customHeight="1">
      <c r="A44" s="1701"/>
      <c r="B44" s="1701" t="s">
        <v>460</v>
      </c>
      <c r="C44" s="1701" t="s">
        <v>462</v>
      </c>
      <c r="D44" s="621">
        <v>7</v>
      </c>
      <c r="E44" s="621">
        <v>8.4499999999999993</v>
      </c>
      <c r="F44" s="1098">
        <v>6.25</v>
      </c>
      <c r="G44" s="1098" t="s">
        <v>292</v>
      </c>
      <c r="H44" s="621" t="s">
        <v>292</v>
      </c>
      <c r="I44" s="621">
        <v>7.3</v>
      </c>
      <c r="J44" s="621">
        <v>7.89</v>
      </c>
      <c r="K44" s="1098" t="s">
        <v>292</v>
      </c>
      <c r="L44" s="1098">
        <v>11</v>
      </c>
      <c r="M44" s="1098">
        <v>10</v>
      </c>
      <c r="N44" s="1703"/>
      <c r="O44" s="1096"/>
      <c r="Q44" s="1096"/>
      <c r="R44" s="1096"/>
      <c r="S44" s="1096"/>
      <c r="T44" s="1096"/>
    </row>
    <row r="45" spans="1:20" s="218" customFormat="1" ht="9.9499999999999993" customHeight="1">
      <c r="A45" s="1702"/>
      <c r="B45" s="1702" t="s">
        <v>463</v>
      </c>
      <c r="C45" s="1099" t="s">
        <v>1837</v>
      </c>
      <c r="D45" s="795" t="s">
        <v>292</v>
      </c>
      <c r="E45" s="795" t="s">
        <v>292</v>
      </c>
      <c r="F45" s="795" t="s">
        <v>292</v>
      </c>
      <c r="G45" s="1112" t="s">
        <v>292</v>
      </c>
      <c r="H45" s="795" t="s">
        <v>292</v>
      </c>
      <c r="I45" s="795">
        <v>7.4300000000000006</v>
      </c>
      <c r="J45" s="795" t="s">
        <v>292</v>
      </c>
      <c r="K45" s="1112">
        <v>9.31</v>
      </c>
      <c r="L45" s="1112">
        <v>13</v>
      </c>
      <c r="M45" s="1112" t="s">
        <v>292</v>
      </c>
      <c r="N45" s="1703"/>
      <c r="O45" s="1096"/>
      <c r="Q45" s="1096"/>
      <c r="R45" s="1096"/>
      <c r="S45" s="1096"/>
      <c r="T45" s="1096"/>
    </row>
    <row r="46" spans="1:20" s="218" customFormat="1" ht="9.9499999999999993" customHeight="1">
      <c r="A46" s="1701"/>
      <c r="B46" s="1701" t="s">
        <v>464</v>
      </c>
      <c r="C46" s="346" t="s">
        <v>736</v>
      </c>
      <c r="D46" s="621">
        <v>12</v>
      </c>
      <c r="E46" s="621">
        <v>8.4499999999999993</v>
      </c>
      <c r="F46" s="1098">
        <v>12.6</v>
      </c>
      <c r="G46" s="1098" t="s">
        <v>292</v>
      </c>
      <c r="H46" s="621" t="s">
        <v>292</v>
      </c>
      <c r="I46" s="621" t="s">
        <v>292</v>
      </c>
      <c r="J46" s="621">
        <v>6.93</v>
      </c>
      <c r="K46" s="1098">
        <v>9.56</v>
      </c>
      <c r="L46" s="1098">
        <v>11.5</v>
      </c>
      <c r="M46" s="1098" t="s">
        <v>292</v>
      </c>
      <c r="N46" s="1703"/>
      <c r="O46" s="1096"/>
      <c r="Q46" s="1096"/>
      <c r="R46" s="1096"/>
      <c r="S46" s="1096"/>
      <c r="T46" s="1096"/>
    </row>
    <row r="47" spans="1:20" s="218" customFormat="1" ht="9.9499999999999993" customHeight="1">
      <c r="A47" s="1702"/>
      <c r="B47" s="1702" t="s">
        <v>276</v>
      </c>
      <c r="C47" s="1099" t="s">
        <v>737</v>
      </c>
      <c r="D47" s="795">
        <v>11</v>
      </c>
      <c r="E47" s="795">
        <v>8.4499999999999993</v>
      </c>
      <c r="F47" s="681">
        <v>12</v>
      </c>
      <c r="G47" s="681" t="s">
        <v>292</v>
      </c>
      <c r="H47" s="795">
        <v>7.91</v>
      </c>
      <c r="I47" s="795" t="s">
        <v>292</v>
      </c>
      <c r="J47" s="795">
        <v>6.93</v>
      </c>
      <c r="K47" s="681">
        <v>9.56</v>
      </c>
      <c r="L47" s="681">
        <v>10.75</v>
      </c>
      <c r="M47" s="681">
        <v>13.34</v>
      </c>
      <c r="N47" s="1703"/>
      <c r="O47" s="1096"/>
      <c r="Q47" s="1096"/>
      <c r="R47" s="1096"/>
      <c r="S47" s="1096"/>
      <c r="T47" s="1096"/>
    </row>
    <row r="48" spans="1:20" s="218" customFormat="1" ht="9.9499999999999993" customHeight="1">
      <c r="A48" s="1701"/>
      <c r="B48" s="1701" t="s">
        <v>301</v>
      </c>
      <c r="C48" s="1701" t="s">
        <v>277</v>
      </c>
      <c r="D48" s="1098">
        <v>7</v>
      </c>
      <c r="E48" s="621">
        <v>8.4499999999999993</v>
      </c>
      <c r="F48" s="1098">
        <v>8.75</v>
      </c>
      <c r="G48" s="1098" t="s">
        <v>292</v>
      </c>
      <c r="H48" s="621">
        <v>9.2525000000000013</v>
      </c>
      <c r="I48" s="621">
        <v>7.0900000000000007</v>
      </c>
      <c r="J48" s="621">
        <v>7.71</v>
      </c>
      <c r="K48" s="1098">
        <v>9.5299999999999994</v>
      </c>
      <c r="L48" s="1098" t="s">
        <v>292</v>
      </c>
      <c r="M48" s="1098" t="s">
        <v>292</v>
      </c>
      <c r="N48" s="1703"/>
      <c r="O48" s="1096"/>
      <c r="Q48" s="1096"/>
      <c r="R48" s="1096"/>
      <c r="S48" s="1096"/>
      <c r="T48" s="1096"/>
    </row>
    <row r="49" spans="1:20" s="218" customFormat="1" ht="9.9499999999999993" customHeight="1">
      <c r="A49" s="1702"/>
      <c r="B49" s="1702" t="s">
        <v>2068</v>
      </c>
      <c r="C49" s="1702" t="s">
        <v>2069</v>
      </c>
      <c r="D49" s="1112">
        <v>3</v>
      </c>
      <c r="E49" s="795" t="s">
        <v>292</v>
      </c>
      <c r="F49" s="1112">
        <v>5</v>
      </c>
      <c r="G49" s="1097">
        <v>2.25</v>
      </c>
      <c r="H49" s="795">
        <v>2.2599999999999998</v>
      </c>
      <c r="I49" s="795" t="s">
        <v>292</v>
      </c>
      <c r="J49" s="795">
        <v>3.73</v>
      </c>
      <c r="K49" s="1112" t="s">
        <v>292</v>
      </c>
      <c r="L49" s="1112">
        <v>3</v>
      </c>
      <c r="M49" s="1112">
        <v>2.5</v>
      </c>
      <c r="N49" s="1703"/>
      <c r="O49" s="1096"/>
      <c r="Q49" s="1096"/>
      <c r="R49" s="1096"/>
      <c r="S49" s="1096"/>
      <c r="T49" s="1096"/>
    </row>
    <row r="50" spans="1:20" s="256" customFormat="1" ht="9.9499999999999993" customHeight="1">
      <c r="A50" s="1116" t="s">
        <v>589</v>
      </c>
      <c r="B50" s="2506" t="s">
        <v>53</v>
      </c>
      <c r="C50" s="2506"/>
      <c r="D50" s="1098" t="s">
        <v>292</v>
      </c>
      <c r="E50" s="621">
        <v>3.68</v>
      </c>
      <c r="F50" s="1098" t="s">
        <v>292</v>
      </c>
      <c r="G50" s="1098" t="s">
        <v>292</v>
      </c>
      <c r="H50" s="621" t="s">
        <v>292</v>
      </c>
      <c r="I50" s="621">
        <v>8.3000000000000007</v>
      </c>
      <c r="J50" s="621" t="s">
        <v>292</v>
      </c>
      <c r="K50" s="1098">
        <v>7.55</v>
      </c>
      <c r="L50" s="1098">
        <v>2</v>
      </c>
      <c r="M50" s="1098" t="s">
        <v>292</v>
      </c>
      <c r="N50" s="1703"/>
      <c r="O50" s="1096"/>
      <c r="Q50" s="1096"/>
      <c r="R50" s="1096"/>
      <c r="S50" s="1096"/>
      <c r="T50" s="1096"/>
    </row>
    <row r="51" spans="1:20" s="218" customFormat="1" ht="9.9499999999999993" customHeight="1">
      <c r="A51" s="1111" t="s">
        <v>590</v>
      </c>
      <c r="B51" s="2507" t="s">
        <v>54</v>
      </c>
      <c r="C51" s="2507"/>
      <c r="D51" s="1112" t="s">
        <v>292</v>
      </c>
      <c r="E51" s="1112" t="s">
        <v>292</v>
      </c>
      <c r="F51" s="1112" t="s">
        <v>292</v>
      </c>
      <c r="G51" s="1112">
        <v>0</v>
      </c>
      <c r="H51" s="795" t="s">
        <v>292</v>
      </c>
      <c r="I51" s="795" t="s">
        <v>292</v>
      </c>
      <c r="J51" s="795" t="s">
        <v>292</v>
      </c>
      <c r="K51" s="1112" t="s">
        <v>292</v>
      </c>
      <c r="L51" s="1112" t="s">
        <v>292</v>
      </c>
      <c r="M51" s="1112" t="s">
        <v>292</v>
      </c>
      <c r="N51" s="1703"/>
      <c r="O51" s="1096"/>
      <c r="Q51" s="1096"/>
      <c r="R51" s="1096"/>
      <c r="S51" s="1096"/>
      <c r="T51" s="1096"/>
    </row>
    <row r="52" spans="1:20" s="218" customFormat="1" ht="11.25" customHeight="1">
      <c r="A52" s="345"/>
      <c r="B52" s="1701" t="s">
        <v>617</v>
      </c>
      <c r="C52" s="1701" t="s">
        <v>238</v>
      </c>
      <c r="D52" s="1098" t="s">
        <v>292</v>
      </c>
      <c r="E52" s="1098" t="s">
        <v>292</v>
      </c>
      <c r="F52" s="1098" t="s">
        <v>292</v>
      </c>
      <c r="G52" s="1098">
        <v>0</v>
      </c>
      <c r="H52" s="621" t="s">
        <v>292</v>
      </c>
      <c r="I52" s="621" t="s">
        <v>292</v>
      </c>
      <c r="J52" s="621" t="s">
        <v>292</v>
      </c>
      <c r="K52" s="1098" t="s">
        <v>292</v>
      </c>
      <c r="L52" s="1098" t="s">
        <v>292</v>
      </c>
      <c r="M52" s="1098" t="s">
        <v>292</v>
      </c>
      <c r="N52" s="1703"/>
      <c r="O52" s="1096"/>
      <c r="Q52" s="1096"/>
      <c r="R52" s="1096"/>
      <c r="S52" s="1096"/>
      <c r="T52" s="1096"/>
    </row>
    <row r="53" spans="1:20" s="218" customFormat="1" ht="9.9499999999999993" customHeight="1">
      <c r="A53" s="1113"/>
      <c r="B53" s="1702"/>
      <c r="C53" s="1702" t="s">
        <v>362</v>
      </c>
      <c r="D53" s="795">
        <v>7.5</v>
      </c>
      <c r="E53" s="795">
        <v>8.4499999999999993</v>
      </c>
      <c r="F53" s="1112">
        <v>6.5</v>
      </c>
      <c r="G53" s="1112">
        <v>5</v>
      </c>
      <c r="H53" s="795">
        <v>8.6950000000000021</v>
      </c>
      <c r="I53" s="795" t="s">
        <v>292</v>
      </c>
      <c r="J53" s="795" t="s">
        <v>292</v>
      </c>
      <c r="K53" s="1112">
        <v>10.07</v>
      </c>
      <c r="L53" s="1112">
        <v>13</v>
      </c>
      <c r="M53" s="1112">
        <v>10</v>
      </c>
      <c r="N53" s="1703"/>
      <c r="O53" s="1096"/>
      <c r="P53" s="1699"/>
      <c r="Q53" s="1096"/>
      <c r="R53" s="1096"/>
      <c r="S53" s="1096"/>
      <c r="T53" s="1096"/>
    </row>
    <row r="54" spans="1:20" s="218" customFormat="1" ht="9.9499999999999993" customHeight="1">
      <c r="A54" s="345"/>
      <c r="B54" s="1701"/>
      <c r="C54" s="1701" t="s">
        <v>360</v>
      </c>
      <c r="D54" s="621">
        <v>8</v>
      </c>
      <c r="E54" s="621">
        <v>8.4499999999999993</v>
      </c>
      <c r="F54" s="1098">
        <v>6.5</v>
      </c>
      <c r="G54" s="1098" t="s">
        <v>292</v>
      </c>
      <c r="H54" s="621" t="s">
        <v>292</v>
      </c>
      <c r="I54" s="621" t="s">
        <v>292</v>
      </c>
      <c r="J54" s="621" t="s">
        <v>292</v>
      </c>
      <c r="K54" s="1098" t="s">
        <v>292</v>
      </c>
      <c r="L54" s="1098" t="s">
        <v>292</v>
      </c>
      <c r="M54" s="1098">
        <v>10</v>
      </c>
      <c r="N54" s="1703"/>
      <c r="O54" s="1096"/>
      <c r="Q54" s="1096"/>
      <c r="R54" s="1096"/>
      <c r="S54" s="1096"/>
      <c r="T54" s="1096"/>
    </row>
    <row r="55" spans="1:20" s="218" customFormat="1" ht="9.9499999999999993" customHeight="1">
      <c r="A55" s="1113"/>
      <c r="B55" s="1702"/>
      <c r="C55" s="1702" t="s">
        <v>361</v>
      </c>
      <c r="D55" s="1112" t="s">
        <v>292</v>
      </c>
      <c r="E55" s="795">
        <v>8.4499999999999993</v>
      </c>
      <c r="F55" s="1112" t="s">
        <v>292</v>
      </c>
      <c r="G55" s="1112" t="s">
        <v>292</v>
      </c>
      <c r="H55" s="795" t="s">
        <v>292</v>
      </c>
      <c r="I55" s="795" t="s">
        <v>292</v>
      </c>
      <c r="J55" s="795" t="s">
        <v>292</v>
      </c>
      <c r="K55" s="1112" t="s">
        <v>292</v>
      </c>
      <c r="L55" s="1112" t="s">
        <v>292</v>
      </c>
      <c r="M55" s="1112" t="s">
        <v>292</v>
      </c>
      <c r="N55" s="1703"/>
      <c r="O55" s="1096"/>
      <c r="Q55" s="1096"/>
      <c r="R55" s="1096"/>
      <c r="S55" s="1096"/>
      <c r="T55" s="1096"/>
    </row>
    <row r="56" spans="1:20" s="218" customFormat="1" ht="10.5" customHeight="1">
      <c r="A56" s="345"/>
      <c r="B56" s="1701" t="s">
        <v>619</v>
      </c>
      <c r="C56" s="1701" t="s">
        <v>363</v>
      </c>
      <c r="D56" s="1098" t="s">
        <v>292</v>
      </c>
      <c r="E56" s="621">
        <v>8.4499999999999993</v>
      </c>
      <c r="F56" s="1098" t="s">
        <v>292</v>
      </c>
      <c r="G56" s="1098" t="s">
        <v>292</v>
      </c>
      <c r="H56" s="621" t="s">
        <v>292</v>
      </c>
      <c r="I56" s="621">
        <v>5.75</v>
      </c>
      <c r="J56" s="621">
        <v>6.62</v>
      </c>
      <c r="K56" s="1098" t="s">
        <v>292</v>
      </c>
      <c r="L56" s="1098">
        <v>11</v>
      </c>
      <c r="M56" s="1098" t="s">
        <v>292</v>
      </c>
      <c r="N56" s="1703"/>
      <c r="O56" s="1096"/>
      <c r="Q56" s="1096"/>
      <c r="R56" s="1096"/>
      <c r="S56" s="1096"/>
      <c r="T56" s="1096"/>
    </row>
    <row r="57" spans="1:20" s="464" customFormat="1" ht="10.5" customHeight="1" thickBot="1">
      <c r="A57" s="921"/>
      <c r="B57" s="922" t="s">
        <v>621</v>
      </c>
      <c r="C57" s="922" t="s">
        <v>55</v>
      </c>
      <c r="D57" s="871">
        <v>10</v>
      </c>
      <c r="E57" s="871">
        <v>8.4499999999999993</v>
      </c>
      <c r="F57" s="1086">
        <v>11</v>
      </c>
      <c r="G57" s="1086" t="s">
        <v>292</v>
      </c>
      <c r="H57" s="871">
        <v>9.82</v>
      </c>
      <c r="I57" s="871" t="s">
        <v>292</v>
      </c>
      <c r="J57" s="871">
        <v>7.17</v>
      </c>
      <c r="K57" s="1086" t="s">
        <v>292</v>
      </c>
      <c r="L57" s="1086">
        <v>6.25</v>
      </c>
      <c r="M57" s="1086" t="s">
        <v>292</v>
      </c>
      <c r="N57" s="1703"/>
      <c r="O57" s="1096"/>
      <c r="Q57" s="1096"/>
      <c r="R57" s="1096"/>
      <c r="S57" s="1096"/>
      <c r="T57" s="1096"/>
    </row>
    <row r="58" spans="1:20" s="30" customFormat="1" ht="9.75" customHeight="1">
      <c r="A58" s="2321" t="s">
        <v>1227</v>
      </c>
      <c r="B58" s="2509"/>
      <c r="C58" s="2509"/>
      <c r="D58" s="2509"/>
      <c r="E58" s="105"/>
      <c r="F58" s="105"/>
      <c r="G58" s="834"/>
      <c r="H58" s="105"/>
      <c r="I58" s="105"/>
      <c r="J58" s="105"/>
      <c r="S58" s="1096"/>
    </row>
    <row r="59" spans="1:20" s="8" customFormat="1" ht="9" customHeight="1">
      <c r="A59" s="9"/>
      <c r="C59" s="52" t="s">
        <v>364</v>
      </c>
      <c r="D59" s="863"/>
      <c r="E59" s="863"/>
      <c r="F59" s="863"/>
      <c r="G59" s="214"/>
      <c r="H59" s="863"/>
      <c r="I59" s="863"/>
      <c r="J59" s="863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A58:D58"/>
    <mergeCell ref="B16:C16"/>
    <mergeCell ref="B12:C12"/>
    <mergeCell ref="B5:C5"/>
    <mergeCell ref="A3:C3"/>
    <mergeCell ref="B4:C4"/>
    <mergeCell ref="A1:I1"/>
    <mergeCell ref="K1:M1"/>
    <mergeCell ref="B50:C50"/>
    <mergeCell ref="B51:C51"/>
    <mergeCell ref="K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12"/>
  <sheetViews>
    <sheetView topLeftCell="A37" zoomScale="140" zoomScaleNormal="140" workbookViewId="0">
      <selection activeCell="F16" sqref="F16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2" customFormat="1" ht="13.5" customHeight="1">
      <c r="A1" s="32" t="s">
        <v>629</v>
      </c>
      <c r="I1" s="1960" t="s">
        <v>125</v>
      </c>
      <c r="J1" s="1960"/>
      <c r="K1" s="1960"/>
      <c r="L1" s="1960"/>
      <c r="M1" s="1960"/>
      <c r="N1" s="1960"/>
      <c r="O1" s="1960"/>
      <c r="P1" s="1960"/>
      <c r="Q1" s="1960"/>
      <c r="R1" s="207" t="s">
        <v>126</v>
      </c>
      <c r="W1" s="1949" t="s">
        <v>299</v>
      </c>
      <c r="X1" s="1949"/>
      <c r="Y1" s="1949"/>
      <c r="Z1" s="1509"/>
      <c r="AE1" s="1957" t="s">
        <v>125</v>
      </c>
      <c r="AF1" s="1957"/>
      <c r="AG1" s="1957"/>
      <c r="AH1" s="1957"/>
      <c r="AI1" s="1946" t="s">
        <v>298</v>
      </c>
      <c r="AJ1" s="1930"/>
      <c r="AN1" s="1949" t="s">
        <v>299</v>
      </c>
      <c r="AO1" s="1949"/>
      <c r="AP1" s="1949"/>
      <c r="AQ1" s="208"/>
      <c r="AR1" s="209"/>
      <c r="AS1" s="209"/>
      <c r="AT1" s="209"/>
      <c r="AU1" s="209"/>
      <c r="AV1" s="1988" t="s">
        <v>125</v>
      </c>
      <c r="AW1" s="1988"/>
      <c r="AX1" s="1988"/>
      <c r="AY1" s="1987" t="s">
        <v>298</v>
      </c>
      <c r="AZ1" s="1987"/>
      <c r="BA1" s="1987"/>
      <c r="BB1" s="1987"/>
      <c r="BC1" s="1987"/>
      <c r="BD1" s="1987"/>
      <c r="BE1" s="1987"/>
      <c r="BF1" s="1949" t="s">
        <v>299</v>
      </c>
      <c r="BG1" s="1949"/>
      <c r="BH1" s="1949"/>
      <c r="BJ1" s="1509"/>
      <c r="BK1" s="1509"/>
      <c r="BL1" s="1509"/>
      <c r="BM1" s="1509"/>
      <c r="BN1" s="1509"/>
      <c r="BO1" s="1509"/>
      <c r="BP1" s="1988" t="s">
        <v>125</v>
      </c>
      <c r="BQ1" s="1988"/>
      <c r="BR1" s="1988"/>
      <c r="BS1" s="1988"/>
      <c r="BT1" s="1988"/>
      <c r="BU1" s="1987" t="s">
        <v>298</v>
      </c>
      <c r="BV1" s="1987"/>
      <c r="BW1" s="1987"/>
      <c r="BX1" s="1518"/>
      <c r="BY1" s="1518"/>
      <c r="CB1" s="1518"/>
      <c r="CC1" s="1989" t="s">
        <v>571</v>
      </c>
      <c r="CD1" s="1989"/>
      <c r="CE1" s="1989"/>
    </row>
    <row r="2" spans="1:83" s="38" customFormat="1" ht="11.25" customHeight="1">
      <c r="I2" s="210"/>
      <c r="J2" s="210"/>
      <c r="K2" s="210"/>
      <c r="L2" s="210"/>
      <c r="M2" s="210"/>
      <c r="N2" s="210"/>
      <c r="O2" s="210"/>
      <c r="P2" s="1950" t="s">
        <v>1277</v>
      </c>
      <c r="Q2" s="1950"/>
      <c r="R2" s="38" t="s">
        <v>297</v>
      </c>
      <c r="X2" s="1956" t="s">
        <v>1561</v>
      </c>
      <c r="Y2" s="1956"/>
      <c r="Z2" s="905"/>
      <c r="AF2" s="905"/>
      <c r="AG2" s="1948" t="s">
        <v>1277</v>
      </c>
      <c r="AH2" s="1948"/>
      <c r="AI2" s="38" t="s">
        <v>297</v>
      </c>
      <c r="AN2" s="905"/>
      <c r="AO2" s="1948" t="s">
        <v>24</v>
      </c>
      <c r="AP2" s="1981"/>
      <c r="AQ2" s="211"/>
      <c r="AR2" s="211"/>
      <c r="AS2" s="211"/>
      <c r="AT2" s="211"/>
      <c r="AU2" s="211"/>
      <c r="AV2" s="211"/>
      <c r="AW2" s="1950" t="s">
        <v>1278</v>
      </c>
      <c r="AX2" s="1950"/>
      <c r="AY2" s="1510" t="s">
        <v>297</v>
      </c>
      <c r="AZ2" s="905"/>
      <c r="BA2" s="905"/>
      <c r="BB2" s="905"/>
      <c r="BC2" s="905"/>
      <c r="BD2" s="905"/>
      <c r="BE2" s="905"/>
      <c r="BF2" s="905"/>
      <c r="BG2" s="1948" t="s">
        <v>24</v>
      </c>
      <c r="BH2" s="1981"/>
      <c r="BJ2" s="905"/>
      <c r="BK2" s="905"/>
      <c r="BL2" s="905"/>
      <c r="BM2" s="905"/>
      <c r="BN2" s="905"/>
      <c r="BO2" s="905"/>
      <c r="BP2" s="211"/>
      <c r="BQ2" s="211"/>
      <c r="BS2" s="1956" t="s">
        <v>1279</v>
      </c>
      <c r="BT2" s="1956"/>
      <c r="BU2" s="1991" t="s">
        <v>297</v>
      </c>
      <c r="BV2" s="1991"/>
      <c r="BW2" s="905"/>
      <c r="BX2" s="905"/>
      <c r="BY2" s="905"/>
      <c r="CB2" s="483"/>
      <c r="CC2" s="103"/>
      <c r="CD2" s="1990" t="s">
        <v>24</v>
      </c>
      <c r="CE2" s="1990"/>
    </row>
    <row r="3" spans="1:83" s="222" customFormat="1" ht="24.75" customHeight="1">
      <c r="I3" s="1951" t="s">
        <v>1348</v>
      </c>
      <c r="J3" s="1966" t="s">
        <v>120</v>
      </c>
      <c r="K3" s="1967"/>
      <c r="L3" s="1968"/>
      <c r="M3" s="1954" t="s">
        <v>175</v>
      </c>
      <c r="N3" s="1954" t="s">
        <v>2655</v>
      </c>
      <c r="O3" s="1976" t="s">
        <v>630</v>
      </c>
      <c r="P3" s="1977"/>
      <c r="Q3" s="1978"/>
      <c r="R3" s="1979" t="s">
        <v>176</v>
      </c>
      <c r="S3" s="1979"/>
      <c r="T3" s="1980"/>
      <c r="U3" s="1970" t="s">
        <v>378</v>
      </c>
      <c r="V3" s="1966" t="s">
        <v>124</v>
      </c>
      <c r="W3" s="1967"/>
      <c r="X3" s="1967"/>
      <c r="Y3" s="1968"/>
      <c r="Z3" s="1962" t="s">
        <v>2702</v>
      </c>
      <c r="AA3" s="1961" t="s">
        <v>379</v>
      </c>
      <c r="AB3" s="1961"/>
      <c r="AC3" s="1961"/>
      <c r="AD3" s="1961"/>
      <c r="AE3" s="1983" t="s">
        <v>1240</v>
      </c>
      <c r="AF3" s="1983"/>
      <c r="AG3" s="1983"/>
      <c r="AH3" s="1983"/>
      <c r="AI3" s="1961" t="s">
        <v>380</v>
      </c>
      <c r="AJ3" s="1961"/>
      <c r="AK3" s="1961"/>
      <c r="AL3" s="1961"/>
      <c r="AM3" s="1983" t="s">
        <v>961</v>
      </c>
      <c r="AN3" s="1983"/>
      <c r="AO3" s="1983"/>
      <c r="AP3" s="1983"/>
      <c r="AQ3" s="1984" t="s">
        <v>951</v>
      </c>
      <c r="AR3" s="1961" t="s">
        <v>22</v>
      </c>
      <c r="AS3" s="1961"/>
      <c r="AT3" s="1961"/>
      <c r="AU3" s="1961"/>
      <c r="AV3" s="1961" t="s">
        <v>151</v>
      </c>
      <c r="AW3" s="1961"/>
      <c r="AX3" s="1961"/>
      <c r="AY3" s="1961" t="s">
        <v>1314</v>
      </c>
      <c r="AZ3" s="1961"/>
      <c r="BA3" s="1961"/>
      <c r="BB3" s="1947" t="s">
        <v>278</v>
      </c>
      <c r="BC3" s="1947" t="s">
        <v>741</v>
      </c>
      <c r="BD3" s="1983" t="s">
        <v>652</v>
      </c>
      <c r="BE3" s="1983"/>
      <c r="BF3" s="1983"/>
      <c r="BG3" s="1983"/>
      <c r="BH3" s="1983"/>
      <c r="BI3" s="1951" t="s">
        <v>951</v>
      </c>
      <c r="BJ3" s="1983" t="s">
        <v>130</v>
      </c>
      <c r="BK3" s="1983"/>
      <c r="BL3" s="1983"/>
      <c r="BM3" s="2000"/>
      <c r="BN3" s="1983"/>
      <c r="BO3" s="1947" t="s">
        <v>131</v>
      </c>
      <c r="BP3" s="2011" t="s">
        <v>1903</v>
      </c>
      <c r="BQ3" s="1997"/>
      <c r="BR3" s="1997"/>
      <c r="BS3" s="1997"/>
      <c r="BT3" s="1998"/>
      <c r="BU3" s="1983" t="s">
        <v>187</v>
      </c>
      <c r="BV3" s="1983"/>
      <c r="BW3" s="1983"/>
      <c r="BX3" s="1983"/>
      <c r="BY3" s="1983"/>
      <c r="BZ3" s="1983"/>
      <c r="CA3" s="1983"/>
      <c r="CB3" s="1983"/>
      <c r="CC3" s="1983"/>
      <c r="CD3" s="1983"/>
      <c r="CE3" s="1983"/>
    </row>
    <row r="4" spans="1:83" s="222" customFormat="1" ht="27" customHeight="1">
      <c r="I4" s="1952"/>
      <c r="J4" s="1947" t="s">
        <v>1305</v>
      </c>
      <c r="K4" s="1947" t="s">
        <v>1216</v>
      </c>
      <c r="L4" s="1954" t="s">
        <v>931</v>
      </c>
      <c r="M4" s="1963"/>
      <c r="N4" s="1964"/>
      <c r="O4" s="1954" t="s">
        <v>2656</v>
      </c>
      <c r="P4" s="1954" t="s">
        <v>2657</v>
      </c>
      <c r="Q4" s="1515" t="s">
        <v>121</v>
      </c>
      <c r="R4" s="1972" t="s">
        <v>490</v>
      </c>
      <c r="S4" s="1973"/>
      <c r="T4" s="1969" t="s">
        <v>754</v>
      </c>
      <c r="U4" s="1971"/>
      <c r="V4" s="1954" t="s">
        <v>1788</v>
      </c>
      <c r="W4" s="1954" t="s">
        <v>2703</v>
      </c>
      <c r="X4" s="1954" t="s">
        <v>2704</v>
      </c>
      <c r="Y4" s="1954" t="s">
        <v>2705</v>
      </c>
      <c r="Z4" s="1962"/>
      <c r="AA4" s="1947" t="s">
        <v>186</v>
      </c>
      <c r="AB4" s="1947" t="s">
        <v>178</v>
      </c>
      <c r="AC4" s="1947" t="s">
        <v>177</v>
      </c>
      <c r="AD4" s="1947" t="s">
        <v>647</v>
      </c>
      <c r="AE4" s="1947" t="s">
        <v>953</v>
      </c>
      <c r="AF4" s="1947" t="s">
        <v>179</v>
      </c>
      <c r="AG4" s="1947" t="s">
        <v>954</v>
      </c>
      <c r="AH4" s="1947" t="s">
        <v>648</v>
      </c>
      <c r="AI4" s="1947" t="s">
        <v>955</v>
      </c>
      <c r="AJ4" s="1947" t="s">
        <v>956</v>
      </c>
      <c r="AK4" s="1947" t="s">
        <v>957</v>
      </c>
      <c r="AL4" s="1947" t="s">
        <v>649</v>
      </c>
      <c r="AM4" s="1947" t="s">
        <v>650</v>
      </c>
      <c r="AN4" s="1982" t="s">
        <v>1828</v>
      </c>
      <c r="AO4" s="1947" t="s">
        <v>958</v>
      </c>
      <c r="AP4" s="1947" t="s">
        <v>753</v>
      </c>
      <c r="AQ4" s="1985"/>
      <c r="AR4" s="1947" t="s">
        <v>959</v>
      </c>
      <c r="AS4" s="1947" t="s">
        <v>960</v>
      </c>
      <c r="AT4" s="1947" t="s">
        <v>2741</v>
      </c>
      <c r="AU4" s="1947" t="s">
        <v>2740</v>
      </c>
      <c r="AV4" s="1947" t="s">
        <v>23</v>
      </c>
      <c r="AW4" s="1947" t="s">
        <v>1017</v>
      </c>
      <c r="AX4" s="1947" t="s">
        <v>651</v>
      </c>
      <c r="AY4" s="1947" t="s">
        <v>2167</v>
      </c>
      <c r="AZ4" s="1947" t="s">
        <v>1319</v>
      </c>
      <c r="BA4" s="2006" t="s">
        <v>477</v>
      </c>
      <c r="BB4" s="1947"/>
      <c r="BC4" s="1947"/>
      <c r="BD4" s="2006" t="s">
        <v>127</v>
      </c>
      <c r="BE4" s="2006"/>
      <c r="BF4" s="2006" t="s">
        <v>128</v>
      </c>
      <c r="BG4" s="2006"/>
      <c r="BH4" s="1947" t="s">
        <v>1317</v>
      </c>
      <c r="BI4" s="1952"/>
      <c r="BJ4" s="1947" t="s">
        <v>133</v>
      </c>
      <c r="BK4" s="1947" t="s">
        <v>134</v>
      </c>
      <c r="BL4" s="2010" t="s">
        <v>182</v>
      </c>
      <c r="BM4" s="1954" t="s">
        <v>139</v>
      </c>
      <c r="BN4" s="1954" t="s">
        <v>1331</v>
      </c>
      <c r="BO4" s="1947"/>
      <c r="BP4" s="2010" t="s">
        <v>1904</v>
      </c>
      <c r="BQ4" s="2012"/>
      <c r="BR4" s="2012"/>
      <c r="BS4" s="2013"/>
      <c r="BT4" s="2004" t="s">
        <v>1920</v>
      </c>
      <c r="BU4" s="1994" t="s">
        <v>775</v>
      </c>
      <c r="BV4" s="1992" t="s">
        <v>2689</v>
      </c>
      <c r="BW4" s="1994" t="s">
        <v>1919</v>
      </c>
      <c r="BX4" s="1999" t="s">
        <v>988</v>
      </c>
      <c r="BY4" s="1955" t="s">
        <v>135</v>
      </c>
      <c r="BZ4" s="1996" t="s">
        <v>1827</v>
      </c>
      <c r="CA4" s="1997"/>
      <c r="CB4" s="1998"/>
      <c r="CC4" s="1996" t="s">
        <v>1197</v>
      </c>
      <c r="CD4" s="1997"/>
      <c r="CE4" s="1998"/>
    </row>
    <row r="5" spans="1:83" s="222" customFormat="1" ht="45.6" customHeight="1">
      <c r="H5" s="168"/>
      <c r="I5" s="1952"/>
      <c r="J5" s="1947"/>
      <c r="K5" s="1947"/>
      <c r="L5" s="1955"/>
      <c r="M5" s="1955"/>
      <c r="N5" s="1965"/>
      <c r="O5" s="1955"/>
      <c r="P5" s="1955"/>
      <c r="Q5" s="1507" t="s">
        <v>2642</v>
      </c>
      <c r="R5" s="1507" t="s">
        <v>2641</v>
      </c>
      <c r="S5" s="1507" t="s">
        <v>952</v>
      </c>
      <c r="T5" s="1947"/>
      <c r="U5" s="1971"/>
      <c r="V5" s="1955"/>
      <c r="W5" s="1955"/>
      <c r="X5" s="1955"/>
      <c r="Y5" s="1955"/>
      <c r="Z5" s="1962"/>
      <c r="AA5" s="1947"/>
      <c r="AB5" s="1947"/>
      <c r="AC5" s="1947"/>
      <c r="AD5" s="1947"/>
      <c r="AE5" s="1947"/>
      <c r="AF5" s="1947"/>
      <c r="AG5" s="1947"/>
      <c r="AH5" s="1947"/>
      <c r="AI5" s="1947"/>
      <c r="AJ5" s="1947"/>
      <c r="AK5" s="1947"/>
      <c r="AL5" s="1947"/>
      <c r="AM5" s="1947"/>
      <c r="AN5" s="1982"/>
      <c r="AO5" s="1947"/>
      <c r="AP5" s="1947"/>
      <c r="AQ5" s="1985"/>
      <c r="AR5" s="1947"/>
      <c r="AS5" s="1947"/>
      <c r="AT5" s="1947"/>
      <c r="AU5" s="1947"/>
      <c r="AV5" s="1947"/>
      <c r="AW5" s="1947"/>
      <c r="AX5" s="1947"/>
      <c r="AY5" s="1947"/>
      <c r="AZ5" s="1947"/>
      <c r="BA5" s="2006"/>
      <c r="BB5" s="1947"/>
      <c r="BC5" s="1947"/>
      <c r="BD5" s="1514" t="s">
        <v>1318</v>
      </c>
      <c r="BE5" s="1508" t="s">
        <v>181</v>
      </c>
      <c r="BF5" s="1514" t="s">
        <v>129</v>
      </c>
      <c r="BG5" s="1508" t="s">
        <v>181</v>
      </c>
      <c r="BH5" s="1947"/>
      <c r="BI5" s="1952"/>
      <c r="BJ5" s="1947"/>
      <c r="BK5" s="1947"/>
      <c r="BL5" s="2010"/>
      <c r="BM5" s="1955"/>
      <c r="BN5" s="1955"/>
      <c r="BO5" s="1947"/>
      <c r="BP5" s="1513" t="s">
        <v>1905</v>
      </c>
      <c r="BQ5" s="977" t="s">
        <v>142</v>
      </c>
      <c r="BR5" s="1513" t="s">
        <v>143</v>
      </c>
      <c r="BS5" s="1513" t="s">
        <v>833</v>
      </c>
      <c r="BT5" s="2005"/>
      <c r="BU5" s="1995"/>
      <c r="BV5" s="1993"/>
      <c r="BW5" s="1995"/>
      <c r="BX5" s="1994"/>
      <c r="BY5" s="1947"/>
      <c r="BZ5" s="1511" t="s">
        <v>136</v>
      </c>
      <c r="CA5" s="1512" t="s">
        <v>137</v>
      </c>
      <c r="CB5" s="1512" t="s">
        <v>1906</v>
      </c>
      <c r="CC5" s="1512" t="s">
        <v>136</v>
      </c>
      <c r="CD5" s="1512" t="s">
        <v>137</v>
      </c>
      <c r="CE5" s="1512" t="s">
        <v>1907</v>
      </c>
    </row>
    <row r="6" spans="1:83" s="131" customFormat="1" ht="11.25" customHeight="1">
      <c r="I6" s="1953"/>
      <c r="J6" s="130">
        <v>1</v>
      </c>
      <c r="K6" s="130">
        <v>2</v>
      </c>
      <c r="L6" s="130">
        <v>3</v>
      </c>
      <c r="M6" s="130">
        <v>4</v>
      </c>
      <c r="N6" s="130">
        <v>5</v>
      </c>
      <c r="O6" s="130">
        <v>6</v>
      </c>
      <c r="P6" s="130">
        <v>7</v>
      </c>
      <c r="Q6" s="130">
        <v>8</v>
      </c>
      <c r="R6" s="130">
        <v>9</v>
      </c>
      <c r="S6" s="130">
        <v>10</v>
      </c>
      <c r="T6" s="130">
        <v>11</v>
      </c>
      <c r="U6" s="130">
        <v>12</v>
      </c>
      <c r="V6" s="130">
        <v>13</v>
      </c>
      <c r="W6" s="130">
        <v>14</v>
      </c>
      <c r="X6" s="130">
        <v>15</v>
      </c>
      <c r="Y6" s="130">
        <v>16</v>
      </c>
      <c r="Z6" s="1962"/>
      <c r="AA6" s="130">
        <v>17</v>
      </c>
      <c r="AB6" s="130">
        <v>18</v>
      </c>
      <c r="AC6" s="130">
        <v>19</v>
      </c>
      <c r="AD6" s="130">
        <v>20</v>
      </c>
      <c r="AE6" s="130">
        <v>21</v>
      </c>
      <c r="AF6" s="130">
        <v>22</v>
      </c>
      <c r="AG6" s="130">
        <v>23</v>
      </c>
      <c r="AH6" s="130">
        <v>24</v>
      </c>
      <c r="AI6" s="130">
        <v>25</v>
      </c>
      <c r="AJ6" s="130">
        <v>26</v>
      </c>
      <c r="AK6" s="130">
        <v>27</v>
      </c>
      <c r="AL6" s="130">
        <v>28</v>
      </c>
      <c r="AM6" s="130">
        <v>29</v>
      </c>
      <c r="AN6" s="130">
        <v>30</v>
      </c>
      <c r="AO6" s="130">
        <v>31</v>
      </c>
      <c r="AP6" s="130">
        <v>32</v>
      </c>
      <c r="AQ6" s="1986"/>
      <c r="AR6" s="130">
        <v>33</v>
      </c>
      <c r="AS6" s="130">
        <v>34</v>
      </c>
      <c r="AT6" s="130">
        <v>35</v>
      </c>
      <c r="AU6" s="130">
        <v>36</v>
      </c>
      <c r="AV6" s="130">
        <v>37</v>
      </c>
      <c r="AW6" s="130">
        <v>38</v>
      </c>
      <c r="AX6" s="130">
        <v>39</v>
      </c>
      <c r="AY6" s="130">
        <v>40</v>
      </c>
      <c r="AZ6" s="130">
        <v>41</v>
      </c>
      <c r="BA6" s="130">
        <v>42</v>
      </c>
      <c r="BB6" s="130">
        <v>43</v>
      </c>
      <c r="BC6" s="130">
        <v>44</v>
      </c>
      <c r="BD6" s="130">
        <v>45</v>
      </c>
      <c r="BE6" s="130">
        <v>46</v>
      </c>
      <c r="BF6" s="130">
        <v>47</v>
      </c>
      <c r="BG6" s="130">
        <v>48</v>
      </c>
      <c r="BH6" s="130">
        <v>49</v>
      </c>
      <c r="BI6" s="1953"/>
      <c r="BJ6" s="1519">
        <v>50</v>
      </c>
      <c r="BK6" s="1519">
        <v>51</v>
      </c>
      <c r="BL6" s="1519">
        <v>52</v>
      </c>
      <c r="BM6" s="1519">
        <v>53</v>
      </c>
      <c r="BN6" s="1519">
        <v>54</v>
      </c>
      <c r="BO6" s="1519">
        <v>55</v>
      </c>
      <c r="BP6" s="1519">
        <v>56</v>
      </c>
      <c r="BQ6" s="1519">
        <v>57</v>
      </c>
      <c r="BR6" s="1519">
        <v>58</v>
      </c>
      <c r="BS6" s="1519">
        <v>59</v>
      </c>
      <c r="BT6" s="1519">
        <v>60</v>
      </c>
      <c r="BU6" s="1519">
        <v>61</v>
      </c>
      <c r="BV6" s="1519">
        <v>62</v>
      </c>
      <c r="BW6" s="1519">
        <v>63</v>
      </c>
      <c r="BX6" s="1519">
        <v>64</v>
      </c>
      <c r="BY6" s="1519">
        <v>65</v>
      </c>
      <c r="BZ6" s="1519">
        <v>66</v>
      </c>
      <c r="CA6" s="1519">
        <v>67</v>
      </c>
      <c r="CB6" s="130">
        <v>68</v>
      </c>
      <c r="CC6" s="1519">
        <v>69</v>
      </c>
      <c r="CD6" s="130">
        <v>70</v>
      </c>
      <c r="CE6" s="1519">
        <v>71</v>
      </c>
    </row>
    <row r="7" spans="1:83" s="863" customFormat="1" ht="9.9499999999999993" customHeight="1">
      <c r="I7" s="291" t="s">
        <v>189</v>
      </c>
      <c r="J7" s="287">
        <v>59915.5</v>
      </c>
      <c r="K7" s="287">
        <v>611.4</v>
      </c>
      <c r="L7" s="287">
        <v>60526.9</v>
      </c>
      <c r="M7" s="287">
        <v>5731.8</v>
      </c>
      <c r="N7" s="287">
        <v>54795.1</v>
      </c>
      <c r="O7" s="287">
        <v>9482</v>
      </c>
      <c r="P7" s="287">
        <v>24919.8</v>
      </c>
      <c r="Q7" s="287">
        <v>48106.2</v>
      </c>
      <c r="R7" s="287">
        <v>337418.9</v>
      </c>
      <c r="S7" s="287">
        <v>385525.10000000003</v>
      </c>
      <c r="T7" s="287">
        <v>410444.9</v>
      </c>
      <c r="U7" s="287">
        <v>199.8</v>
      </c>
      <c r="V7" s="287">
        <v>89734.400000000009</v>
      </c>
      <c r="W7" s="287">
        <v>103101.09999999999</v>
      </c>
      <c r="X7" s="287">
        <v>440520</v>
      </c>
      <c r="Y7" s="287">
        <v>510456.39999999997</v>
      </c>
      <c r="Z7" s="291" t="s">
        <v>189</v>
      </c>
      <c r="AA7" s="287">
        <v>0</v>
      </c>
      <c r="AB7" s="287">
        <v>13830.7</v>
      </c>
      <c r="AC7" s="287">
        <v>312803.5</v>
      </c>
      <c r="AD7" s="287">
        <v>326634.2</v>
      </c>
      <c r="AE7" s="287">
        <v>0</v>
      </c>
      <c r="AF7" s="287">
        <v>4371.8999999999996</v>
      </c>
      <c r="AG7" s="287">
        <v>16670.400000000001</v>
      </c>
      <c r="AH7" s="287">
        <v>21042.300000000003</v>
      </c>
      <c r="AI7" s="287">
        <v>3080.3</v>
      </c>
      <c r="AJ7" s="287">
        <v>66704</v>
      </c>
      <c r="AK7" s="287">
        <v>8095.2</v>
      </c>
      <c r="AL7" s="287">
        <v>74799.199999999997</v>
      </c>
      <c r="AM7" s="287">
        <v>3080.3</v>
      </c>
      <c r="AN7" s="287">
        <v>84906.6</v>
      </c>
      <c r="AO7" s="287">
        <v>337569.10000000003</v>
      </c>
      <c r="AP7" s="287">
        <v>422475.7</v>
      </c>
      <c r="AQ7" s="291" t="s">
        <v>189</v>
      </c>
      <c r="AR7" s="287">
        <v>1959.3</v>
      </c>
      <c r="AS7" s="287">
        <v>17833.400000000001</v>
      </c>
      <c r="AT7" s="287">
        <v>3960.3</v>
      </c>
      <c r="AU7" s="287">
        <v>2329.1999999999998</v>
      </c>
      <c r="AV7" s="287">
        <v>410470.7</v>
      </c>
      <c r="AW7" s="287">
        <v>5461.7</v>
      </c>
      <c r="AX7" s="287">
        <v>415932.4</v>
      </c>
      <c r="AY7" s="287">
        <v>24955.944</v>
      </c>
      <c r="AZ7" s="293">
        <v>4051.7560000000012</v>
      </c>
      <c r="BA7" s="293">
        <v>29007.7</v>
      </c>
      <c r="BB7" s="287">
        <v>1087850.3</v>
      </c>
      <c r="BC7" s="293">
        <v>89534.6</v>
      </c>
      <c r="BD7" s="287">
        <v>10732.9</v>
      </c>
      <c r="BE7" s="287">
        <v>20625.2</v>
      </c>
      <c r="BF7" s="287">
        <v>2591</v>
      </c>
      <c r="BG7" s="287">
        <v>63715.1</v>
      </c>
      <c r="BH7" s="287">
        <v>97664.2</v>
      </c>
      <c r="BI7" s="291" t="s">
        <v>189</v>
      </c>
      <c r="BJ7" s="294">
        <v>34.89</v>
      </c>
      <c r="BK7" s="294">
        <v>28.72</v>
      </c>
      <c r="BL7" s="294">
        <v>25.84</v>
      </c>
      <c r="BM7" s="294">
        <v>27.41</v>
      </c>
      <c r="BN7" s="294">
        <v>21.34</v>
      </c>
      <c r="BO7" s="294">
        <v>2.08</v>
      </c>
      <c r="BP7" s="295">
        <v>3414</v>
      </c>
      <c r="BQ7" s="292">
        <v>1388</v>
      </c>
      <c r="BR7" s="292">
        <v>2847</v>
      </c>
      <c r="BS7" s="295">
        <v>63</v>
      </c>
      <c r="BT7" s="295">
        <v>7712</v>
      </c>
      <c r="BU7" s="294">
        <v>102.92469109244581</v>
      </c>
      <c r="BV7" s="294">
        <v>53.224935165975104</v>
      </c>
      <c r="BW7" s="294">
        <v>54.781600103734441</v>
      </c>
      <c r="BX7" s="294">
        <v>8.4633324619759698</v>
      </c>
      <c r="BY7" s="294">
        <v>5</v>
      </c>
      <c r="BZ7" s="294">
        <v>7.27</v>
      </c>
      <c r="CA7" s="294">
        <v>12.42</v>
      </c>
      <c r="CB7" s="296">
        <f t="shared" ref="CB7:CB9" si="0">CA7-BZ7</f>
        <v>5.15</v>
      </c>
      <c r="CC7" s="293" t="s">
        <v>292</v>
      </c>
      <c r="CD7" s="617" t="s">
        <v>292</v>
      </c>
      <c r="CE7" s="1611" t="s">
        <v>292</v>
      </c>
    </row>
    <row r="8" spans="1:83" s="26" customFormat="1" ht="9.9499999999999993" customHeight="1">
      <c r="I8" s="491" t="s">
        <v>836</v>
      </c>
      <c r="J8" s="225">
        <v>64200.7</v>
      </c>
      <c r="K8" s="225">
        <v>695.8</v>
      </c>
      <c r="L8" s="225">
        <v>64896.5</v>
      </c>
      <c r="M8" s="225">
        <v>6479.4</v>
      </c>
      <c r="N8" s="225">
        <v>58417.1</v>
      </c>
      <c r="O8" s="225">
        <v>11992.2</v>
      </c>
      <c r="P8" s="225">
        <v>31574.2</v>
      </c>
      <c r="Q8" s="225">
        <v>51060.4</v>
      </c>
      <c r="R8" s="225">
        <v>407388.1</v>
      </c>
      <c r="S8" s="225">
        <v>458448.5</v>
      </c>
      <c r="T8" s="225">
        <v>490022.7</v>
      </c>
      <c r="U8" s="225">
        <v>243.9</v>
      </c>
      <c r="V8" s="225">
        <v>97802.7</v>
      </c>
      <c r="W8" s="225">
        <v>109721.4</v>
      </c>
      <c r="X8" s="225">
        <v>517109.5</v>
      </c>
      <c r="Y8" s="225">
        <v>589840.4</v>
      </c>
      <c r="Z8" s="491" t="s">
        <v>836</v>
      </c>
      <c r="AA8" s="53">
        <v>0</v>
      </c>
      <c r="AB8" s="53">
        <v>14190.3</v>
      </c>
      <c r="AC8" s="53">
        <v>373614.6</v>
      </c>
      <c r="AD8" s="53">
        <v>387804.89999999997</v>
      </c>
      <c r="AE8" s="53">
        <v>0</v>
      </c>
      <c r="AF8" s="53">
        <v>2534.6999999999998</v>
      </c>
      <c r="AG8" s="53">
        <v>21317.5</v>
      </c>
      <c r="AH8" s="53">
        <v>23852.2</v>
      </c>
      <c r="AI8" s="53">
        <v>5173</v>
      </c>
      <c r="AJ8" s="53">
        <v>86057.1</v>
      </c>
      <c r="AK8" s="53">
        <v>9370.7999999999993</v>
      </c>
      <c r="AL8" s="53">
        <v>95427.900000000009</v>
      </c>
      <c r="AM8" s="53">
        <v>5173</v>
      </c>
      <c r="AN8" s="53">
        <v>102782.1</v>
      </c>
      <c r="AO8" s="53">
        <v>404302.89999999997</v>
      </c>
      <c r="AP8" s="53">
        <v>507085</v>
      </c>
      <c r="AQ8" s="491" t="s">
        <v>836</v>
      </c>
      <c r="AR8" s="53">
        <v>2320</v>
      </c>
      <c r="AS8" s="53">
        <v>21671.599999999999</v>
      </c>
      <c r="AT8" s="53">
        <v>9197</v>
      </c>
      <c r="AU8" s="53">
        <v>3377.7</v>
      </c>
      <c r="AV8" s="53">
        <v>490038.80000000005</v>
      </c>
      <c r="AW8" s="53">
        <v>7141.5</v>
      </c>
      <c r="AX8" s="53">
        <v>497180.30000000005</v>
      </c>
      <c r="AY8" s="53">
        <v>29830.818000000003</v>
      </c>
      <c r="AZ8" s="224">
        <v>2831.4819999999963</v>
      </c>
      <c r="BA8" s="229">
        <v>32662.3</v>
      </c>
      <c r="BB8" s="53">
        <v>1296703.2</v>
      </c>
      <c r="BC8" s="229">
        <v>97558.8</v>
      </c>
      <c r="BD8" s="53">
        <v>9829.8000000000011</v>
      </c>
      <c r="BE8" s="53">
        <v>27482.100000000002</v>
      </c>
      <c r="BF8" s="53">
        <v>3379.1</v>
      </c>
      <c r="BG8" s="53">
        <v>82057.899999999994</v>
      </c>
      <c r="BH8" s="53">
        <v>122748.9</v>
      </c>
      <c r="BI8" s="491" t="s">
        <v>836</v>
      </c>
      <c r="BJ8" s="27">
        <v>25.15</v>
      </c>
      <c r="BK8" s="27">
        <v>-5.01</v>
      </c>
      <c r="BL8" s="27">
        <v>19.72</v>
      </c>
      <c r="BM8" s="27">
        <v>19.53</v>
      </c>
      <c r="BN8" s="27">
        <v>17.39</v>
      </c>
      <c r="BO8" s="27">
        <v>2.04</v>
      </c>
      <c r="BP8" s="140">
        <v>3449</v>
      </c>
      <c r="BQ8" s="26">
        <v>1417</v>
      </c>
      <c r="BR8" s="26">
        <v>3130</v>
      </c>
      <c r="BS8" s="140">
        <v>63</v>
      </c>
      <c r="BT8" s="140">
        <v>8059</v>
      </c>
      <c r="BU8" s="27">
        <v>103.47854088288517</v>
      </c>
      <c r="BV8" s="27">
        <v>60.806402779501184</v>
      </c>
      <c r="BW8" s="27">
        <v>62.921578359597966</v>
      </c>
      <c r="BX8" s="27">
        <v>7.9874695636345514</v>
      </c>
      <c r="BY8" s="27">
        <v>5</v>
      </c>
      <c r="BZ8" s="27">
        <v>8.15</v>
      </c>
      <c r="CA8" s="27">
        <v>13.75</v>
      </c>
      <c r="CB8" s="24">
        <f t="shared" si="0"/>
        <v>5.6</v>
      </c>
      <c r="CC8" s="224" t="s">
        <v>292</v>
      </c>
      <c r="CD8" s="492" t="s">
        <v>292</v>
      </c>
      <c r="CE8" s="222" t="s">
        <v>292</v>
      </c>
    </row>
    <row r="9" spans="1:83" s="26" customFormat="1" ht="9.9499999999999993" customHeight="1">
      <c r="I9" s="291" t="s">
        <v>814</v>
      </c>
      <c r="J9" s="283">
        <v>74633.600000000006</v>
      </c>
      <c r="K9" s="283">
        <v>738.7</v>
      </c>
      <c r="L9" s="283">
        <v>75372.3</v>
      </c>
      <c r="M9" s="283">
        <v>7819.4</v>
      </c>
      <c r="N9" s="283">
        <v>67552.899999999994</v>
      </c>
      <c r="O9" s="283">
        <v>16749.2</v>
      </c>
      <c r="P9" s="283">
        <v>37251.699999999997</v>
      </c>
      <c r="Q9" s="283">
        <v>55736.5</v>
      </c>
      <c r="R9" s="283">
        <v>479902.3</v>
      </c>
      <c r="S9" s="283">
        <v>535638.80000000005</v>
      </c>
      <c r="T9" s="283">
        <v>572890.5</v>
      </c>
      <c r="U9" s="283">
        <v>313.7</v>
      </c>
      <c r="V9" s="283">
        <v>112489.39999999998</v>
      </c>
      <c r="W9" s="283">
        <v>123603.09999999999</v>
      </c>
      <c r="X9" s="283">
        <v>603505.4</v>
      </c>
      <c r="Y9" s="283">
        <v>680182.9</v>
      </c>
      <c r="Z9" s="291" t="s">
        <v>814</v>
      </c>
      <c r="AA9" s="287">
        <v>0</v>
      </c>
      <c r="AB9" s="287">
        <v>10424.6</v>
      </c>
      <c r="AC9" s="287">
        <v>417890.5</v>
      </c>
      <c r="AD9" s="287">
        <v>428315.1</v>
      </c>
      <c r="AE9" s="287">
        <v>0</v>
      </c>
      <c r="AF9" s="287">
        <v>939.6</v>
      </c>
      <c r="AG9" s="287">
        <v>18961.2</v>
      </c>
      <c r="AH9" s="287">
        <v>19900.8</v>
      </c>
      <c r="AI9" s="287">
        <v>6677.8</v>
      </c>
      <c r="AJ9" s="287">
        <v>123736.6</v>
      </c>
      <c r="AK9" s="287">
        <v>11125.2</v>
      </c>
      <c r="AL9" s="287">
        <v>134861.80000000002</v>
      </c>
      <c r="AM9" s="287">
        <v>6677.8</v>
      </c>
      <c r="AN9" s="287">
        <v>135100.80000000002</v>
      </c>
      <c r="AO9" s="287">
        <v>447976.9</v>
      </c>
      <c r="AP9" s="287">
        <v>583077.69999999995</v>
      </c>
      <c r="AQ9" s="291" t="s">
        <v>814</v>
      </c>
      <c r="AR9" s="287">
        <v>9784.5</v>
      </c>
      <c r="AS9" s="287">
        <v>9441.9</v>
      </c>
      <c r="AT9" s="287">
        <v>9640.7999999999993</v>
      </c>
      <c r="AU9" s="287">
        <v>147</v>
      </c>
      <c r="AV9" s="287">
        <v>572957.5</v>
      </c>
      <c r="AW9" s="287">
        <v>6509</v>
      </c>
      <c r="AX9" s="287">
        <v>579466.5</v>
      </c>
      <c r="AY9" s="287">
        <v>34767.99</v>
      </c>
      <c r="AZ9" s="282">
        <v>2035.4100000000035</v>
      </c>
      <c r="BA9" s="293">
        <v>36803.4</v>
      </c>
      <c r="BB9" s="287">
        <v>1462258.7</v>
      </c>
      <c r="BC9" s="293">
        <v>112175.70000000001</v>
      </c>
      <c r="BD9" s="287">
        <v>9204.5</v>
      </c>
      <c r="BE9" s="287">
        <v>21263.200000000001</v>
      </c>
      <c r="BF9" s="287">
        <v>3720.1000000000004</v>
      </c>
      <c r="BG9" s="287">
        <v>123280</v>
      </c>
      <c r="BH9" s="287">
        <v>157467.79999999999</v>
      </c>
      <c r="BI9" s="291" t="s">
        <v>814</v>
      </c>
      <c r="BJ9" s="294">
        <v>19.91</v>
      </c>
      <c r="BK9" s="294">
        <v>9.06</v>
      </c>
      <c r="BL9" s="294">
        <v>10.85</v>
      </c>
      <c r="BM9" s="294">
        <v>12.4</v>
      </c>
      <c r="BN9" s="294">
        <v>16.71</v>
      </c>
      <c r="BO9" s="294">
        <v>1.99</v>
      </c>
      <c r="BP9" s="295">
        <v>3499</v>
      </c>
      <c r="BQ9" s="292">
        <v>1476</v>
      </c>
      <c r="BR9" s="292">
        <v>3386</v>
      </c>
      <c r="BS9" s="295">
        <v>66</v>
      </c>
      <c r="BT9" s="295">
        <v>8427</v>
      </c>
      <c r="BU9" s="294">
        <v>101.76630901942988</v>
      </c>
      <c r="BV9" s="294">
        <v>67.990684703927855</v>
      </c>
      <c r="BW9" s="294">
        <v>69.191610300225463</v>
      </c>
      <c r="BX9" s="294">
        <v>7.7881518262698375</v>
      </c>
      <c r="BY9" s="294">
        <v>5</v>
      </c>
      <c r="BZ9" s="294">
        <v>8.5399999999999991</v>
      </c>
      <c r="CA9" s="294">
        <v>13.67</v>
      </c>
      <c r="CB9" s="286">
        <f t="shared" si="0"/>
        <v>5.1300000000000008</v>
      </c>
      <c r="CC9" s="284">
        <v>14.21</v>
      </c>
      <c r="CD9" s="286">
        <v>17.440000000000001</v>
      </c>
      <c r="CE9" s="286">
        <f>CD9-CC9</f>
        <v>3.2300000000000004</v>
      </c>
    </row>
    <row r="10" spans="1:83" s="249" customFormat="1" ht="9.9499999999999993" customHeight="1">
      <c r="I10" s="223" t="s">
        <v>991</v>
      </c>
      <c r="J10" s="225">
        <v>84714.1</v>
      </c>
      <c r="K10" s="225">
        <v>771.1</v>
      </c>
      <c r="L10" s="225">
        <v>85485.200000000012</v>
      </c>
      <c r="M10" s="225">
        <v>8576.7999999999993</v>
      </c>
      <c r="N10" s="225">
        <v>76908.400000000009</v>
      </c>
      <c r="O10" s="225">
        <v>14653.7</v>
      </c>
      <c r="P10" s="225">
        <v>39217.699999999997</v>
      </c>
      <c r="Q10" s="225">
        <v>64344.3</v>
      </c>
      <c r="R10" s="225">
        <v>558978.4</v>
      </c>
      <c r="S10" s="225">
        <v>623322.70000000007</v>
      </c>
      <c r="T10" s="225">
        <v>662540.4</v>
      </c>
      <c r="U10" s="225">
        <v>392.4</v>
      </c>
      <c r="V10" s="225">
        <v>129875.29999999999</v>
      </c>
      <c r="W10" s="225">
        <v>141645.1</v>
      </c>
      <c r="X10" s="225">
        <v>700623.5</v>
      </c>
      <c r="Y10" s="225">
        <v>792445.3</v>
      </c>
      <c r="Z10" s="223" t="s">
        <v>991</v>
      </c>
      <c r="AA10" s="225">
        <v>0</v>
      </c>
      <c r="AB10" s="225">
        <v>12682.9</v>
      </c>
      <c r="AC10" s="225">
        <v>472716.79999999999</v>
      </c>
      <c r="AD10" s="225">
        <v>485399.7</v>
      </c>
      <c r="AE10" s="225">
        <v>0</v>
      </c>
      <c r="AF10" s="225">
        <v>1119.4000000000001</v>
      </c>
      <c r="AG10" s="225">
        <v>18229.8</v>
      </c>
      <c r="AH10" s="225">
        <v>19349.2</v>
      </c>
      <c r="AI10" s="225">
        <v>7694</v>
      </c>
      <c r="AJ10" s="225">
        <v>152996.79999999999</v>
      </c>
      <c r="AK10" s="225">
        <v>12420.6</v>
      </c>
      <c r="AL10" s="225">
        <v>165417.4</v>
      </c>
      <c r="AM10" s="225">
        <v>7694</v>
      </c>
      <c r="AN10" s="225">
        <v>166799.09999999998</v>
      </c>
      <c r="AO10" s="225">
        <v>503367.19999999995</v>
      </c>
      <c r="AP10" s="225">
        <v>670166.30000000005</v>
      </c>
      <c r="AQ10" s="223" t="s">
        <v>991</v>
      </c>
      <c r="AR10" s="225">
        <v>5706.9</v>
      </c>
      <c r="AS10" s="225">
        <v>5526.6</v>
      </c>
      <c r="AT10" s="225">
        <v>9945.7000000000007</v>
      </c>
      <c r="AU10" s="225">
        <v>26.2</v>
      </c>
      <c r="AV10" s="225">
        <v>662559.30000000005</v>
      </c>
      <c r="AW10" s="225">
        <v>6612.1</v>
      </c>
      <c r="AX10" s="225">
        <v>669171.4</v>
      </c>
      <c r="AY10" s="225">
        <v>43496.141000000003</v>
      </c>
      <c r="AZ10" s="225">
        <v>501.55899999999383</v>
      </c>
      <c r="BA10" s="225">
        <v>43997.7</v>
      </c>
      <c r="BB10" s="225">
        <v>1689948.5</v>
      </c>
      <c r="BC10" s="225">
        <v>129482.90000000001</v>
      </c>
      <c r="BD10" s="225">
        <v>78.099999999999994</v>
      </c>
      <c r="BE10" s="225">
        <v>16886.2</v>
      </c>
      <c r="BF10" s="225">
        <v>2769.5</v>
      </c>
      <c r="BG10" s="225">
        <v>152495.40000000002</v>
      </c>
      <c r="BH10" s="225">
        <v>172229.2</v>
      </c>
      <c r="BI10" s="223" t="s">
        <v>991</v>
      </c>
      <c r="BJ10" s="250">
        <v>6.72</v>
      </c>
      <c r="BK10" s="250">
        <v>34.71</v>
      </c>
      <c r="BL10" s="250">
        <v>12.27</v>
      </c>
      <c r="BM10" s="250">
        <v>11.57</v>
      </c>
      <c r="BN10" s="250">
        <v>15.46</v>
      </c>
      <c r="BO10" s="27">
        <v>1.92</v>
      </c>
      <c r="BP10" s="376">
        <v>3536</v>
      </c>
      <c r="BQ10" s="249">
        <v>1496</v>
      </c>
      <c r="BR10" s="249">
        <v>3692</v>
      </c>
      <c r="BS10" s="376">
        <v>70</v>
      </c>
      <c r="BT10" s="376">
        <v>8794</v>
      </c>
      <c r="BU10" s="250">
        <v>101.14812364719657</v>
      </c>
      <c r="BV10" s="250">
        <v>75.342199226745507</v>
      </c>
      <c r="BW10" s="250">
        <v>76.20722083238573</v>
      </c>
      <c r="BX10" s="250">
        <v>7.9350633218792641</v>
      </c>
      <c r="BY10" s="250">
        <v>5</v>
      </c>
      <c r="BZ10" s="250">
        <v>7.79</v>
      </c>
      <c r="CA10" s="250">
        <v>13.1</v>
      </c>
      <c r="CB10" s="250">
        <v>5.31</v>
      </c>
      <c r="CC10" s="250">
        <v>12.52</v>
      </c>
      <c r="CD10" s="250">
        <v>16.899999999999999</v>
      </c>
      <c r="CE10" s="250">
        <v>4.38</v>
      </c>
    </row>
    <row r="11" spans="1:83" s="249" customFormat="1" ht="9.9499999999999993" customHeight="1">
      <c r="I11" s="281" t="s">
        <v>1042</v>
      </c>
      <c r="J11" s="450">
        <v>97361.5</v>
      </c>
      <c r="K11" s="450">
        <v>792.4</v>
      </c>
      <c r="L11" s="450">
        <v>98153.9</v>
      </c>
      <c r="M11" s="450">
        <v>10213.1</v>
      </c>
      <c r="N11" s="450">
        <v>87940.799999999988</v>
      </c>
      <c r="O11" s="450">
        <v>13317.8</v>
      </c>
      <c r="P11" s="450">
        <v>47116.6</v>
      </c>
      <c r="Q11" s="450">
        <v>72383.7</v>
      </c>
      <c r="R11" s="450">
        <v>626799.9</v>
      </c>
      <c r="S11" s="450">
        <v>699183.6</v>
      </c>
      <c r="T11" s="450">
        <v>746300.2</v>
      </c>
      <c r="U11" s="450">
        <v>489.7</v>
      </c>
      <c r="V11" s="450">
        <v>148482.50000000003</v>
      </c>
      <c r="W11" s="450">
        <v>160814.20000000001</v>
      </c>
      <c r="X11" s="450">
        <v>787614.10000000009</v>
      </c>
      <c r="Y11" s="450">
        <v>910049</v>
      </c>
      <c r="Z11" s="281" t="s">
        <v>1042</v>
      </c>
      <c r="AA11" s="283">
        <v>0</v>
      </c>
      <c r="AB11" s="283">
        <v>15343.1</v>
      </c>
      <c r="AC11" s="283">
        <v>537605.1</v>
      </c>
      <c r="AD11" s="283">
        <v>552948.19999999995</v>
      </c>
      <c r="AE11" s="283">
        <v>0</v>
      </c>
      <c r="AF11" s="283">
        <v>1250.4000000000001</v>
      </c>
      <c r="AG11" s="283">
        <v>18779.3</v>
      </c>
      <c r="AH11" s="283">
        <v>20029.7</v>
      </c>
      <c r="AI11" s="283">
        <v>7130.6</v>
      </c>
      <c r="AJ11" s="283">
        <v>157018.4</v>
      </c>
      <c r="AK11" s="283">
        <v>13569.3</v>
      </c>
      <c r="AL11" s="283">
        <v>170587.69999999998</v>
      </c>
      <c r="AM11" s="283">
        <v>7130.6</v>
      </c>
      <c r="AN11" s="283">
        <v>173611.9</v>
      </c>
      <c r="AO11" s="283">
        <v>569953.70000000007</v>
      </c>
      <c r="AP11" s="283">
        <v>743565.59999999986</v>
      </c>
      <c r="AQ11" s="281" t="s">
        <v>1042</v>
      </c>
      <c r="AR11" s="450">
        <v>5604.1</v>
      </c>
      <c r="AS11" s="450">
        <v>4823.6000000000004</v>
      </c>
      <c r="AT11" s="450">
        <v>7890.2</v>
      </c>
      <c r="AU11" s="450">
        <v>217.9</v>
      </c>
      <c r="AV11" s="450">
        <v>746329.9</v>
      </c>
      <c r="AW11" s="450">
        <v>6653.4</v>
      </c>
      <c r="AX11" s="450">
        <v>752983.3</v>
      </c>
      <c r="AY11" s="450">
        <v>48943.914500000006</v>
      </c>
      <c r="AZ11" s="450">
        <v>894.98549999999523</v>
      </c>
      <c r="BA11" s="450">
        <v>49838.9</v>
      </c>
      <c r="BB11" s="450">
        <v>1962638.4</v>
      </c>
      <c r="BC11" s="450">
        <v>147992.79999999999</v>
      </c>
      <c r="BD11" s="450">
        <v>2435.4</v>
      </c>
      <c r="BE11" s="450">
        <v>8796.4</v>
      </c>
      <c r="BF11" s="450">
        <v>3334.2</v>
      </c>
      <c r="BG11" s="450">
        <v>155768.70000000001</v>
      </c>
      <c r="BH11" s="450">
        <v>170334.7</v>
      </c>
      <c r="BI11" s="281" t="s">
        <v>1042</v>
      </c>
      <c r="BJ11" s="289">
        <v>-6.19</v>
      </c>
      <c r="BK11" s="289">
        <v>34.71</v>
      </c>
      <c r="BL11" s="289">
        <v>12.27</v>
      </c>
      <c r="BM11" s="289">
        <v>11.57</v>
      </c>
      <c r="BN11" s="289">
        <v>16.09</v>
      </c>
      <c r="BO11" s="294">
        <v>1.92</v>
      </c>
      <c r="BP11" s="290">
        <v>3669</v>
      </c>
      <c r="BQ11" s="288">
        <v>1405</v>
      </c>
      <c r="BR11" s="288">
        <v>3982</v>
      </c>
      <c r="BS11" s="290">
        <v>75</v>
      </c>
      <c r="BT11" s="290">
        <v>9131</v>
      </c>
      <c r="BU11" s="289">
        <v>99.629614196081363</v>
      </c>
      <c r="BV11" s="289">
        <v>81.735833972182675</v>
      </c>
      <c r="BW11" s="289">
        <v>81.43309604643521</v>
      </c>
      <c r="BX11" s="289">
        <v>8.0463076717146134</v>
      </c>
      <c r="BY11" s="289">
        <v>5</v>
      </c>
      <c r="BZ11" s="289">
        <v>6.8</v>
      </c>
      <c r="CA11" s="289">
        <v>11.67</v>
      </c>
      <c r="CB11" s="289">
        <v>4.87</v>
      </c>
      <c r="CC11" s="289">
        <v>10.61</v>
      </c>
      <c r="CD11" s="289">
        <v>15.12</v>
      </c>
      <c r="CE11" s="289">
        <v>4.51</v>
      </c>
    </row>
    <row r="12" spans="1:83" s="249" customFormat="1" ht="9.9499999999999993" customHeight="1">
      <c r="I12" s="223" t="s">
        <v>1163</v>
      </c>
      <c r="J12" s="455">
        <v>130728.7</v>
      </c>
      <c r="K12" s="455">
        <v>1576.5</v>
      </c>
      <c r="L12" s="455">
        <v>132305.20000000001</v>
      </c>
      <c r="M12" s="455">
        <v>10230.700000000001</v>
      </c>
      <c r="N12" s="455">
        <v>122074.50000000001</v>
      </c>
      <c r="O12" s="455">
        <v>17126.2</v>
      </c>
      <c r="P12" s="455">
        <v>55874.7</v>
      </c>
      <c r="Q12" s="455">
        <v>89759.1</v>
      </c>
      <c r="R12" s="455">
        <v>703947.2</v>
      </c>
      <c r="S12" s="455">
        <v>793706.29999999993</v>
      </c>
      <c r="T12" s="455">
        <v>849580.99999999988</v>
      </c>
      <c r="U12" s="455">
        <v>597.1</v>
      </c>
      <c r="V12" s="455">
        <v>193201.30000000002</v>
      </c>
      <c r="W12" s="455">
        <v>212430.70000000004</v>
      </c>
      <c r="X12" s="455">
        <v>916377.9</v>
      </c>
      <c r="Y12" s="455">
        <v>1076743.2</v>
      </c>
      <c r="Z12" s="223" t="s">
        <v>1163</v>
      </c>
      <c r="AA12" s="455">
        <v>0</v>
      </c>
      <c r="AB12" s="455">
        <v>14977.5</v>
      </c>
      <c r="AC12" s="455">
        <v>627918.19999999995</v>
      </c>
      <c r="AD12" s="455">
        <v>642895.69999999995</v>
      </c>
      <c r="AE12" s="455">
        <v>0</v>
      </c>
      <c r="AF12" s="455">
        <v>1589</v>
      </c>
      <c r="AG12" s="455">
        <v>22461</v>
      </c>
      <c r="AH12" s="455">
        <v>24050</v>
      </c>
      <c r="AI12" s="455">
        <v>8613</v>
      </c>
      <c r="AJ12" s="455">
        <v>157964.29999999999</v>
      </c>
      <c r="AK12" s="455">
        <v>15663.2</v>
      </c>
      <c r="AL12" s="455">
        <v>173627.5</v>
      </c>
      <c r="AM12" s="455">
        <v>8613</v>
      </c>
      <c r="AN12" s="455">
        <v>174530.8</v>
      </c>
      <c r="AO12" s="455">
        <v>666042.39999999991</v>
      </c>
      <c r="AP12" s="455">
        <v>840573.2</v>
      </c>
      <c r="AQ12" s="223" t="s">
        <v>1163</v>
      </c>
      <c r="AR12" s="455">
        <v>5436.7</v>
      </c>
      <c r="AS12" s="455">
        <v>18388.400000000001</v>
      </c>
      <c r="AT12" s="455">
        <v>12975.5</v>
      </c>
      <c r="AU12" s="455">
        <v>50.7</v>
      </c>
      <c r="AV12" s="455">
        <v>849617.20000000007</v>
      </c>
      <c r="AW12" s="455">
        <v>6908.3</v>
      </c>
      <c r="AX12" s="455">
        <v>856525.50000000012</v>
      </c>
      <c r="AY12" s="455">
        <v>55674.157500000001</v>
      </c>
      <c r="AZ12" s="455">
        <v>4624.8424999999916</v>
      </c>
      <c r="BA12" s="455">
        <v>60299</v>
      </c>
      <c r="BB12" s="455">
        <v>2370730.1</v>
      </c>
      <c r="BC12" s="455">
        <v>192604.2</v>
      </c>
      <c r="BD12" s="455">
        <v>4000</v>
      </c>
      <c r="BE12" s="455">
        <v>15984.8</v>
      </c>
      <c r="BF12" s="455">
        <v>3911.6</v>
      </c>
      <c r="BG12" s="455">
        <v>156583.5</v>
      </c>
      <c r="BH12" s="455">
        <v>180479.9</v>
      </c>
      <c r="BI12" s="223" t="s">
        <v>1163</v>
      </c>
      <c r="BJ12" s="536">
        <v>3.59</v>
      </c>
      <c r="BK12" s="536">
        <v>-3.71</v>
      </c>
      <c r="BL12" s="536">
        <v>16.78</v>
      </c>
      <c r="BM12" s="536">
        <v>14.22</v>
      </c>
      <c r="BN12" s="536">
        <v>16.350000000000001</v>
      </c>
      <c r="BO12" s="250">
        <v>2.2652458407438507</v>
      </c>
      <c r="BP12" s="376">
        <v>3700</v>
      </c>
      <c r="BQ12" s="249">
        <v>1407</v>
      </c>
      <c r="BR12" s="249">
        <v>4271</v>
      </c>
      <c r="BS12" s="750">
        <v>75</v>
      </c>
      <c r="BT12" s="750">
        <v>9453</v>
      </c>
      <c r="BU12" s="536">
        <v>98.935520608575231</v>
      </c>
      <c r="BV12" s="536">
        <v>89.878049296519634</v>
      </c>
      <c r="BW12" s="536">
        <v>88.921315984343593</v>
      </c>
      <c r="BX12" s="536">
        <v>8.3013503022302277</v>
      </c>
      <c r="BY12" s="536">
        <v>5</v>
      </c>
      <c r="BZ12" s="536">
        <v>5.54</v>
      </c>
      <c r="CA12" s="536">
        <v>10.39</v>
      </c>
      <c r="CB12" s="536">
        <v>4.8500000000000005</v>
      </c>
      <c r="CC12" s="536">
        <v>8.9499999999999993</v>
      </c>
      <c r="CD12" s="536">
        <v>13.07</v>
      </c>
      <c r="CE12" s="536">
        <v>4.120000000000001</v>
      </c>
    </row>
    <row r="13" spans="1:83" s="249" customFormat="1" ht="9.9499999999999993" customHeight="1">
      <c r="C13" s="443"/>
      <c r="D13" s="443"/>
      <c r="E13" s="443"/>
      <c r="F13" s="443"/>
      <c r="G13" s="443"/>
      <c r="I13" s="281" t="s">
        <v>1187</v>
      </c>
      <c r="J13" s="450">
        <v>149724.70000000001</v>
      </c>
      <c r="K13" s="450">
        <v>1540.5</v>
      </c>
      <c r="L13" s="450">
        <v>151265.20000000001</v>
      </c>
      <c r="M13" s="450">
        <v>13733.4</v>
      </c>
      <c r="N13" s="450">
        <v>137531.80000000002</v>
      </c>
      <c r="O13" s="450">
        <v>22096.9</v>
      </c>
      <c r="P13" s="450">
        <v>64651.3</v>
      </c>
      <c r="Q13" s="450">
        <v>101885.2</v>
      </c>
      <c r="R13" s="450">
        <v>775997.6</v>
      </c>
      <c r="S13" s="450">
        <v>877882.79999999993</v>
      </c>
      <c r="T13" s="450">
        <v>942534.1</v>
      </c>
      <c r="U13" s="450">
        <v>661.5</v>
      </c>
      <c r="V13" s="450">
        <v>224659.39999999997</v>
      </c>
      <c r="W13" s="450">
        <v>240078.5</v>
      </c>
      <c r="X13" s="450">
        <v>1016076.1</v>
      </c>
      <c r="Y13" s="450">
        <v>1233465.5</v>
      </c>
      <c r="Z13" s="281" t="s">
        <v>1187</v>
      </c>
      <c r="AA13" s="450">
        <v>0</v>
      </c>
      <c r="AB13" s="450">
        <v>15533.2</v>
      </c>
      <c r="AC13" s="450">
        <v>728117</v>
      </c>
      <c r="AD13" s="450">
        <v>743650.2</v>
      </c>
      <c r="AE13" s="450">
        <v>0</v>
      </c>
      <c r="AF13" s="450">
        <v>1726.2</v>
      </c>
      <c r="AG13" s="450">
        <v>27218.5</v>
      </c>
      <c r="AH13" s="450">
        <v>28944.7</v>
      </c>
      <c r="AI13" s="450">
        <v>14073.4</v>
      </c>
      <c r="AJ13" s="450">
        <v>152329.70000000001</v>
      </c>
      <c r="AK13" s="450">
        <v>15744.2</v>
      </c>
      <c r="AL13" s="450">
        <v>168073.90000000002</v>
      </c>
      <c r="AM13" s="450">
        <v>14073.4</v>
      </c>
      <c r="AN13" s="450">
        <v>169589.1</v>
      </c>
      <c r="AO13" s="450">
        <v>771079.7</v>
      </c>
      <c r="AP13" s="450">
        <v>940668.79999999993</v>
      </c>
      <c r="AQ13" s="281" t="s">
        <v>1187</v>
      </c>
      <c r="AR13" s="450">
        <v>7470.4</v>
      </c>
      <c r="AS13" s="450">
        <v>24394.1</v>
      </c>
      <c r="AT13" s="450">
        <v>20759.3</v>
      </c>
      <c r="AU13" s="450">
        <v>62.9</v>
      </c>
      <c r="AV13" s="450">
        <v>942558.51</v>
      </c>
      <c r="AW13" s="450">
        <v>5784.1</v>
      </c>
      <c r="AX13" s="450">
        <v>948342.61</v>
      </c>
      <c r="AY13" s="450">
        <v>61642.269650000002</v>
      </c>
      <c r="AZ13" s="450">
        <v>11090.430349999995</v>
      </c>
      <c r="BA13" s="450">
        <v>72732.7</v>
      </c>
      <c r="BB13" s="450">
        <v>2223734.2999999998</v>
      </c>
      <c r="BC13" s="450">
        <v>223997.90000000002</v>
      </c>
      <c r="BD13" s="450">
        <v>3015.6</v>
      </c>
      <c r="BE13" s="450">
        <v>10964.5</v>
      </c>
      <c r="BF13" s="450">
        <v>3364.4</v>
      </c>
      <c r="BG13" s="450">
        <v>151102.29999999999</v>
      </c>
      <c r="BH13" s="450">
        <v>168446.8</v>
      </c>
      <c r="BI13" s="281" t="s">
        <v>1187</v>
      </c>
      <c r="BJ13" s="440">
        <v>-14.78</v>
      </c>
      <c r="BK13" s="440">
        <v>7.66</v>
      </c>
      <c r="BL13" s="440">
        <v>15.66</v>
      </c>
      <c r="BM13" s="440">
        <v>11.16</v>
      </c>
      <c r="BN13" s="440">
        <v>10.88</v>
      </c>
      <c r="BO13" s="289">
        <v>2.2875324003782787</v>
      </c>
      <c r="BP13" s="290">
        <v>3713</v>
      </c>
      <c r="BQ13" s="288">
        <v>1407</v>
      </c>
      <c r="BR13" s="288">
        <v>4529</v>
      </c>
      <c r="BS13" s="831">
        <v>71</v>
      </c>
      <c r="BT13" s="831">
        <v>9720</v>
      </c>
      <c r="BU13" s="440">
        <v>99.799512711417776</v>
      </c>
      <c r="BV13" s="440">
        <v>96.971040123456788</v>
      </c>
      <c r="BW13" s="440">
        <v>96.776625514403278</v>
      </c>
      <c r="BX13" s="440">
        <v>9.1735525256676098</v>
      </c>
      <c r="BY13" s="440">
        <v>5</v>
      </c>
      <c r="BZ13" s="440">
        <v>4.84</v>
      </c>
      <c r="CA13" s="440">
        <v>9.56</v>
      </c>
      <c r="CB13" s="440">
        <v>4.7200000000000006</v>
      </c>
      <c r="CC13" s="440">
        <v>8.3699999999999992</v>
      </c>
      <c r="CD13" s="440">
        <v>11.69</v>
      </c>
      <c r="CE13" s="440">
        <v>3.3200000000000003</v>
      </c>
    </row>
    <row r="14" spans="1:83" s="249" customFormat="1" ht="9.9499999999999993" customHeight="1">
      <c r="C14" s="159"/>
      <c r="D14" s="159"/>
      <c r="E14" s="159"/>
      <c r="F14" s="159"/>
      <c r="G14" s="159"/>
      <c r="H14" s="159"/>
      <c r="I14" s="1588" t="s">
        <v>1311</v>
      </c>
      <c r="J14" s="455">
        <v>153411.20000000001</v>
      </c>
      <c r="K14" s="455">
        <v>1529.3</v>
      </c>
      <c r="L14" s="455">
        <v>154940.5</v>
      </c>
      <c r="M14" s="455">
        <v>14023</v>
      </c>
      <c r="N14" s="455">
        <v>140917.5</v>
      </c>
      <c r="O14" s="455">
        <v>33411</v>
      </c>
      <c r="P14" s="455">
        <v>75790.3</v>
      </c>
      <c r="Q14" s="455">
        <v>113217.1</v>
      </c>
      <c r="R14" s="455">
        <v>855087.3</v>
      </c>
      <c r="S14" s="455">
        <v>968304.4</v>
      </c>
      <c r="T14" s="455">
        <v>1044094.7000000001</v>
      </c>
      <c r="U14" s="455">
        <v>759.1</v>
      </c>
      <c r="V14" s="455">
        <v>233743</v>
      </c>
      <c r="W14" s="455">
        <v>254893.7</v>
      </c>
      <c r="X14" s="455">
        <v>1109981</v>
      </c>
      <c r="Y14" s="455">
        <v>1373748.5</v>
      </c>
      <c r="Z14" s="953" t="s">
        <v>1311</v>
      </c>
      <c r="AA14" s="455">
        <v>0</v>
      </c>
      <c r="AB14" s="455">
        <v>18543.400000000001</v>
      </c>
      <c r="AC14" s="455">
        <v>859131.1</v>
      </c>
      <c r="AD14" s="455">
        <v>877674.5</v>
      </c>
      <c r="AE14" s="455">
        <v>0</v>
      </c>
      <c r="AF14" s="455">
        <v>1666.1</v>
      </c>
      <c r="AG14" s="455">
        <v>26533.1</v>
      </c>
      <c r="AH14" s="455">
        <v>28199.199999999997</v>
      </c>
      <c r="AI14" s="455">
        <v>17367.400000000001</v>
      </c>
      <c r="AJ14" s="455">
        <v>152836.79999999999</v>
      </c>
      <c r="AK14" s="455">
        <v>16721.3</v>
      </c>
      <c r="AL14" s="455">
        <v>169558.09999999998</v>
      </c>
      <c r="AM14" s="455">
        <v>17367.400000000001</v>
      </c>
      <c r="AN14" s="455">
        <v>173046.3</v>
      </c>
      <c r="AO14" s="455">
        <v>902385.5</v>
      </c>
      <c r="AP14" s="455">
        <v>1075431.7999999998</v>
      </c>
      <c r="AQ14" s="953" t="s">
        <v>1311</v>
      </c>
      <c r="AR14" s="455">
        <v>9988.7999999999993</v>
      </c>
      <c r="AS14" s="455">
        <v>32329.9</v>
      </c>
      <c r="AT14" s="455">
        <v>25777.8</v>
      </c>
      <c r="AU14" s="455">
        <v>59.2</v>
      </c>
      <c r="AV14" s="455">
        <v>1044113.46</v>
      </c>
      <c r="AW14" s="455">
        <v>7577.6</v>
      </c>
      <c r="AX14" s="455">
        <v>1051691.06</v>
      </c>
      <c r="AY14" s="455">
        <v>57843.010499999997</v>
      </c>
      <c r="AZ14" s="455">
        <v>22320.841650000002</v>
      </c>
      <c r="BA14" s="455">
        <v>78041.89</v>
      </c>
      <c r="BB14" s="455">
        <v>2680520.5</v>
      </c>
      <c r="BC14" s="455">
        <v>232982.39</v>
      </c>
      <c r="BD14" s="455">
        <v>4000</v>
      </c>
      <c r="BE14" s="455">
        <v>17878.900000000001</v>
      </c>
      <c r="BF14" s="455">
        <v>4818</v>
      </c>
      <c r="BG14" s="455">
        <v>151396</v>
      </c>
      <c r="BH14" s="455">
        <v>178092.9</v>
      </c>
      <c r="BI14" s="953" t="s">
        <v>1311</v>
      </c>
      <c r="BJ14" s="536">
        <v>-2.5099999999999998</v>
      </c>
      <c r="BK14" s="536">
        <v>11.11</v>
      </c>
      <c r="BL14" s="536">
        <v>16.940000000000001</v>
      </c>
      <c r="BM14" s="536">
        <v>14.71</v>
      </c>
      <c r="BN14" s="536">
        <v>9.24</v>
      </c>
      <c r="BO14" s="250">
        <v>2.3777416009823593</v>
      </c>
      <c r="BP14" s="376">
        <v>3741</v>
      </c>
      <c r="BQ14" s="26">
        <v>1411</v>
      </c>
      <c r="BR14" s="26">
        <v>4888</v>
      </c>
      <c r="BS14" s="750">
        <v>74</v>
      </c>
      <c r="BT14" s="750">
        <v>10114</v>
      </c>
      <c r="BU14" s="536">
        <v>102.99951501439315</v>
      </c>
      <c r="BV14" s="536">
        <v>103.23447300771208</v>
      </c>
      <c r="BW14" s="536">
        <v>106.33100652560805</v>
      </c>
      <c r="BX14" s="536">
        <v>8.8175177820234207</v>
      </c>
      <c r="BY14" s="536">
        <v>5</v>
      </c>
      <c r="BZ14" s="536">
        <v>5.5</v>
      </c>
      <c r="CA14" s="536">
        <v>9.9499999999999993</v>
      </c>
      <c r="CB14" s="536">
        <v>4.4499999999999993</v>
      </c>
      <c r="CC14" s="536">
        <v>10.14</v>
      </c>
      <c r="CD14" s="536">
        <v>12.67</v>
      </c>
      <c r="CE14" s="536">
        <v>2.5299999999999994</v>
      </c>
    </row>
    <row r="15" spans="1:83" s="443" customFormat="1" ht="9.9499999999999993" customHeight="1">
      <c r="C15" s="159"/>
      <c r="D15" s="159"/>
      <c r="E15" s="159"/>
      <c r="F15" s="159"/>
      <c r="G15" s="817"/>
      <c r="I15" s="306" t="s">
        <v>1420</v>
      </c>
      <c r="J15" s="450">
        <v>168858.3</v>
      </c>
      <c r="K15" s="450">
        <v>1528.8</v>
      </c>
      <c r="L15" s="450">
        <v>170387.09999999998</v>
      </c>
      <c r="M15" s="450">
        <v>16100.1</v>
      </c>
      <c r="N15" s="450">
        <v>154286.99999999997</v>
      </c>
      <c r="O15" s="450">
        <v>39425.5</v>
      </c>
      <c r="P15" s="450">
        <v>82779.3</v>
      </c>
      <c r="Q15" s="450">
        <v>118217.9</v>
      </c>
      <c r="R15" s="450">
        <v>946318.1</v>
      </c>
      <c r="S15" s="450">
        <v>1064536</v>
      </c>
      <c r="T15" s="450">
        <v>1147315.3</v>
      </c>
      <c r="U15" s="450">
        <v>788.5</v>
      </c>
      <c r="V15" s="450">
        <v>246187.7</v>
      </c>
      <c r="W15" s="450">
        <v>273293.39999999997</v>
      </c>
      <c r="X15" s="450">
        <v>1219611.5</v>
      </c>
      <c r="Y15" s="450">
        <v>1534026.9</v>
      </c>
      <c r="Z15" s="298" t="s">
        <v>1420</v>
      </c>
      <c r="AA15" s="450">
        <v>0</v>
      </c>
      <c r="AB15" s="450">
        <v>20919.7</v>
      </c>
      <c r="AC15" s="450">
        <v>959297.9</v>
      </c>
      <c r="AD15" s="450">
        <v>980217.6</v>
      </c>
      <c r="AE15" s="450">
        <v>0</v>
      </c>
      <c r="AF15" s="450">
        <v>1846.4</v>
      </c>
      <c r="AG15" s="450">
        <v>28721.3</v>
      </c>
      <c r="AH15" s="450">
        <v>30567.7</v>
      </c>
      <c r="AI15" s="450">
        <v>26155.9</v>
      </c>
      <c r="AJ15" s="450">
        <v>171543.8</v>
      </c>
      <c r="AK15" s="450">
        <v>17447.099999999999</v>
      </c>
      <c r="AL15" s="450">
        <v>188990.9</v>
      </c>
      <c r="AM15" s="450">
        <v>26155.9</v>
      </c>
      <c r="AN15" s="450">
        <v>194309.9</v>
      </c>
      <c r="AO15" s="450">
        <v>1005466.3</v>
      </c>
      <c r="AP15" s="450">
        <v>1199776.2</v>
      </c>
      <c r="AQ15" s="298" t="s">
        <v>1420</v>
      </c>
      <c r="AR15" s="450">
        <v>10348.200000000001</v>
      </c>
      <c r="AS15" s="450">
        <v>35369.800000000003</v>
      </c>
      <c r="AT15" s="450">
        <v>35152.699999999997</v>
      </c>
      <c r="AU15" s="450">
        <v>146.6</v>
      </c>
      <c r="AV15" s="450">
        <v>1147338.68</v>
      </c>
      <c r="AW15" s="450">
        <v>7705.6</v>
      </c>
      <c r="AX15" s="450">
        <v>1155044.28</v>
      </c>
      <c r="AY15" s="450">
        <v>63527.436500000003</v>
      </c>
      <c r="AZ15" s="450">
        <v>13942.628850000008</v>
      </c>
      <c r="BA15" s="450">
        <v>74935.791300000012</v>
      </c>
      <c r="BB15" s="450">
        <v>3029188.4</v>
      </c>
      <c r="BC15" s="450">
        <v>245322.89129999999</v>
      </c>
      <c r="BD15" s="450">
        <v>1422.9</v>
      </c>
      <c r="BE15" s="450">
        <v>30233</v>
      </c>
      <c r="BF15" s="450">
        <v>4900.8</v>
      </c>
      <c r="BG15" s="450">
        <v>168433.9</v>
      </c>
      <c r="BH15" s="450">
        <v>204990.59999999998</v>
      </c>
      <c r="BI15" s="298" t="s">
        <v>1420</v>
      </c>
      <c r="BJ15" s="440">
        <v>19.37</v>
      </c>
      <c r="BK15" s="440">
        <v>21.64</v>
      </c>
      <c r="BL15" s="440">
        <v>11.32</v>
      </c>
      <c r="BM15" s="440">
        <v>12.26</v>
      </c>
      <c r="BN15" s="440">
        <v>9.8800000000000008</v>
      </c>
      <c r="BO15" s="289">
        <v>2.4199747214584315</v>
      </c>
      <c r="BP15" s="290">
        <v>3759</v>
      </c>
      <c r="BQ15" s="831">
        <v>1483</v>
      </c>
      <c r="BR15" s="831">
        <v>5094</v>
      </c>
      <c r="BS15" s="831">
        <v>68</v>
      </c>
      <c r="BT15" s="831">
        <v>10396</v>
      </c>
      <c r="BU15" s="440">
        <v>104.57036103759702</v>
      </c>
      <c r="BV15" s="440">
        <v>110.36347441323585</v>
      </c>
      <c r="BW15" s="440">
        <v>115.40748364755675</v>
      </c>
      <c r="BX15" s="440">
        <v>7.9345264730375886</v>
      </c>
      <c r="BY15" s="440">
        <v>5</v>
      </c>
      <c r="BZ15" s="440">
        <v>5.43</v>
      </c>
      <c r="CA15" s="440">
        <v>9.58</v>
      </c>
      <c r="CB15" s="440">
        <v>4.1500000000000004</v>
      </c>
      <c r="CC15" s="440">
        <v>10.56</v>
      </c>
      <c r="CD15" s="440">
        <v>13</v>
      </c>
      <c r="CE15" s="440">
        <v>2.4399999999999995</v>
      </c>
    </row>
    <row r="16" spans="1:83" s="160" customFormat="1" ht="9.9499999999999993" customHeight="1">
      <c r="A16" s="159"/>
      <c r="B16" s="159"/>
      <c r="C16" s="159"/>
      <c r="D16" s="159"/>
      <c r="E16" s="159"/>
      <c r="F16" s="159"/>
      <c r="G16" s="159"/>
      <c r="H16" s="159"/>
      <c r="I16" s="141" t="s">
        <v>1502</v>
      </c>
      <c r="J16" s="455">
        <v>206552.2</v>
      </c>
      <c r="K16" s="455">
        <v>1541.9</v>
      </c>
      <c r="L16" s="455">
        <v>208094.1</v>
      </c>
      <c r="M16" s="455">
        <v>15979.6</v>
      </c>
      <c r="N16" s="455">
        <v>192114.5</v>
      </c>
      <c r="O16" s="455">
        <v>30355.7</v>
      </c>
      <c r="P16" s="455">
        <v>88099.4</v>
      </c>
      <c r="Q16" s="455">
        <v>135528.4</v>
      </c>
      <c r="R16" s="455">
        <v>1045471.1</v>
      </c>
      <c r="S16" s="455">
        <v>1180999.5</v>
      </c>
      <c r="T16" s="455">
        <v>1269098.8999999999</v>
      </c>
      <c r="U16" s="455">
        <v>621</v>
      </c>
      <c r="V16" s="455">
        <v>284483.40000000002</v>
      </c>
      <c r="W16" s="455">
        <v>328263.90000000002</v>
      </c>
      <c r="X16" s="455">
        <v>1373735</v>
      </c>
      <c r="Y16" s="455">
        <v>1703937.4</v>
      </c>
      <c r="Z16" s="159" t="s">
        <v>1502</v>
      </c>
      <c r="AA16" s="455">
        <v>0</v>
      </c>
      <c r="AB16" s="455">
        <v>25708.3</v>
      </c>
      <c r="AC16" s="455">
        <v>1050976</v>
      </c>
      <c r="AD16" s="455">
        <v>1076684.3</v>
      </c>
      <c r="AE16" s="455">
        <v>0</v>
      </c>
      <c r="AF16" s="455">
        <v>1921.3</v>
      </c>
      <c r="AG16" s="455">
        <v>22033.3</v>
      </c>
      <c r="AH16" s="455">
        <v>23954.6</v>
      </c>
      <c r="AI16" s="455">
        <v>25407.3</v>
      </c>
      <c r="AJ16" s="455">
        <v>232935.5</v>
      </c>
      <c r="AK16" s="455">
        <v>18916</v>
      </c>
      <c r="AL16" s="455">
        <v>251851.5</v>
      </c>
      <c r="AM16" s="455">
        <v>25407.3</v>
      </c>
      <c r="AN16" s="455">
        <v>260565.1</v>
      </c>
      <c r="AO16" s="455">
        <v>1091925.3</v>
      </c>
      <c r="AP16" s="455">
        <v>1352490.4000000001</v>
      </c>
      <c r="AQ16" s="159" t="s">
        <v>1502</v>
      </c>
      <c r="AR16" s="455">
        <v>13614.7</v>
      </c>
      <c r="AS16" s="455">
        <v>50299.7</v>
      </c>
      <c r="AT16" s="455">
        <v>35190.199999999997</v>
      </c>
      <c r="AU16" s="455">
        <v>58.5</v>
      </c>
      <c r="AV16" s="455">
        <v>1269113.6399999999</v>
      </c>
      <c r="AW16" s="455">
        <v>10934.2</v>
      </c>
      <c r="AX16" s="455">
        <v>1280047.8399999999</v>
      </c>
      <c r="AY16" s="455">
        <v>51201.911999999997</v>
      </c>
      <c r="AZ16" s="455">
        <v>26071.655700000003</v>
      </c>
      <c r="BA16" s="455">
        <v>75764.965700000001</v>
      </c>
      <c r="BB16" s="455">
        <v>3332696.5</v>
      </c>
      <c r="BC16" s="455">
        <v>283859.06570000004</v>
      </c>
      <c r="BD16" s="455">
        <v>10631</v>
      </c>
      <c r="BE16" s="455">
        <v>36086.9</v>
      </c>
      <c r="BF16" s="455">
        <v>4710.3</v>
      </c>
      <c r="BG16" s="455">
        <v>229191.6</v>
      </c>
      <c r="BH16" s="455">
        <v>280619.8</v>
      </c>
      <c r="BI16" s="159" t="s">
        <v>1502</v>
      </c>
      <c r="BJ16" s="536">
        <v>55.51</v>
      </c>
      <c r="BK16" s="536">
        <v>25.09</v>
      </c>
      <c r="BL16" s="536">
        <v>8.61</v>
      </c>
      <c r="BM16" s="536">
        <v>13.58</v>
      </c>
      <c r="BN16" s="536">
        <v>12.64</v>
      </c>
      <c r="BO16" s="250">
        <v>2.3079189217716665</v>
      </c>
      <c r="BP16" s="750">
        <v>3775</v>
      </c>
      <c r="BQ16" s="750">
        <v>1483</v>
      </c>
      <c r="BR16" s="750">
        <v>5265</v>
      </c>
      <c r="BS16" s="750">
        <v>65</v>
      </c>
      <c r="BT16" s="750">
        <v>10588</v>
      </c>
      <c r="BU16" s="536">
        <v>106.56968433496627</v>
      </c>
      <c r="BV16" s="536">
        <v>119.86339629769549</v>
      </c>
      <c r="BW16" s="536">
        <v>127.73804306762374</v>
      </c>
      <c r="BX16" s="536">
        <v>7.2290268427025977</v>
      </c>
      <c r="BY16" s="536">
        <v>5</v>
      </c>
      <c r="BZ16" s="536">
        <v>5.0599999999999996</v>
      </c>
      <c r="CA16" s="536">
        <v>7.95</v>
      </c>
      <c r="CB16" s="536">
        <v>2.8900000000000006</v>
      </c>
      <c r="CC16" s="536">
        <v>9.7200000000000006</v>
      </c>
      <c r="CD16" s="536">
        <v>12.93</v>
      </c>
      <c r="CE16" s="536">
        <v>3.2099999999999991</v>
      </c>
    </row>
    <row r="17" spans="1:83" s="160" customFormat="1" ht="9.9499999999999993" customHeight="1">
      <c r="A17" s="159"/>
      <c r="B17" s="159"/>
      <c r="C17" s="159"/>
      <c r="D17" s="159"/>
      <c r="E17" s="159"/>
      <c r="F17" s="159"/>
      <c r="G17" s="159"/>
      <c r="H17" s="817"/>
      <c r="I17" s="306" t="s">
        <v>1555</v>
      </c>
      <c r="J17" s="450">
        <v>225322.2</v>
      </c>
      <c r="K17" s="450">
        <v>1566.1</v>
      </c>
      <c r="L17" s="450">
        <v>226888.30000000002</v>
      </c>
      <c r="M17" s="450">
        <v>17370.599999999999</v>
      </c>
      <c r="N17" s="450">
        <v>209517.7</v>
      </c>
      <c r="O17" s="450">
        <v>40048.199999999997</v>
      </c>
      <c r="P17" s="450">
        <v>96176.5</v>
      </c>
      <c r="Q17" s="450">
        <v>165724.5</v>
      </c>
      <c r="R17" s="450">
        <v>1185066.6000000001</v>
      </c>
      <c r="S17" s="450">
        <v>1350791.1</v>
      </c>
      <c r="T17" s="450">
        <v>1446967.6</v>
      </c>
      <c r="U17" s="450">
        <v>586.5</v>
      </c>
      <c r="V17" s="450">
        <v>348071.80000000005</v>
      </c>
      <c r="W17" s="450">
        <v>375828.7</v>
      </c>
      <c r="X17" s="450">
        <v>1560895.3</v>
      </c>
      <c r="Y17" s="450">
        <v>1929045.3</v>
      </c>
      <c r="Z17" s="298" t="s">
        <v>1555</v>
      </c>
      <c r="AA17" s="450">
        <v>0</v>
      </c>
      <c r="AB17" s="450">
        <v>26917.4</v>
      </c>
      <c r="AC17" s="450">
        <v>1139574.1000000001</v>
      </c>
      <c r="AD17" s="450">
        <v>1166491.5</v>
      </c>
      <c r="AE17" s="450">
        <v>0</v>
      </c>
      <c r="AF17" s="450">
        <v>1788.7</v>
      </c>
      <c r="AG17" s="450">
        <v>22235.9</v>
      </c>
      <c r="AH17" s="450">
        <v>24024.600000000002</v>
      </c>
      <c r="AI17" s="450">
        <v>29531.4</v>
      </c>
      <c r="AJ17" s="450">
        <v>299276.3</v>
      </c>
      <c r="AK17" s="450">
        <v>21206.9</v>
      </c>
      <c r="AL17" s="450">
        <v>320483.20000000001</v>
      </c>
      <c r="AM17" s="450">
        <v>29531.4</v>
      </c>
      <c r="AN17" s="450">
        <v>327982.39999999997</v>
      </c>
      <c r="AO17" s="450">
        <v>1183016.8999999999</v>
      </c>
      <c r="AP17" s="450">
        <v>1510999.3</v>
      </c>
      <c r="AQ17" s="298" t="s">
        <v>1555</v>
      </c>
      <c r="AR17" s="450">
        <v>7539</v>
      </c>
      <c r="AS17" s="450">
        <v>73626.100000000006</v>
      </c>
      <c r="AT17" s="450">
        <v>37421.1</v>
      </c>
      <c r="AU17" s="450">
        <v>75.3</v>
      </c>
      <c r="AV17" s="450">
        <v>1446984.11</v>
      </c>
      <c r="AW17" s="450">
        <v>9967.1</v>
      </c>
      <c r="AX17" s="450">
        <v>1456951.2100000002</v>
      </c>
      <c r="AY17" s="450">
        <v>58278.048400000007</v>
      </c>
      <c r="AZ17" s="450">
        <v>62314.271199999996</v>
      </c>
      <c r="BA17" s="450">
        <v>120592.3196</v>
      </c>
      <c r="BB17" s="450">
        <v>3842083.7</v>
      </c>
      <c r="BC17" s="450">
        <v>347480.61960000003</v>
      </c>
      <c r="BD17" s="450">
        <v>4126.8</v>
      </c>
      <c r="BE17" s="450">
        <v>29712.3</v>
      </c>
      <c r="BF17" s="450">
        <v>5780.6</v>
      </c>
      <c r="BG17" s="450">
        <v>295402.2</v>
      </c>
      <c r="BH17" s="450">
        <v>335021.89999999997</v>
      </c>
      <c r="BI17" s="298" t="s">
        <v>1555</v>
      </c>
      <c r="BJ17" s="440">
        <v>22.01</v>
      </c>
      <c r="BK17" s="440">
        <v>2.75</v>
      </c>
      <c r="BL17" s="440">
        <v>8.35</v>
      </c>
      <c r="BM17" s="440">
        <v>10.11</v>
      </c>
      <c r="BN17" s="440">
        <v>13.62</v>
      </c>
      <c r="BO17" s="289">
        <v>2.2616411235269913</v>
      </c>
      <c r="BP17" s="831">
        <v>3801</v>
      </c>
      <c r="BQ17" s="831">
        <v>1504</v>
      </c>
      <c r="BR17" s="831">
        <v>5421</v>
      </c>
      <c r="BS17" s="831">
        <v>67</v>
      </c>
      <c r="BT17" s="831">
        <v>10793</v>
      </c>
      <c r="BU17" s="440">
        <v>104.42404236215144</v>
      </c>
      <c r="BV17" s="440">
        <v>134.06690540164922</v>
      </c>
      <c r="BW17" s="440">
        <v>139.99808209024368</v>
      </c>
      <c r="BX17" s="440">
        <v>9.5345151786082845</v>
      </c>
      <c r="BY17" s="440">
        <v>4</v>
      </c>
      <c r="BZ17" s="440">
        <v>4.13</v>
      </c>
      <c r="CA17" s="440">
        <v>7.33</v>
      </c>
      <c r="CB17" s="440">
        <v>3.2</v>
      </c>
      <c r="CC17" s="440">
        <v>7.82</v>
      </c>
      <c r="CD17" s="440">
        <v>11.19</v>
      </c>
      <c r="CE17" s="440">
        <v>3.3699999999999992</v>
      </c>
    </row>
    <row r="18" spans="1:83" s="160" customFormat="1" ht="9.9499999999999993" customHeight="1">
      <c r="A18" s="159"/>
      <c r="B18" s="159"/>
      <c r="C18" s="159"/>
      <c r="D18" s="159"/>
      <c r="E18" s="159"/>
      <c r="F18" s="159"/>
      <c r="G18" s="159"/>
      <c r="H18" s="159"/>
      <c r="I18" s="1612" t="s">
        <v>1836</v>
      </c>
      <c r="J18" s="455">
        <v>254519.5</v>
      </c>
      <c r="K18" s="455">
        <v>1663.3</v>
      </c>
      <c r="L18" s="455">
        <v>256182.8</v>
      </c>
      <c r="M18" s="455">
        <v>19733.8</v>
      </c>
      <c r="N18" s="455">
        <v>236449</v>
      </c>
      <c r="O18" s="455">
        <v>36254.9</v>
      </c>
      <c r="P18" s="455">
        <v>108918.7</v>
      </c>
      <c r="Q18" s="455">
        <v>188859.4</v>
      </c>
      <c r="R18" s="455">
        <v>1282217.5</v>
      </c>
      <c r="S18" s="455">
        <v>1471076.9</v>
      </c>
      <c r="T18" s="455">
        <v>1579995.5999999999</v>
      </c>
      <c r="U18" s="455">
        <v>596.4</v>
      </c>
      <c r="V18" s="455">
        <v>347162</v>
      </c>
      <c r="W18" s="455">
        <v>425904.80000000005</v>
      </c>
      <c r="X18" s="455">
        <v>1708122.3</v>
      </c>
      <c r="Y18" s="455">
        <v>2097973.2999999998</v>
      </c>
      <c r="Z18" s="159" t="s">
        <v>1836</v>
      </c>
      <c r="AA18" s="455">
        <v>0</v>
      </c>
      <c r="AB18" s="455">
        <v>38512.6</v>
      </c>
      <c r="AC18" s="455">
        <v>1286429.5</v>
      </c>
      <c r="AD18" s="455">
        <v>1324942.1000000001</v>
      </c>
      <c r="AE18" s="455">
        <v>0</v>
      </c>
      <c r="AF18" s="455">
        <v>1884.6</v>
      </c>
      <c r="AG18" s="455">
        <v>32287.9</v>
      </c>
      <c r="AH18" s="455">
        <v>34172.5</v>
      </c>
      <c r="AI18" s="455">
        <v>30832</v>
      </c>
      <c r="AJ18" s="455">
        <v>334009.8</v>
      </c>
      <c r="AK18" s="455">
        <v>26582.3</v>
      </c>
      <c r="AL18" s="455">
        <v>360592.1</v>
      </c>
      <c r="AM18" s="455">
        <v>30832</v>
      </c>
      <c r="AN18" s="455">
        <v>374407</v>
      </c>
      <c r="AO18" s="455">
        <v>1345299.7</v>
      </c>
      <c r="AP18" s="455">
        <v>1719706.7000000002</v>
      </c>
      <c r="AQ18" s="159" t="s">
        <v>1836</v>
      </c>
      <c r="AR18" s="455">
        <v>7702.1</v>
      </c>
      <c r="AS18" s="455">
        <v>91659.8</v>
      </c>
      <c r="AT18" s="455">
        <v>42893.9</v>
      </c>
      <c r="AU18" s="455">
        <v>634.4</v>
      </c>
      <c r="AV18" s="455">
        <v>1580021.02</v>
      </c>
      <c r="AW18" s="455">
        <v>14605</v>
      </c>
      <c r="AX18" s="455">
        <v>1594626.02</v>
      </c>
      <c r="AY18" s="455">
        <v>63785.040800000002</v>
      </c>
      <c r="AZ18" s="455">
        <v>26589.661199999988</v>
      </c>
      <c r="BA18" s="455">
        <v>90374.70199999999</v>
      </c>
      <c r="BB18" s="455">
        <v>4276170.7</v>
      </c>
      <c r="BC18" s="455">
        <v>346557.50199999998</v>
      </c>
      <c r="BD18" s="455">
        <v>4853.7</v>
      </c>
      <c r="BE18" s="455">
        <v>53503</v>
      </c>
      <c r="BF18" s="455">
        <v>11175.3</v>
      </c>
      <c r="BG18" s="455">
        <v>329468.59999999998</v>
      </c>
      <c r="BH18" s="455">
        <v>399000.6</v>
      </c>
      <c r="BI18" s="159" t="s">
        <v>1836</v>
      </c>
      <c r="BJ18" s="536">
        <v>28.18</v>
      </c>
      <c r="BK18" s="536">
        <v>23.92</v>
      </c>
      <c r="BL18" s="536">
        <v>13.66</v>
      </c>
      <c r="BM18" s="536">
        <v>16.100000000000001</v>
      </c>
      <c r="BN18" s="536">
        <v>9.43</v>
      </c>
      <c r="BO18" s="250">
        <v>2.3279727878953862</v>
      </c>
      <c r="BP18" s="750">
        <v>3812</v>
      </c>
      <c r="BQ18" s="750">
        <v>1519</v>
      </c>
      <c r="BR18" s="750">
        <v>5567</v>
      </c>
      <c r="BS18" s="750">
        <v>65</v>
      </c>
      <c r="BT18" s="750">
        <v>10963</v>
      </c>
      <c r="BU18" s="536">
        <v>108.8407482072612</v>
      </c>
      <c r="BV18" s="536">
        <v>144.1230520842835</v>
      </c>
      <c r="BW18" s="536">
        <v>156.86460822767492</v>
      </c>
      <c r="BX18" s="536">
        <v>6.9687998201441639</v>
      </c>
      <c r="BY18" s="536">
        <v>4</v>
      </c>
      <c r="BZ18" s="536">
        <v>3.97</v>
      </c>
      <c r="CA18" s="536">
        <v>7.09</v>
      </c>
      <c r="CB18" s="536">
        <v>3.1199999999999997</v>
      </c>
      <c r="CC18" s="536">
        <v>7.49</v>
      </c>
      <c r="CD18" s="536">
        <v>9.85</v>
      </c>
      <c r="CE18" s="536">
        <v>2.3599999999999994</v>
      </c>
    </row>
    <row r="19" spans="1:83" s="160" customFormat="1" ht="9.9499999999999993" customHeight="1">
      <c r="A19" s="159"/>
      <c r="B19" s="159"/>
      <c r="C19" s="159"/>
      <c r="D19" s="159"/>
      <c r="E19" s="159"/>
      <c r="F19" s="159"/>
      <c r="G19" s="159"/>
      <c r="H19" s="159"/>
      <c r="I19" s="1587" t="s">
        <v>2088</v>
      </c>
      <c r="J19" s="533">
        <v>310153.40000000002</v>
      </c>
      <c r="K19" s="533">
        <v>1794.4</v>
      </c>
      <c r="L19" s="533">
        <v>311947.80000000005</v>
      </c>
      <c r="M19" s="533">
        <v>20034.3</v>
      </c>
      <c r="N19" s="533">
        <v>291913.50000000006</v>
      </c>
      <c r="O19" s="533">
        <v>33759.4</v>
      </c>
      <c r="P19" s="533">
        <v>103350.9</v>
      </c>
      <c r="Q19" s="533">
        <v>199304.3</v>
      </c>
      <c r="R19" s="533">
        <v>1395280.2</v>
      </c>
      <c r="S19" s="533">
        <v>1594584.5</v>
      </c>
      <c r="T19" s="533">
        <v>1697935.4</v>
      </c>
      <c r="U19" s="533">
        <v>670.1</v>
      </c>
      <c r="V19" s="533">
        <v>383585.19999999995</v>
      </c>
      <c r="W19" s="533">
        <v>491887.9</v>
      </c>
      <c r="X19" s="533">
        <v>1887168.1</v>
      </c>
      <c r="Y19" s="533">
        <v>2273892.4900000002</v>
      </c>
      <c r="Z19" s="1520" t="s">
        <v>2088</v>
      </c>
      <c r="AA19" s="533">
        <v>0</v>
      </c>
      <c r="AB19" s="533">
        <v>51470.2</v>
      </c>
      <c r="AC19" s="533">
        <v>1421339.2</v>
      </c>
      <c r="AD19" s="533">
        <v>1472809.4</v>
      </c>
      <c r="AE19" s="533">
        <v>0</v>
      </c>
      <c r="AF19" s="533">
        <v>807.9</v>
      </c>
      <c r="AG19" s="533">
        <v>38453</v>
      </c>
      <c r="AH19" s="533">
        <v>39260.9</v>
      </c>
      <c r="AI19" s="533">
        <v>30458.2</v>
      </c>
      <c r="AJ19" s="533">
        <v>329477.8</v>
      </c>
      <c r="AK19" s="533">
        <v>27112.7</v>
      </c>
      <c r="AL19" s="533">
        <v>356590.5</v>
      </c>
      <c r="AM19" s="533">
        <v>30458.2</v>
      </c>
      <c r="AN19" s="533">
        <v>381755.89999999997</v>
      </c>
      <c r="AO19" s="533">
        <v>1486904.9</v>
      </c>
      <c r="AP19" s="533">
        <v>1868660.7999999998</v>
      </c>
      <c r="AQ19" s="1520" t="s">
        <v>2088</v>
      </c>
      <c r="AR19" s="533">
        <v>9730.7999999999993</v>
      </c>
      <c r="AS19" s="533">
        <v>105117.8</v>
      </c>
      <c r="AT19" s="533">
        <v>44627.199999999997</v>
      </c>
      <c r="AU19" s="533">
        <v>115.4</v>
      </c>
      <c r="AV19" s="533">
        <v>1697975.9100000001</v>
      </c>
      <c r="AW19" s="533">
        <v>17873.2</v>
      </c>
      <c r="AX19" s="533">
        <v>1715849.11</v>
      </c>
      <c r="AY19" s="533">
        <v>68633.964400000012</v>
      </c>
      <c r="AZ19" s="533">
        <v>2330.6837999999843</v>
      </c>
      <c r="BA19" s="533">
        <v>70964.648199999996</v>
      </c>
      <c r="BB19" s="533">
        <v>4601082.2</v>
      </c>
      <c r="BC19" s="533">
        <v>382912.44820000004</v>
      </c>
      <c r="BD19" s="533">
        <v>24318</v>
      </c>
      <c r="BE19" s="533">
        <v>132269.79999999999</v>
      </c>
      <c r="BF19" s="533">
        <v>15486</v>
      </c>
      <c r="BG19" s="533">
        <v>324998.7</v>
      </c>
      <c r="BH19" s="533">
        <v>497072.5</v>
      </c>
      <c r="BI19" s="1520" t="s">
        <v>2088</v>
      </c>
      <c r="BJ19" s="599">
        <v>36.65</v>
      </c>
      <c r="BK19" s="599">
        <v>22.29</v>
      </c>
      <c r="BL19" s="599">
        <v>10.57</v>
      </c>
      <c r="BM19" s="599">
        <v>15.25</v>
      </c>
      <c r="BN19" s="599">
        <v>10.48</v>
      </c>
      <c r="BO19" s="599">
        <v>2.37967248386617</v>
      </c>
      <c r="BP19" s="1482">
        <v>3823</v>
      </c>
      <c r="BQ19" s="1482">
        <v>1523</v>
      </c>
      <c r="BR19" s="1482">
        <v>5768</v>
      </c>
      <c r="BS19" s="1482">
        <v>63</v>
      </c>
      <c r="BT19" s="1482">
        <v>11177</v>
      </c>
      <c r="BU19" s="599">
        <v>110.05225627729899</v>
      </c>
      <c r="BV19" s="599">
        <v>151.916964301691</v>
      </c>
      <c r="BW19" s="599">
        <v>167.18804688198978</v>
      </c>
      <c r="BX19" s="599">
        <v>5.3592602618255043</v>
      </c>
      <c r="BY19" s="599">
        <v>4</v>
      </c>
      <c r="BZ19" s="599">
        <v>4.38</v>
      </c>
      <c r="CA19" s="599">
        <v>7.31</v>
      </c>
      <c r="CB19" s="599">
        <v>2.9299999999999997</v>
      </c>
      <c r="CC19" s="599">
        <v>7.93</v>
      </c>
      <c r="CD19" s="599">
        <v>8.1999999999999993</v>
      </c>
      <c r="CE19" s="599">
        <v>0.26999999999999957</v>
      </c>
    </row>
    <row r="20" spans="1:83" s="160" customFormat="1" ht="9.9499999999999993" customHeight="1">
      <c r="A20" s="159"/>
      <c r="B20" s="159"/>
      <c r="C20" s="159"/>
      <c r="D20" s="159"/>
      <c r="E20" s="159"/>
      <c r="F20" s="159"/>
      <c r="G20" s="159"/>
      <c r="H20" s="159"/>
      <c r="I20" s="848" t="s">
        <v>2228</v>
      </c>
      <c r="J20" s="531">
        <f>J32</f>
        <v>318403</v>
      </c>
      <c r="K20" s="531">
        <f t="shared" ref="K20:Y20" si="1">K32</f>
        <v>1905.9</v>
      </c>
      <c r="L20" s="531">
        <f t="shared" si="1"/>
        <v>320308.90000000002</v>
      </c>
      <c r="M20" s="531">
        <f t="shared" si="1"/>
        <v>29872.400000000001</v>
      </c>
      <c r="N20" s="531">
        <f t="shared" si="1"/>
        <v>290436.5</v>
      </c>
      <c r="O20" s="531">
        <f t="shared" si="1"/>
        <v>32754.9</v>
      </c>
      <c r="P20" s="531">
        <f t="shared" si="1"/>
        <v>120147.8</v>
      </c>
      <c r="Q20" s="531">
        <f t="shared" si="1"/>
        <v>209917.3</v>
      </c>
      <c r="R20" s="531">
        <f t="shared" si="1"/>
        <v>1532307.2</v>
      </c>
      <c r="S20" s="531">
        <f t="shared" si="1"/>
        <v>1742224.5</v>
      </c>
      <c r="T20" s="531">
        <f t="shared" si="1"/>
        <v>1862372.3</v>
      </c>
      <c r="U20" s="531">
        <f t="shared" si="1"/>
        <v>573</v>
      </c>
      <c r="V20" s="531">
        <f t="shared" si="1"/>
        <v>413644.6</v>
      </c>
      <c r="W20" s="531">
        <f t="shared" si="1"/>
        <v>500926.8</v>
      </c>
      <c r="X20" s="531">
        <f t="shared" si="1"/>
        <v>2033234</v>
      </c>
      <c r="Y20" s="531">
        <f t="shared" si="1"/>
        <v>2407957.7440705281</v>
      </c>
      <c r="Z20" s="1315" t="s">
        <v>2227</v>
      </c>
      <c r="AA20" s="531">
        <f t="shared" ref="AA20:AP20" si="2">AA32</f>
        <v>0</v>
      </c>
      <c r="AB20" s="531">
        <f t="shared" si="2"/>
        <v>56736.6</v>
      </c>
      <c r="AC20" s="531">
        <f t="shared" si="2"/>
        <v>1564444.9</v>
      </c>
      <c r="AD20" s="531">
        <f t="shared" si="2"/>
        <v>1621181.5</v>
      </c>
      <c r="AE20" s="531">
        <f t="shared" si="2"/>
        <v>0</v>
      </c>
      <c r="AF20" s="531">
        <f t="shared" si="2"/>
        <v>518.70000000000005</v>
      </c>
      <c r="AG20" s="531">
        <f t="shared" si="2"/>
        <v>38612.699999999997</v>
      </c>
      <c r="AH20" s="531">
        <f t="shared" si="2"/>
        <v>39131.399999999994</v>
      </c>
      <c r="AI20" s="531">
        <f t="shared" si="2"/>
        <v>27137.4</v>
      </c>
      <c r="AJ20" s="531">
        <f t="shared" si="2"/>
        <v>399628.7</v>
      </c>
      <c r="AK20" s="531">
        <f t="shared" si="2"/>
        <v>29389.1</v>
      </c>
      <c r="AL20" s="531">
        <f t="shared" si="2"/>
        <v>429017.8</v>
      </c>
      <c r="AM20" s="531">
        <f t="shared" si="2"/>
        <v>27137.4</v>
      </c>
      <c r="AN20" s="531">
        <f t="shared" si="2"/>
        <v>456884</v>
      </c>
      <c r="AO20" s="531">
        <f t="shared" si="2"/>
        <v>1632446.7</v>
      </c>
      <c r="AP20" s="531">
        <f t="shared" si="2"/>
        <v>2089330.7</v>
      </c>
      <c r="AQ20" s="1315" t="s">
        <v>2227</v>
      </c>
      <c r="AR20" s="531">
        <f t="shared" ref="AR20:BH20" si="3">AR32</f>
        <v>15168</v>
      </c>
      <c r="AS20" s="531">
        <f t="shared" si="3"/>
        <v>172788.1</v>
      </c>
      <c r="AT20" s="531">
        <f t="shared" si="3"/>
        <v>32701.4</v>
      </c>
      <c r="AU20" s="531">
        <f t="shared" si="3"/>
        <v>93.6</v>
      </c>
      <c r="AV20" s="531">
        <f t="shared" si="3"/>
        <v>1862408.37</v>
      </c>
      <c r="AW20" s="531">
        <f t="shared" si="3"/>
        <v>17820</v>
      </c>
      <c r="AX20" s="531">
        <f t="shared" si="3"/>
        <v>1880228.37</v>
      </c>
      <c r="AY20" s="531">
        <f t="shared" si="3"/>
        <v>75209.1348</v>
      </c>
      <c r="AZ20" s="531">
        <f t="shared" si="3"/>
        <v>17554.383000000002</v>
      </c>
      <c r="BA20" s="531">
        <f t="shared" si="3"/>
        <v>92763.517800000001</v>
      </c>
      <c r="BB20" s="531">
        <f t="shared" si="3"/>
        <v>5149667.5</v>
      </c>
      <c r="BC20" s="531">
        <f t="shared" si="3"/>
        <v>413072.41780000005</v>
      </c>
      <c r="BD20" s="531">
        <f t="shared" si="3"/>
        <v>69247.100000000006</v>
      </c>
      <c r="BE20" s="531">
        <f t="shared" si="3"/>
        <v>75231.8</v>
      </c>
      <c r="BF20" s="531">
        <f t="shared" si="3"/>
        <v>16171.7</v>
      </c>
      <c r="BG20" s="531">
        <f t="shared" si="3"/>
        <v>395501.7</v>
      </c>
      <c r="BH20" s="531">
        <f t="shared" si="3"/>
        <v>556152.30000000005</v>
      </c>
      <c r="BI20" s="1315" t="s">
        <v>2227</v>
      </c>
      <c r="BJ20" s="530">
        <f>BJ32</f>
        <v>9.69</v>
      </c>
      <c r="BK20" s="530">
        <f t="shared" ref="BK20:BN20" si="4">BK32</f>
        <v>9.42</v>
      </c>
      <c r="BL20" s="530">
        <f t="shared" si="4"/>
        <v>9.84</v>
      </c>
      <c r="BM20" s="530">
        <f t="shared" si="4"/>
        <v>9.8000000000000007</v>
      </c>
      <c r="BN20" s="530">
        <f t="shared" si="4"/>
        <v>7.74</v>
      </c>
      <c r="BO20" s="339">
        <v>2.4827604489326256</v>
      </c>
      <c r="BP20" s="601">
        <f t="shared" ref="BP20:CE20" si="5">BP32</f>
        <v>3835</v>
      </c>
      <c r="BQ20" s="601">
        <f t="shared" si="5"/>
        <v>1541</v>
      </c>
      <c r="BR20" s="601">
        <f t="shared" si="5"/>
        <v>5858</v>
      </c>
      <c r="BS20" s="601">
        <f t="shared" si="5"/>
        <v>63</v>
      </c>
      <c r="BT20" s="601">
        <f t="shared" si="5"/>
        <v>11297</v>
      </c>
      <c r="BU20" s="530">
        <f t="shared" si="5"/>
        <v>112.18434869899127</v>
      </c>
      <c r="BV20" s="530">
        <f t="shared" si="5"/>
        <v>164.8586677879083</v>
      </c>
      <c r="BW20" s="530">
        <f t="shared" si="5"/>
        <v>184.94562273169868</v>
      </c>
      <c r="BX20" s="530">
        <f t="shared" si="5"/>
        <v>6.5848027626722914</v>
      </c>
      <c r="BY20" s="530">
        <f t="shared" si="5"/>
        <v>4</v>
      </c>
      <c r="BZ20" s="530">
        <f t="shared" si="5"/>
        <v>5.49</v>
      </c>
      <c r="CA20" s="530">
        <f t="shared" si="5"/>
        <v>11.52</v>
      </c>
      <c r="CB20" s="530">
        <f t="shared" si="5"/>
        <v>6.0299999999999994</v>
      </c>
      <c r="CC20" s="530">
        <f t="shared" si="5"/>
        <v>9.83</v>
      </c>
      <c r="CD20" s="530">
        <f t="shared" si="5"/>
        <v>12.79</v>
      </c>
      <c r="CE20" s="530">
        <f t="shared" si="5"/>
        <v>2.9599999999999991</v>
      </c>
    </row>
    <row r="21" spans="1:83" s="160" customFormat="1" ht="9.9499999999999993" customHeight="1">
      <c r="A21" s="159"/>
      <c r="B21" s="159"/>
      <c r="C21" s="159"/>
      <c r="D21" s="159"/>
      <c r="E21" s="159"/>
      <c r="F21" s="159"/>
      <c r="G21" s="159"/>
      <c r="H21" s="159"/>
      <c r="I21" s="392" t="s">
        <v>559</v>
      </c>
      <c r="J21" s="450">
        <v>290730.8</v>
      </c>
      <c r="K21" s="450">
        <v>1803.2</v>
      </c>
      <c r="L21" s="450">
        <f t="shared" ref="L21:L52" si="6">J21+K21</f>
        <v>292534</v>
      </c>
      <c r="M21" s="450">
        <v>26179.4</v>
      </c>
      <c r="N21" s="450">
        <f t="shared" ref="N21:N54" si="7">L21-M21</f>
        <v>266354.59999999998</v>
      </c>
      <c r="O21" s="450">
        <v>32842.6</v>
      </c>
      <c r="P21" s="450">
        <v>98981.5</v>
      </c>
      <c r="Q21" s="450">
        <v>191720.6</v>
      </c>
      <c r="R21" s="450">
        <v>1415270</v>
      </c>
      <c r="S21" s="450">
        <f t="shared" ref="S21:S32" si="8">Q21+R21</f>
        <v>1606990.6</v>
      </c>
      <c r="T21" s="450">
        <f t="shared" ref="T21:T32" si="9">P21+S21</f>
        <v>1705972.1</v>
      </c>
      <c r="U21" s="450">
        <v>904.6</v>
      </c>
      <c r="V21" s="450">
        <v>365659.6</v>
      </c>
      <c r="W21" s="450">
        <f t="shared" ref="W21:W32" si="10">N21+Q21+U21</f>
        <v>458979.79999999993</v>
      </c>
      <c r="X21" s="450">
        <f t="shared" ref="X21:X32" si="11">R21+W21</f>
        <v>1874249.7999999998</v>
      </c>
      <c r="Y21" s="450">
        <v>2261463.9699999997</v>
      </c>
      <c r="Z21" s="320" t="s">
        <v>559</v>
      </c>
      <c r="AA21" s="283">
        <v>0</v>
      </c>
      <c r="AB21" s="450">
        <v>53185.8</v>
      </c>
      <c r="AC21" s="450">
        <v>1413749.5</v>
      </c>
      <c r="AD21" s="450">
        <f t="shared" ref="AD21:AD52" si="12">AB21+AC21</f>
        <v>1466935.3</v>
      </c>
      <c r="AE21" s="283">
        <v>0</v>
      </c>
      <c r="AF21" s="450">
        <v>728.6</v>
      </c>
      <c r="AG21" s="450">
        <v>37189.599999999999</v>
      </c>
      <c r="AH21" s="450">
        <f t="shared" ref="AH21:AH45" si="13">AF21+AG21</f>
        <v>37918.199999999997</v>
      </c>
      <c r="AI21" s="453">
        <v>30135.9</v>
      </c>
      <c r="AJ21" s="453">
        <v>335712.1</v>
      </c>
      <c r="AK21" s="453">
        <v>27197.599999999999</v>
      </c>
      <c r="AL21" s="453">
        <f t="shared" ref="AL21:AL32" si="14">AJ21+AK21</f>
        <v>362909.69999999995</v>
      </c>
      <c r="AM21" s="453">
        <f t="shared" ref="AM21:AP32" si="15">AA21+AE21+AI21</f>
        <v>30135.9</v>
      </c>
      <c r="AN21" s="453">
        <f t="shared" si="15"/>
        <v>389626.5</v>
      </c>
      <c r="AO21" s="453">
        <f t="shared" si="15"/>
        <v>1478136.7000000002</v>
      </c>
      <c r="AP21" s="453">
        <f>AD21+AH21+AL21</f>
        <v>1867763.2</v>
      </c>
      <c r="AQ21" s="320" t="s">
        <v>559</v>
      </c>
      <c r="AR21" s="450">
        <v>9934.6</v>
      </c>
      <c r="AS21" s="450">
        <v>105839.4</v>
      </c>
      <c r="AT21" s="450">
        <v>42144.6</v>
      </c>
      <c r="AU21" s="450">
        <v>292.60000000000002</v>
      </c>
      <c r="AV21" s="450">
        <f>1706013.4-10.59</f>
        <v>1706002.8099999998</v>
      </c>
      <c r="AW21" s="450">
        <v>17061.400000000001</v>
      </c>
      <c r="AX21" s="450">
        <f t="shared" ref="AX21:AX51" si="16">AV21+AW21</f>
        <v>1723064.2099999997</v>
      </c>
      <c r="AY21" s="450">
        <f t="shared" ref="AY21:AY32" si="17">0.04*AX21</f>
        <v>68922.568399999989</v>
      </c>
      <c r="AZ21" s="450">
        <f t="shared" ref="AZ21:AZ40" si="18">BA21-AY21</f>
        <v>3296.3079000000143</v>
      </c>
      <c r="BA21" s="450">
        <f>72221-2.1237</f>
        <v>72218.876300000004</v>
      </c>
      <c r="BB21" s="450">
        <v>4647252.9000000004</v>
      </c>
      <c r="BC21" s="450">
        <f t="shared" ref="BC21:BC40" si="19">L21+BA21</f>
        <v>364752.8763</v>
      </c>
      <c r="BD21" s="282">
        <v>11532.3</v>
      </c>
      <c r="BE21" s="450">
        <v>135413.4</v>
      </c>
      <c r="BF21" s="450">
        <v>17141.400000000001</v>
      </c>
      <c r="BG21" s="450">
        <v>331234.2</v>
      </c>
      <c r="BH21" s="450">
        <f t="shared" ref="BH21:BH50" si="20">BG21+BF21+BE21+BD21</f>
        <v>495321.3</v>
      </c>
      <c r="BI21" s="320" t="s">
        <v>559</v>
      </c>
      <c r="BJ21" s="440">
        <v>38.299999999999997</v>
      </c>
      <c r="BK21" s="289">
        <v>18.100000000000001</v>
      </c>
      <c r="BL21" s="289">
        <v>9.82</v>
      </c>
      <c r="BM21" s="289">
        <v>14.81</v>
      </c>
      <c r="BN21" s="289">
        <v>9.74</v>
      </c>
      <c r="BO21" s="289" t="s">
        <v>292</v>
      </c>
      <c r="BP21" s="290">
        <v>3823</v>
      </c>
      <c r="BQ21" s="290">
        <v>1541</v>
      </c>
      <c r="BR21" s="290">
        <v>5789</v>
      </c>
      <c r="BS21" s="290">
        <v>63</v>
      </c>
      <c r="BT21" s="290">
        <f t="shared" ref="BT21:BT39" si="21">SUM(BP21:BS21)</f>
        <v>11216</v>
      </c>
      <c r="BU21" s="289">
        <f t="shared" ref="BU21:BU32" si="22">AP21/AV21*100</f>
        <v>109.48183608208713</v>
      </c>
      <c r="BV21" s="289">
        <f t="shared" ref="BV21:BV32" si="23">AV21/BT21</f>
        <v>152.10438748216831</v>
      </c>
      <c r="BW21" s="289">
        <f t="shared" ref="BW21:BW32" si="24">AP21/BT21</f>
        <v>166.52667617689016</v>
      </c>
      <c r="BX21" s="289">
        <f t="shared" ref="BX21:BX38" si="25">(M21+BA21)/AV21*100</f>
        <v>5.7677675396091521</v>
      </c>
      <c r="BY21" s="289">
        <v>4</v>
      </c>
      <c r="BZ21" s="289">
        <v>4.46</v>
      </c>
      <c r="CA21" s="289">
        <v>7.75</v>
      </c>
      <c r="CB21" s="289">
        <f t="shared" ref="CB21:CB36" si="26">CA21-BZ21</f>
        <v>3.29</v>
      </c>
      <c r="CC21" s="289">
        <v>8.02</v>
      </c>
      <c r="CD21" s="289">
        <v>8.18</v>
      </c>
      <c r="CE21" s="289">
        <f t="shared" ref="CE21:CE31" si="27">CD21-CC21</f>
        <v>0.16000000000000014</v>
      </c>
    </row>
    <row r="22" spans="1:83" s="160" customFormat="1" ht="9.9499999999999993" customHeight="1">
      <c r="A22" s="159"/>
      <c r="B22" s="159"/>
      <c r="C22" s="159"/>
      <c r="D22" s="159"/>
      <c r="E22" s="159"/>
      <c r="F22" s="159"/>
      <c r="G22" s="159"/>
      <c r="H22" s="159"/>
      <c r="I22" s="1586" t="s">
        <v>560</v>
      </c>
      <c r="J22" s="455">
        <v>280673.90000000002</v>
      </c>
      <c r="K22" s="455">
        <v>1813.1</v>
      </c>
      <c r="L22" s="455">
        <f t="shared" si="6"/>
        <v>282487</v>
      </c>
      <c r="M22" s="455">
        <v>24130.7</v>
      </c>
      <c r="N22" s="455">
        <f t="shared" si="7"/>
        <v>258356.3</v>
      </c>
      <c r="O22" s="455">
        <v>32520.7</v>
      </c>
      <c r="P22" s="455">
        <v>102396</v>
      </c>
      <c r="Q22" s="455">
        <v>185799.4</v>
      </c>
      <c r="R22" s="455">
        <v>1431876.3</v>
      </c>
      <c r="S22" s="455">
        <f t="shared" si="8"/>
        <v>1617675.7</v>
      </c>
      <c r="T22" s="455">
        <f t="shared" si="9"/>
        <v>1720071.7</v>
      </c>
      <c r="U22" s="455">
        <v>833.1</v>
      </c>
      <c r="V22" s="455">
        <v>351208.6</v>
      </c>
      <c r="W22" s="455">
        <f t="shared" si="10"/>
        <v>444988.79999999993</v>
      </c>
      <c r="X22" s="455">
        <f t="shared" si="11"/>
        <v>1876865.1</v>
      </c>
      <c r="Y22" s="455">
        <v>2264408.7388038971</v>
      </c>
      <c r="Z22" s="247" t="s">
        <v>560</v>
      </c>
      <c r="AA22" s="225">
        <v>0</v>
      </c>
      <c r="AB22" s="455">
        <v>54113.9</v>
      </c>
      <c r="AC22" s="455">
        <v>1425067.5</v>
      </c>
      <c r="AD22" s="455">
        <f t="shared" si="12"/>
        <v>1479181.4</v>
      </c>
      <c r="AE22" s="225">
        <v>0</v>
      </c>
      <c r="AF22" s="455">
        <v>654</v>
      </c>
      <c r="AG22" s="455">
        <v>34733.5</v>
      </c>
      <c r="AH22" s="455">
        <f t="shared" si="13"/>
        <v>35387.5</v>
      </c>
      <c r="AI22" s="465">
        <v>29797.5</v>
      </c>
      <c r="AJ22" s="465">
        <v>343070.6</v>
      </c>
      <c r="AK22" s="465">
        <v>27913.599999999999</v>
      </c>
      <c r="AL22" s="465">
        <f t="shared" si="14"/>
        <v>370984.19999999995</v>
      </c>
      <c r="AM22" s="465">
        <f t="shared" si="15"/>
        <v>29797.5</v>
      </c>
      <c r="AN22" s="465">
        <f t="shared" si="15"/>
        <v>397838.5</v>
      </c>
      <c r="AO22" s="465">
        <f t="shared" si="15"/>
        <v>1487714.6</v>
      </c>
      <c r="AP22" s="465">
        <f t="shared" si="15"/>
        <v>1885553.0999999999</v>
      </c>
      <c r="AQ22" s="247" t="s">
        <v>560</v>
      </c>
      <c r="AR22" s="455">
        <v>10281.299999999999</v>
      </c>
      <c r="AS22" s="455">
        <v>101843.2</v>
      </c>
      <c r="AT22" s="455">
        <v>39769.199999999997</v>
      </c>
      <c r="AU22" s="455">
        <v>240.2</v>
      </c>
      <c r="AV22" s="455">
        <f>1720107.6-10.23</f>
        <v>1720097.37</v>
      </c>
      <c r="AW22" s="455">
        <v>17471.2</v>
      </c>
      <c r="AX22" s="455">
        <f t="shared" si="16"/>
        <v>1737568.57</v>
      </c>
      <c r="AY22" s="455">
        <f t="shared" si="17"/>
        <v>69502.742800000007</v>
      </c>
      <c r="AZ22" s="455">
        <f t="shared" si="18"/>
        <v>-1617.3455000000104</v>
      </c>
      <c r="BA22" s="455">
        <f>67888.5-3.1027</f>
        <v>67885.397299999997</v>
      </c>
      <c r="BB22" s="455">
        <v>4701903.0999999996</v>
      </c>
      <c r="BC22" s="455">
        <f t="shared" si="19"/>
        <v>350372.39730000001</v>
      </c>
      <c r="BD22" s="224">
        <v>6516.1</v>
      </c>
      <c r="BE22" s="455">
        <v>139144.1</v>
      </c>
      <c r="BF22" s="455">
        <v>17537.5</v>
      </c>
      <c r="BG22" s="455">
        <v>338549.7</v>
      </c>
      <c r="BH22" s="455">
        <f t="shared" si="20"/>
        <v>501747.4</v>
      </c>
      <c r="BI22" s="247" t="s">
        <v>560</v>
      </c>
      <c r="BJ22" s="536">
        <v>-1.41</v>
      </c>
      <c r="BK22" s="250">
        <v>0.59</v>
      </c>
      <c r="BL22" s="250">
        <v>7.0000000000000007E-2</v>
      </c>
      <c r="BM22" s="250">
        <v>-0.22</v>
      </c>
      <c r="BN22" s="250">
        <v>-0.55000000000000004</v>
      </c>
      <c r="BO22" s="250" t="s">
        <v>292</v>
      </c>
      <c r="BP22" s="376">
        <v>3824</v>
      </c>
      <c r="BQ22" s="376">
        <v>1541</v>
      </c>
      <c r="BR22" s="376">
        <v>5790</v>
      </c>
      <c r="BS22" s="376">
        <v>63</v>
      </c>
      <c r="BT22" s="376">
        <f t="shared" si="21"/>
        <v>11218</v>
      </c>
      <c r="BU22" s="250">
        <f t="shared" si="22"/>
        <v>109.61897465141755</v>
      </c>
      <c r="BV22" s="250">
        <f t="shared" si="23"/>
        <v>153.33369317168837</v>
      </c>
      <c r="BW22" s="250">
        <f t="shared" si="24"/>
        <v>168.08282224995543</v>
      </c>
      <c r="BX22" s="250">
        <f t="shared" si="25"/>
        <v>5.3494702628375039</v>
      </c>
      <c r="BY22" s="250">
        <v>4</v>
      </c>
      <c r="BZ22" s="250">
        <v>4.5199999999999996</v>
      </c>
      <c r="CA22" s="250">
        <v>7.85</v>
      </c>
      <c r="CB22" s="250">
        <f t="shared" si="26"/>
        <v>3.33</v>
      </c>
      <c r="CC22" s="250">
        <v>8.08</v>
      </c>
      <c r="CD22" s="250">
        <v>11.47</v>
      </c>
      <c r="CE22" s="250">
        <f t="shared" si="27"/>
        <v>3.3900000000000006</v>
      </c>
    </row>
    <row r="23" spans="1:83" s="160" customFormat="1" ht="9.9499999999999993" customHeight="1">
      <c r="A23" s="159"/>
      <c r="B23" s="159"/>
      <c r="C23" s="159"/>
      <c r="D23" s="159"/>
      <c r="E23" s="159"/>
      <c r="F23" s="159"/>
      <c r="G23" s="159"/>
      <c r="H23" s="159"/>
      <c r="I23" s="392" t="s">
        <v>554</v>
      </c>
      <c r="J23" s="450">
        <v>275491.90000000002</v>
      </c>
      <c r="K23" s="450">
        <v>1820.9</v>
      </c>
      <c r="L23" s="450">
        <f t="shared" si="6"/>
        <v>277312.80000000005</v>
      </c>
      <c r="M23" s="450">
        <v>23807.4</v>
      </c>
      <c r="N23" s="450">
        <f t="shared" si="7"/>
        <v>253505.40000000005</v>
      </c>
      <c r="O23" s="450">
        <v>32330.7</v>
      </c>
      <c r="P23" s="450">
        <v>104326.39999999999</v>
      </c>
      <c r="Q23" s="450">
        <v>185910.7</v>
      </c>
      <c r="R23" s="450">
        <v>1437228.5</v>
      </c>
      <c r="S23" s="450">
        <f t="shared" si="8"/>
        <v>1623139.2</v>
      </c>
      <c r="T23" s="450">
        <f t="shared" si="9"/>
        <v>1727465.5999999999</v>
      </c>
      <c r="U23" s="450">
        <v>601.20000000000005</v>
      </c>
      <c r="V23" s="450">
        <v>344233.89999999997</v>
      </c>
      <c r="W23" s="450">
        <f t="shared" si="10"/>
        <v>440017.3000000001</v>
      </c>
      <c r="X23" s="450">
        <f t="shared" si="11"/>
        <v>1877245.8</v>
      </c>
      <c r="Y23" s="450">
        <v>2264332.7573247859</v>
      </c>
      <c r="Z23" s="320" t="s">
        <v>554</v>
      </c>
      <c r="AA23" s="283">
        <v>0</v>
      </c>
      <c r="AB23" s="450">
        <v>55014.5</v>
      </c>
      <c r="AC23" s="450">
        <v>1443572</v>
      </c>
      <c r="AD23" s="450">
        <f t="shared" si="12"/>
        <v>1498586.5</v>
      </c>
      <c r="AE23" s="283">
        <v>0</v>
      </c>
      <c r="AF23" s="450">
        <v>621.6</v>
      </c>
      <c r="AG23" s="450">
        <v>33309.800000000003</v>
      </c>
      <c r="AH23" s="450">
        <f t="shared" si="13"/>
        <v>33931.4</v>
      </c>
      <c r="AI23" s="453">
        <v>29760.2</v>
      </c>
      <c r="AJ23" s="453">
        <v>340684.7</v>
      </c>
      <c r="AK23" s="453">
        <v>28423.5</v>
      </c>
      <c r="AL23" s="453">
        <f t="shared" si="14"/>
        <v>369108.2</v>
      </c>
      <c r="AM23" s="453">
        <f t="shared" si="15"/>
        <v>29760.2</v>
      </c>
      <c r="AN23" s="453">
        <f t="shared" si="15"/>
        <v>396320.8</v>
      </c>
      <c r="AO23" s="453">
        <f t="shared" si="15"/>
        <v>1505305.3</v>
      </c>
      <c r="AP23" s="453">
        <f t="shared" si="15"/>
        <v>1901626.0999999999</v>
      </c>
      <c r="AQ23" s="320" t="s">
        <v>554</v>
      </c>
      <c r="AR23" s="450">
        <v>9867.6</v>
      </c>
      <c r="AS23" s="450">
        <v>108285.8</v>
      </c>
      <c r="AT23" s="450">
        <v>38084.5</v>
      </c>
      <c r="AU23" s="450">
        <v>135.4</v>
      </c>
      <c r="AV23" s="450">
        <f>1727507.3-10.32</f>
        <v>1727496.98</v>
      </c>
      <c r="AW23" s="450">
        <v>17115.099999999999</v>
      </c>
      <c r="AX23" s="450">
        <f t="shared" si="16"/>
        <v>1744612.08</v>
      </c>
      <c r="AY23" s="450">
        <f t="shared" si="17"/>
        <v>69784.483200000002</v>
      </c>
      <c r="AZ23" s="450">
        <f t="shared" si="18"/>
        <v>-3468.0583000000042</v>
      </c>
      <c r="BA23" s="450">
        <f>66319.9-3.4751</f>
        <v>66316.424899999998</v>
      </c>
      <c r="BB23" s="450">
        <v>4750466.0999999996</v>
      </c>
      <c r="BC23" s="450">
        <f t="shared" si="19"/>
        <v>343629.22490000003</v>
      </c>
      <c r="BD23" s="282">
        <v>5992.3</v>
      </c>
      <c r="BE23" s="450">
        <v>131691.70000000001</v>
      </c>
      <c r="BF23" s="450">
        <v>17478.7</v>
      </c>
      <c r="BG23" s="450">
        <v>336174.6</v>
      </c>
      <c r="BH23" s="450">
        <f t="shared" si="20"/>
        <v>491337.3</v>
      </c>
      <c r="BI23" s="320" t="s">
        <v>554</v>
      </c>
      <c r="BJ23" s="440">
        <v>-4.24</v>
      </c>
      <c r="BK23" s="289">
        <v>3.17</v>
      </c>
      <c r="BL23" s="289">
        <v>1.26</v>
      </c>
      <c r="BM23" s="289">
        <v>0.2</v>
      </c>
      <c r="BN23" s="289">
        <v>-0.53</v>
      </c>
      <c r="BO23" s="289" t="s">
        <v>292</v>
      </c>
      <c r="BP23" s="290">
        <v>3824</v>
      </c>
      <c r="BQ23" s="290">
        <v>1541</v>
      </c>
      <c r="BR23" s="290">
        <v>5791</v>
      </c>
      <c r="BS23" s="290">
        <v>63</v>
      </c>
      <c r="BT23" s="290">
        <f t="shared" si="21"/>
        <v>11219</v>
      </c>
      <c r="BU23" s="289">
        <f t="shared" si="22"/>
        <v>110.07985090659898</v>
      </c>
      <c r="BV23" s="289">
        <f t="shared" si="23"/>
        <v>153.97958641590159</v>
      </c>
      <c r="BW23" s="289">
        <f t="shared" si="24"/>
        <v>169.50049915322219</v>
      </c>
      <c r="BX23" s="289">
        <f t="shared" si="25"/>
        <v>5.2170177976230105</v>
      </c>
      <c r="BY23" s="289">
        <v>4</v>
      </c>
      <c r="BZ23" s="289">
        <v>4.5199999999999996</v>
      </c>
      <c r="CA23" s="289">
        <v>7.83</v>
      </c>
      <c r="CB23" s="289">
        <f t="shared" si="26"/>
        <v>3.3100000000000005</v>
      </c>
      <c r="CC23" s="289">
        <v>8.15</v>
      </c>
      <c r="CD23" s="289">
        <v>11.58</v>
      </c>
      <c r="CE23" s="289">
        <f t="shared" si="27"/>
        <v>3.4299999999999997</v>
      </c>
    </row>
    <row r="24" spans="1:83" s="160" customFormat="1" ht="9.9499999999999993" customHeight="1">
      <c r="A24" s="159"/>
      <c r="B24" s="159"/>
      <c r="C24" s="159"/>
      <c r="D24" s="159"/>
      <c r="E24" s="159"/>
      <c r="F24" s="159"/>
      <c r="G24" s="159"/>
      <c r="H24" s="159"/>
      <c r="I24" s="1586" t="s">
        <v>561</v>
      </c>
      <c r="J24" s="455">
        <v>271207.09999999998</v>
      </c>
      <c r="K24" s="455">
        <v>1830.1</v>
      </c>
      <c r="L24" s="455">
        <f t="shared" si="6"/>
        <v>273037.19999999995</v>
      </c>
      <c r="M24" s="455">
        <v>27093.3</v>
      </c>
      <c r="N24" s="455">
        <f t="shared" si="7"/>
        <v>245943.89999999997</v>
      </c>
      <c r="O24" s="455">
        <v>32399.3</v>
      </c>
      <c r="P24" s="455">
        <v>105631.6</v>
      </c>
      <c r="Q24" s="455">
        <v>192478</v>
      </c>
      <c r="R24" s="455">
        <v>1443595.2</v>
      </c>
      <c r="S24" s="455">
        <f t="shared" si="8"/>
        <v>1636073.2</v>
      </c>
      <c r="T24" s="455">
        <f t="shared" si="9"/>
        <v>1741704.8</v>
      </c>
      <c r="U24" s="455">
        <v>519.4</v>
      </c>
      <c r="V24" s="455">
        <v>339958.4</v>
      </c>
      <c r="W24" s="455">
        <f t="shared" si="10"/>
        <v>438941.3</v>
      </c>
      <c r="X24" s="455">
        <f t="shared" si="11"/>
        <v>1882536.5</v>
      </c>
      <c r="Y24" s="455">
        <v>2268941.0356733794</v>
      </c>
      <c r="Z24" s="247" t="s">
        <v>561</v>
      </c>
      <c r="AA24" s="225">
        <v>0</v>
      </c>
      <c r="AB24" s="455">
        <v>55295</v>
      </c>
      <c r="AC24" s="455">
        <v>1464945.1</v>
      </c>
      <c r="AD24" s="455">
        <f t="shared" si="12"/>
        <v>1520240.1</v>
      </c>
      <c r="AE24" s="225">
        <v>0</v>
      </c>
      <c r="AF24" s="455">
        <v>598.79999999999995</v>
      </c>
      <c r="AG24" s="455">
        <v>26218.9</v>
      </c>
      <c r="AH24" s="455">
        <f t="shared" si="13"/>
        <v>26817.7</v>
      </c>
      <c r="AI24" s="465">
        <v>29449.200000000001</v>
      </c>
      <c r="AJ24" s="465">
        <v>341367.3</v>
      </c>
      <c r="AK24" s="465">
        <v>28952.6</v>
      </c>
      <c r="AL24" s="465">
        <f t="shared" si="14"/>
        <v>370319.89999999997</v>
      </c>
      <c r="AM24" s="465">
        <f t="shared" si="15"/>
        <v>29449.200000000001</v>
      </c>
      <c r="AN24" s="465">
        <f t="shared" si="15"/>
        <v>397261.1</v>
      </c>
      <c r="AO24" s="465">
        <f t="shared" si="15"/>
        <v>1520116.6</v>
      </c>
      <c r="AP24" s="465">
        <f t="shared" si="15"/>
        <v>1917377.7</v>
      </c>
      <c r="AQ24" s="247" t="s">
        <v>561</v>
      </c>
      <c r="AR24" s="455">
        <v>10425.5</v>
      </c>
      <c r="AS24" s="455">
        <v>112420.3</v>
      </c>
      <c r="AT24" s="455">
        <v>36511.199999999997</v>
      </c>
      <c r="AU24" s="455">
        <v>209.2</v>
      </c>
      <c r="AV24" s="455">
        <f>1741742.7-10.32</f>
        <v>1741732.38</v>
      </c>
      <c r="AW24" s="455">
        <v>17248.099999999999</v>
      </c>
      <c r="AX24" s="455">
        <f t="shared" si="16"/>
        <v>1758980.48</v>
      </c>
      <c r="AY24" s="455">
        <f t="shared" si="17"/>
        <v>70359.219200000007</v>
      </c>
      <c r="AZ24" s="455">
        <f t="shared" si="18"/>
        <v>-3959.096000000005</v>
      </c>
      <c r="BA24" s="455">
        <f>66401.8-1.6768</f>
        <v>66400.123200000002</v>
      </c>
      <c r="BB24" s="455">
        <v>4810087.5999999996</v>
      </c>
      <c r="BC24" s="455">
        <f t="shared" si="19"/>
        <v>339437.32319999998</v>
      </c>
      <c r="BD24" s="224">
        <v>8528.7000000000007</v>
      </c>
      <c r="BE24" s="455">
        <v>118004.1</v>
      </c>
      <c r="BF24" s="455">
        <v>17537.900000000001</v>
      </c>
      <c r="BG24" s="455">
        <v>336860.2</v>
      </c>
      <c r="BH24" s="455">
        <f t="shared" si="20"/>
        <v>480930.90000000008</v>
      </c>
      <c r="BI24" s="247" t="s">
        <v>561</v>
      </c>
      <c r="BJ24" s="536">
        <v>-4.91</v>
      </c>
      <c r="BK24" s="250">
        <v>3.61</v>
      </c>
      <c r="BL24" s="250">
        <v>2.35</v>
      </c>
      <c r="BM24" s="250">
        <v>0.92</v>
      </c>
      <c r="BN24" s="250">
        <v>-0.25</v>
      </c>
      <c r="BO24" s="250" t="s">
        <v>292</v>
      </c>
      <c r="BP24" s="376">
        <v>3824</v>
      </c>
      <c r="BQ24" s="376">
        <v>1541</v>
      </c>
      <c r="BR24" s="376">
        <v>5794</v>
      </c>
      <c r="BS24" s="376">
        <v>63</v>
      </c>
      <c r="BT24" s="376">
        <f t="shared" si="21"/>
        <v>11222</v>
      </c>
      <c r="BU24" s="250">
        <f t="shared" si="22"/>
        <v>110.08451826565917</v>
      </c>
      <c r="BV24" s="250">
        <f t="shared" si="23"/>
        <v>155.20694885047229</v>
      </c>
      <c r="BW24" s="250">
        <f t="shared" si="24"/>
        <v>170.85882195687043</v>
      </c>
      <c r="BX24" s="250">
        <f t="shared" si="25"/>
        <v>5.3678409079126164</v>
      </c>
      <c r="BY24" s="250">
        <v>4</v>
      </c>
      <c r="BZ24" s="250">
        <v>4.55</v>
      </c>
      <c r="CA24" s="250">
        <v>7.89</v>
      </c>
      <c r="CB24" s="250">
        <f t="shared" si="26"/>
        <v>3.34</v>
      </c>
      <c r="CC24" s="250">
        <v>8.2100000000000009</v>
      </c>
      <c r="CD24" s="250">
        <v>11.6</v>
      </c>
      <c r="CE24" s="250">
        <f t="shared" si="27"/>
        <v>3.3899999999999988</v>
      </c>
    </row>
    <row r="25" spans="1:83" s="160" customFormat="1" ht="9.9499999999999993" customHeight="1">
      <c r="A25" s="159"/>
      <c r="B25" s="2007" t="s">
        <v>2791</v>
      </c>
      <c r="C25" s="2007"/>
      <c r="D25" s="2007"/>
      <c r="E25" s="2007"/>
      <c r="F25" s="2007"/>
      <c r="G25" s="159"/>
      <c r="H25" s="159"/>
      <c r="I25" s="392" t="s">
        <v>562</v>
      </c>
      <c r="J25" s="450">
        <v>272673.3</v>
      </c>
      <c r="K25" s="450">
        <v>1837.9</v>
      </c>
      <c r="L25" s="450">
        <f t="shared" si="6"/>
        <v>274511.2</v>
      </c>
      <c r="M25" s="450">
        <v>26069.5</v>
      </c>
      <c r="N25" s="450">
        <f t="shared" si="7"/>
        <v>248441.7</v>
      </c>
      <c r="O25" s="450">
        <v>31132.7</v>
      </c>
      <c r="P25" s="450">
        <v>103304.3</v>
      </c>
      <c r="Q25" s="450">
        <v>189802.5</v>
      </c>
      <c r="R25" s="450">
        <v>1450684</v>
      </c>
      <c r="S25" s="450">
        <f t="shared" si="8"/>
        <v>1640486.5</v>
      </c>
      <c r="T25" s="450">
        <f t="shared" si="9"/>
        <v>1743790.8</v>
      </c>
      <c r="U25" s="450">
        <v>494.9</v>
      </c>
      <c r="V25" s="450">
        <v>340370.2</v>
      </c>
      <c r="W25" s="450">
        <f t="shared" si="10"/>
        <v>438739.10000000003</v>
      </c>
      <c r="X25" s="450">
        <f t="shared" si="11"/>
        <v>1889423.1</v>
      </c>
      <c r="Y25" s="450">
        <v>2275869.5707889721</v>
      </c>
      <c r="Z25" s="320" t="s">
        <v>562</v>
      </c>
      <c r="AA25" s="283">
        <v>0</v>
      </c>
      <c r="AB25" s="450">
        <v>56092.2</v>
      </c>
      <c r="AC25" s="450">
        <v>1480303.8</v>
      </c>
      <c r="AD25" s="450">
        <f t="shared" si="12"/>
        <v>1536396</v>
      </c>
      <c r="AE25" s="283">
        <v>0</v>
      </c>
      <c r="AF25" s="450">
        <v>584.79999999999995</v>
      </c>
      <c r="AG25" s="450">
        <v>27640.400000000001</v>
      </c>
      <c r="AH25" s="450">
        <f t="shared" si="13"/>
        <v>28225.200000000001</v>
      </c>
      <c r="AI25" s="453">
        <v>29263.1</v>
      </c>
      <c r="AJ25" s="453">
        <v>330892.09999999998</v>
      </c>
      <c r="AK25" s="453">
        <v>28793.9</v>
      </c>
      <c r="AL25" s="453">
        <f t="shared" si="14"/>
        <v>359686</v>
      </c>
      <c r="AM25" s="453">
        <f t="shared" si="15"/>
        <v>29263.1</v>
      </c>
      <c r="AN25" s="453">
        <f t="shared" si="15"/>
        <v>387569.1</v>
      </c>
      <c r="AO25" s="453">
        <f t="shared" si="15"/>
        <v>1536738.0999999999</v>
      </c>
      <c r="AP25" s="453">
        <f t="shared" si="15"/>
        <v>1924307.2</v>
      </c>
      <c r="AQ25" s="320" t="s">
        <v>562</v>
      </c>
      <c r="AR25" s="450">
        <v>11321.8</v>
      </c>
      <c r="AS25" s="450">
        <v>109362.1</v>
      </c>
      <c r="AT25" s="450">
        <v>37855.199999999997</v>
      </c>
      <c r="AU25" s="450">
        <v>186.9</v>
      </c>
      <c r="AV25" s="450">
        <f>1743825-10.2</f>
        <v>1743814.8</v>
      </c>
      <c r="AW25" s="450">
        <v>19593.2</v>
      </c>
      <c r="AX25" s="450">
        <f t="shared" si="16"/>
        <v>1763408</v>
      </c>
      <c r="AY25" s="450">
        <f t="shared" si="17"/>
        <v>70536.320000000007</v>
      </c>
      <c r="AZ25" s="450">
        <f t="shared" si="18"/>
        <v>-5173.8074000000051</v>
      </c>
      <c r="BA25" s="450">
        <f>65364.1-1.5874</f>
        <v>65362.512600000002</v>
      </c>
      <c r="BB25" s="450">
        <v>4865130.9000000004</v>
      </c>
      <c r="BC25" s="450">
        <f t="shared" si="19"/>
        <v>339873.71260000003</v>
      </c>
      <c r="BD25" s="282">
        <v>19376</v>
      </c>
      <c r="BE25" s="450">
        <v>112034.5</v>
      </c>
      <c r="BF25" s="450">
        <v>17414.099999999999</v>
      </c>
      <c r="BG25" s="450">
        <v>326435.7</v>
      </c>
      <c r="BH25" s="450">
        <f t="shared" si="20"/>
        <v>475260.3</v>
      </c>
      <c r="BI25" s="320" t="s">
        <v>562</v>
      </c>
      <c r="BJ25" s="440">
        <v>-6.03</v>
      </c>
      <c r="BK25" s="289">
        <v>5.53</v>
      </c>
      <c r="BL25" s="289">
        <v>3.46</v>
      </c>
      <c r="BM25" s="289">
        <v>1.6</v>
      </c>
      <c r="BN25" s="289">
        <v>0.12</v>
      </c>
      <c r="BO25" s="289" t="s">
        <v>292</v>
      </c>
      <c r="BP25" s="290">
        <v>3824</v>
      </c>
      <c r="BQ25" s="290">
        <v>1541</v>
      </c>
      <c r="BR25" s="290">
        <v>5796</v>
      </c>
      <c r="BS25" s="290">
        <v>63</v>
      </c>
      <c r="BT25" s="290">
        <f t="shared" si="21"/>
        <v>11224</v>
      </c>
      <c r="BU25" s="289">
        <f t="shared" si="22"/>
        <v>110.3504340025099</v>
      </c>
      <c r="BV25" s="289">
        <f t="shared" si="23"/>
        <v>155.36482537419815</v>
      </c>
      <c r="BW25" s="289">
        <f t="shared" si="24"/>
        <v>171.44575908766927</v>
      </c>
      <c r="BX25" s="289">
        <f t="shared" si="25"/>
        <v>5.2432180642118649</v>
      </c>
      <c r="BY25" s="289">
        <v>4</v>
      </c>
      <c r="BZ25" s="289">
        <v>4.6399999999999997</v>
      </c>
      <c r="CA25" s="289">
        <v>7.99</v>
      </c>
      <c r="CB25" s="289">
        <f t="shared" si="26"/>
        <v>3.3500000000000005</v>
      </c>
      <c r="CC25" s="289">
        <v>8.34</v>
      </c>
      <c r="CD25" s="289">
        <v>11.65</v>
      </c>
      <c r="CE25" s="289">
        <f t="shared" si="27"/>
        <v>3.3100000000000005</v>
      </c>
    </row>
    <row r="26" spans="1:83" s="160" customFormat="1" ht="9.9499999999999993" customHeight="1">
      <c r="A26" s="159"/>
      <c r="B26" s="2007"/>
      <c r="C26" s="2007"/>
      <c r="D26" s="2007"/>
      <c r="E26" s="2007"/>
      <c r="F26" s="2007"/>
      <c r="G26" s="159"/>
      <c r="H26" s="159"/>
      <c r="I26" s="1586" t="s">
        <v>555</v>
      </c>
      <c r="J26" s="455">
        <v>277805.09999999998</v>
      </c>
      <c r="K26" s="455">
        <v>1845.2</v>
      </c>
      <c r="L26" s="455">
        <f t="shared" si="6"/>
        <v>279650.3</v>
      </c>
      <c r="M26" s="455">
        <v>24790.1</v>
      </c>
      <c r="N26" s="455">
        <f t="shared" si="7"/>
        <v>254860.19999999998</v>
      </c>
      <c r="O26" s="455">
        <v>33188.699999999997</v>
      </c>
      <c r="P26" s="455">
        <v>106330.8</v>
      </c>
      <c r="Q26" s="455">
        <v>196325.1</v>
      </c>
      <c r="R26" s="455">
        <v>1457419.6</v>
      </c>
      <c r="S26" s="455">
        <f t="shared" si="8"/>
        <v>1653744.7000000002</v>
      </c>
      <c r="T26" s="455">
        <f t="shared" si="9"/>
        <v>1760075.5000000002</v>
      </c>
      <c r="U26" s="455">
        <v>542.9</v>
      </c>
      <c r="V26" s="455">
        <v>372315.6</v>
      </c>
      <c r="W26" s="455">
        <f t="shared" si="10"/>
        <v>451728.2</v>
      </c>
      <c r="X26" s="455">
        <f t="shared" si="11"/>
        <v>1909147.8</v>
      </c>
      <c r="Y26" s="455">
        <v>2294308.5875018351</v>
      </c>
      <c r="Z26" s="247" t="s">
        <v>555</v>
      </c>
      <c r="AA26" s="225">
        <v>0</v>
      </c>
      <c r="AB26" s="455">
        <v>58498.400000000001</v>
      </c>
      <c r="AC26" s="455">
        <v>1503198.2</v>
      </c>
      <c r="AD26" s="455">
        <f t="shared" si="12"/>
        <v>1561696.5999999999</v>
      </c>
      <c r="AE26" s="225">
        <v>0</v>
      </c>
      <c r="AF26" s="455">
        <v>566.79999999999995</v>
      </c>
      <c r="AG26" s="455">
        <v>30292.3</v>
      </c>
      <c r="AH26" s="455">
        <f t="shared" si="13"/>
        <v>30859.1</v>
      </c>
      <c r="AI26" s="465">
        <v>28238.6</v>
      </c>
      <c r="AJ26" s="465">
        <v>327304.8</v>
      </c>
      <c r="AK26" s="465">
        <v>28789.4</v>
      </c>
      <c r="AL26" s="465">
        <f t="shared" si="14"/>
        <v>356094.2</v>
      </c>
      <c r="AM26" s="465">
        <f t="shared" si="15"/>
        <v>28238.6</v>
      </c>
      <c r="AN26" s="465">
        <f t="shared" si="15"/>
        <v>386370</v>
      </c>
      <c r="AO26" s="465">
        <f t="shared" si="15"/>
        <v>1562279.9</v>
      </c>
      <c r="AP26" s="465">
        <f t="shared" si="15"/>
        <v>1948649.9</v>
      </c>
      <c r="AQ26" s="247" t="s">
        <v>555</v>
      </c>
      <c r="AR26" s="455">
        <v>12904.3</v>
      </c>
      <c r="AS26" s="455">
        <v>129649.60000000001</v>
      </c>
      <c r="AT26" s="455">
        <v>36771.800000000003</v>
      </c>
      <c r="AU26" s="455">
        <v>167.2</v>
      </c>
      <c r="AV26" s="455">
        <f>1760109.9-10.18</f>
        <v>1760099.72</v>
      </c>
      <c r="AW26" s="455">
        <v>18604.3</v>
      </c>
      <c r="AX26" s="455">
        <f t="shared" si="16"/>
        <v>1778704.02</v>
      </c>
      <c r="AY26" s="455">
        <f t="shared" si="17"/>
        <v>71148.160799999998</v>
      </c>
      <c r="AZ26" s="455">
        <f t="shared" si="18"/>
        <v>20973.362800000003</v>
      </c>
      <c r="BA26" s="455">
        <f>92122.4-0.8764</f>
        <v>92121.5236</v>
      </c>
      <c r="BB26" s="455">
        <v>4635167.9000000004</v>
      </c>
      <c r="BC26" s="455">
        <f t="shared" si="19"/>
        <v>371771.8236</v>
      </c>
      <c r="BD26" s="224">
        <v>20149.8</v>
      </c>
      <c r="BE26" s="455">
        <v>105347.5</v>
      </c>
      <c r="BF26" s="455">
        <v>18706.7</v>
      </c>
      <c r="BG26" s="455">
        <v>322971.5</v>
      </c>
      <c r="BH26" s="455">
        <f t="shared" si="20"/>
        <v>467175.5</v>
      </c>
      <c r="BI26" s="247" t="s">
        <v>555</v>
      </c>
      <c r="BJ26" s="536">
        <v>-9.2100000000000009</v>
      </c>
      <c r="BK26" s="250">
        <v>8.26</v>
      </c>
      <c r="BL26" s="250">
        <v>5.1100000000000003</v>
      </c>
      <c r="BM26" s="250">
        <v>2.31</v>
      </c>
      <c r="BN26" s="250">
        <v>1.1599999999999999</v>
      </c>
      <c r="BO26" s="250" t="s">
        <v>292</v>
      </c>
      <c r="BP26" s="376">
        <v>3834</v>
      </c>
      <c r="BQ26" s="376">
        <v>1541</v>
      </c>
      <c r="BR26" s="376">
        <v>5845</v>
      </c>
      <c r="BS26" s="376">
        <v>63</v>
      </c>
      <c r="BT26" s="376">
        <f t="shared" si="21"/>
        <v>11283</v>
      </c>
      <c r="BU26" s="250">
        <f t="shared" si="22"/>
        <v>110.71247145019716</v>
      </c>
      <c r="BV26" s="250">
        <f t="shared" si="23"/>
        <v>155.99572099618896</v>
      </c>
      <c r="BW26" s="250">
        <f t="shared" si="24"/>
        <v>172.70671807143489</v>
      </c>
      <c r="BX26" s="250">
        <f t="shared" si="25"/>
        <v>6.6423295380104941</v>
      </c>
      <c r="BY26" s="250">
        <v>4</v>
      </c>
      <c r="BZ26" s="250">
        <v>4.7</v>
      </c>
      <c r="CA26" s="250">
        <v>9.36</v>
      </c>
      <c r="CB26" s="250">
        <f>CA26-BZ26</f>
        <v>4.6599999999999993</v>
      </c>
      <c r="CC26" s="250">
        <v>8.4499999999999993</v>
      </c>
      <c r="CD26" s="250">
        <v>11.68</v>
      </c>
      <c r="CE26" s="250">
        <f t="shared" si="27"/>
        <v>3.2300000000000004</v>
      </c>
    </row>
    <row r="27" spans="1:83" s="160" customFormat="1" ht="9.9499999999999993" customHeight="1">
      <c r="A27" s="159"/>
      <c r="B27" s="159"/>
      <c r="C27" s="159"/>
      <c r="D27" s="159"/>
      <c r="E27" s="159"/>
      <c r="F27" s="159"/>
      <c r="G27" s="159"/>
      <c r="H27" s="159"/>
      <c r="I27" s="392" t="s">
        <v>563</v>
      </c>
      <c r="J27" s="450">
        <v>280636.5</v>
      </c>
      <c r="K27" s="450">
        <v>1853.6</v>
      </c>
      <c r="L27" s="450">
        <f t="shared" si="6"/>
        <v>282490.09999999998</v>
      </c>
      <c r="M27" s="450">
        <v>25194.799999999999</v>
      </c>
      <c r="N27" s="450">
        <f t="shared" si="7"/>
        <v>257295.3</v>
      </c>
      <c r="O27" s="450">
        <v>30245.599999999999</v>
      </c>
      <c r="P27" s="450">
        <v>103949.5</v>
      </c>
      <c r="Q27" s="450">
        <v>185736.1</v>
      </c>
      <c r="R27" s="450">
        <v>1459311.4</v>
      </c>
      <c r="S27" s="450">
        <f t="shared" si="8"/>
        <v>1645047.5</v>
      </c>
      <c r="T27" s="450">
        <f t="shared" si="9"/>
        <v>1748997</v>
      </c>
      <c r="U27" s="450">
        <v>537.5</v>
      </c>
      <c r="V27" s="450">
        <v>347365.69999999995</v>
      </c>
      <c r="W27" s="450">
        <f t="shared" si="10"/>
        <v>443568.9</v>
      </c>
      <c r="X27" s="450">
        <f t="shared" si="11"/>
        <v>1902880.2999999998</v>
      </c>
      <c r="Y27" s="450">
        <v>2287451.5803781524</v>
      </c>
      <c r="Z27" s="320" t="s">
        <v>563</v>
      </c>
      <c r="AA27" s="283">
        <v>0</v>
      </c>
      <c r="AB27" s="450">
        <v>55828.5</v>
      </c>
      <c r="AC27" s="450">
        <v>1500025.9</v>
      </c>
      <c r="AD27" s="450">
        <f t="shared" si="12"/>
        <v>1555854.4</v>
      </c>
      <c r="AE27" s="283">
        <v>0</v>
      </c>
      <c r="AF27" s="450">
        <v>558</v>
      </c>
      <c r="AG27" s="450">
        <v>30946</v>
      </c>
      <c r="AH27" s="450">
        <f t="shared" si="13"/>
        <v>31504</v>
      </c>
      <c r="AI27" s="453">
        <v>27919.599999999999</v>
      </c>
      <c r="AJ27" s="453">
        <v>343558.2</v>
      </c>
      <c r="AK27" s="453">
        <v>28663</v>
      </c>
      <c r="AL27" s="453">
        <f t="shared" si="14"/>
        <v>372221.2</v>
      </c>
      <c r="AM27" s="453">
        <f t="shared" si="15"/>
        <v>27919.599999999999</v>
      </c>
      <c r="AN27" s="453">
        <f t="shared" si="15"/>
        <v>399944.7</v>
      </c>
      <c r="AO27" s="453">
        <f t="shared" si="15"/>
        <v>1559634.9</v>
      </c>
      <c r="AP27" s="453">
        <f t="shared" si="15"/>
        <v>1959579.5999999999</v>
      </c>
      <c r="AQ27" s="320" t="s">
        <v>563</v>
      </c>
      <c r="AR27" s="450">
        <v>13141.7</v>
      </c>
      <c r="AS27" s="450">
        <v>123514.6</v>
      </c>
      <c r="AT27" s="450">
        <v>36968.5</v>
      </c>
      <c r="AU27" s="450">
        <v>582</v>
      </c>
      <c r="AV27" s="450">
        <f>1749031.8-12.08</f>
        <v>1749019.72</v>
      </c>
      <c r="AW27" s="450">
        <v>16784.5</v>
      </c>
      <c r="AX27" s="450">
        <f t="shared" si="16"/>
        <v>1765804.22</v>
      </c>
      <c r="AY27" s="450">
        <f t="shared" si="17"/>
        <v>70632.168799999999</v>
      </c>
      <c r="AZ27" s="450">
        <f t="shared" si="18"/>
        <v>-6296.6644000000015</v>
      </c>
      <c r="BA27" s="450">
        <f>64338.1-2.5956</f>
        <v>64335.504399999998</v>
      </c>
      <c r="BB27" s="450">
        <v>4646261.9000000004</v>
      </c>
      <c r="BC27" s="450">
        <f t="shared" si="19"/>
        <v>346825.60439999995</v>
      </c>
      <c r="BD27" s="282">
        <v>21184.3</v>
      </c>
      <c r="BE27" s="450">
        <v>103203.8</v>
      </c>
      <c r="BF27" s="450">
        <v>16928.2</v>
      </c>
      <c r="BG27" s="450">
        <v>339448.5</v>
      </c>
      <c r="BH27" s="450">
        <f t="shared" si="20"/>
        <v>480764.8</v>
      </c>
      <c r="BI27" s="320" t="s">
        <v>563</v>
      </c>
      <c r="BJ27" s="440">
        <v>-5.0599999999999996</v>
      </c>
      <c r="BK27" s="289">
        <v>5.71</v>
      </c>
      <c r="BL27" s="289">
        <v>4.93</v>
      </c>
      <c r="BM27" s="289">
        <v>2.94</v>
      </c>
      <c r="BN27" s="289">
        <v>0.83</v>
      </c>
      <c r="BO27" s="289" t="s">
        <v>292</v>
      </c>
      <c r="BP27" s="290">
        <v>3835</v>
      </c>
      <c r="BQ27" s="290">
        <v>1541</v>
      </c>
      <c r="BR27" s="290">
        <v>5845</v>
      </c>
      <c r="BS27" s="290">
        <v>63</v>
      </c>
      <c r="BT27" s="290">
        <f t="shared" si="21"/>
        <v>11284</v>
      </c>
      <c r="BU27" s="289">
        <f t="shared" si="22"/>
        <v>112.03873676164153</v>
      </c>
      <c r="BV27" s="289">
        <f t="shared" si="23"/>
        <v>154.99997518610422</v>
      </c>
      <c r="BW27" s="289">
        <f t="shared" si="24"/>
        <v>173.660014179369</v>
      </c>
      <c r="BX27" s="289">
        <f t="shared" si="25"/>
        <v>5.1188847887890017</v>
      </c>
      <c r="BY27" s="289">
        <v>4</v>
      </c>
      <c r="BZ27" s="289">
        <v>4.92</v>
      </c>
      <c r="CA27" s="289">
        <v>9.75</v>
      </c>
      <c r="CB27" s="289">
        <f t="shared" si="26"/>
        <v>4.83</v>
      </c>
      <c r="CC27" s="289">
        <v>8.65</v>
      </c>
      <c r="CD27" s="289">
        <v>11.77</v>
      </c>
      <c r="CE27" s="289">
        <f t="shared" si="27"/>
        <v>3.1199999999999992</v>
      </c>
    </row>
    <row r="28" spans="1:83" s="160" customFormat="1" ht="9.9499999999999993" customHeight="1">
      <c r="A28" s="159"/>
      <c r="B28" s="159"/>
      <c r="C28" s="159"/>
      <c r="D28" s="159"/>
      <c r="E28" s="159"/>
      <c r="F28" s="159"/>
      <c r="G28" s="159"/>
      <c r="H28" s="159"/>
      <c r="I28" s="1586" t="s">
        <v>564</v>
      </c>
      <c r="J28" s="455">
        <v>282559.59999999998</v>
      </c>
      <c r="K28" s="455">
        <v>1861.3</v>
      </c>
      <c r="L28" s="455">
        <f t="shared" si="6"/>
        <v>284420.89999999997</v>
      </c>
      <c r="M28" s="455">
        <v>26846.400000000001</v>
      </c>
      <c r="N28" s="455">
        <f t="shared" si="7"/>
        <v>257574.49999999997</v>
      </c>
      <c r="O28" s="455">
        <v>31185.599999999999</v>
      </c>
      <c r="P28" s="455">
        <v>104320.5</v>
      </c>
      <c r="Q28" s="455">
        <v>190167.7</v>
      </c>
      <c r="R28" s="455">
        <v>1471481.6</v>
      </c>
      <c r="S28" s="455">
        <f t="shared" si="8"/>
        <v>1661649.3</v>
      </c>
      <c r="T28" s="455">
        <f t="shared" si="9"/>
        <v>1765969.8</v>
      </c>
      <c r="U28" s="455">
        <v>581.79999999999995</v>
      </c>
      <c r="V28" s="455">
        <v>352858.3</v>
      </c>
      <c r="W28" s="455">
        <f t="shared" si="10"/>
        <v>448323.99999999994</v>
      </c>
      <c r="X28" s="455">
        <f t="shared" si="11"/>
        <v>1919805.6</v>
      </c>
      <c r="Y28" s="455">
        <v>2303106.3518035202</v>
      </c>
      <c r="Z28" s="247" t="s">
        <v>564</v>
      </c>
      <c r="AA28" s="225">
        <v>0</v>
      </c>
      <c r="AB28" s="455">
        <v>55807.7</v>
      </c>
      <c r="AC28" s="455">
        <v>1507467.7</v>
      </c>
      <c r="AD28" s="455">
        <f t="shared" si="12"/>
        <v>1563275.4</v>
      </c>
      <c r="AE28" s="225">
        <v>0</v>
      </c>
      <c r="AF28" s="455">
        <v>535.29999999999995</v>
      </c>
      <c r="AG28" s="455">
        <v>32203.7</v>
      </c>
      <c r="AH28" s="455">
        <f t="shared" si="13"/>
        <v>32739</v>
      </c>
      <c r="AI28" s="465">
        <v>27808.3</v>
      </c>
      <c r="AJ28" s="465">
        <v>358363.4</v>
      </c>
      <c r="AK28" s="465">
        <v>28819.8</v>
      </c>
      <c r="AL28" s="465">
        <f t="shared" si="14"/>
        <v>387183.2</v>
      </c>
      <c r="AM28" s="465">
        <f t="shared" si="15"/>
        <v>27808.3</v>
      </c>
      <c r="AN28" s="465">
        <f t="shared" si="15"/>
        <v>414706.4</v>
      </c>
      <c r="AO28" s="465">
        <f t="shared" si="15"/>
        <v>1568491.2</v>
      </c>
      <c r="AP28" s="465">
        <f t="shared" si="15"/>
        <v>1983197.5999999999</v>
      </c>
      <c r="AQ28" s="247" t="s">
        <v>564</v>
      </c>
      <c r="AR28" s="455">
        <v>13189.5</v>
      </c>
      <c r="AS28" s="455">
        <v>131770.70000000001</v>
      </c>
      <c r="AT28" s="455">
        <v>36115.4</v>
      </c>
      <c r="AU28" s="455">
        <v>888.3</v>
      </c>
      <c r="AV28" s="455">
        <f>1766004.3-8.96</f>
        <v>1765995.34</v>
      </c>
      <c r="AW28" s="455">
        <v>16674.900000000001</v>
      </c>
      <c r="AX28" s="455">
        <f t="shared" si="16"/>
        <v>1782670.24</v>
      </c>
      <c r="AY28" s="455">
        <f t="shared" si="17"/>
        <v>71306.809600000008</v>
      </c>
      <c r="AZ28" s="455">
        <f t="shared" si="18"/>
        <v>-3452.4795000000013</v>
      </c>
      <c r="BA28" s="455">
        <f>67855.6-1.2699</f>
        <v>67854.330100000006</v>
      </c>
      <c r="BB28" s="455">
        <v>4726438.0999999996</v>
      </c>
      <c r="BC28" s="455">
        <f t="shared" si="19"/>
        <v>352275.23009999999</v>
      </c>
      <c r="BD28" s="224">
        <v>20425.599999999999</v>
      </c>
      <c r="BE28" s="455">
        <v>101665</v>
      </c>
      <c r="BF28" s="455">
        <v>16955.900000000001</v>
      </c>
      <c r="BG28" s="455">
        <v>354263</v>
      </c>
      <c r="BH28" s="455">
        <f t="shared" si="20"/>
        <v>493309.5</v>
      </c>
      <c r="BI28" s="247" t="s">
        <v>564</v>
      </c>
      <c r="BJ28" s="536">
        <v>-2.0299999999999998</v>
      </c>
      <c r="BK28" s="250">
        <v>5.55</v>
      </c>
      <c r="BL28" s="250">
        <v>5.53</v>
      </c>
      <c r="BM28" s="250">
        <v>4.01</v>
      </c>
      <c r="BN28" s="250">
        <v>1.73</v>
      </c>
      <c r="BO28" s="250" t="s">
        <v>292</v>
      </c>
      <c r="BP28" s="376">
        <v>3835</v>
      </c>
      <c r="BQ28" s="376">
        <v>1541</v>
      </c>
      <c r="BR28" s="376">
        <v>5849</v>
      </c>
      <c r="BS28" s="376">
        <v>63</v>
      </c>
      <c r="BT28" s="376">
        <f t="shared" si="21"/>
        <v>11288</v>
      </c>
      <c r="BU28" s="250">
        <f t="shared" si="22"/>
        <v>112.29914117440423</v>
      </c>
      <c r="BV28" s="250">
        <f t="shared" si="23"/>
        <v>156.44891389085757</v>
      </c>
      <c r="BW28" s="250">
        <f t="shared" si="24"/>
        <v>175.6907866761162</v>
      </c>
      <c r="BX28" s="250">
        <f t="shared" si="25"/>
        <v>5.362456398101255</v>
      </c>
      <c r="BY28" s="250">
        <v>4</v>
      </c>
      <c r="BZ28" s="250">
        <v>5.01</v>
      </c>
      <c r="CA28" s="250">
        <v>10.050000000000001</v>
      </c>
      <c r="CB28" s="250">
        <f t="shared" si="26"/>
        <v>5.0400000000000009</v>
      </c>
      <c r="CC28" s="250">
        <v>8.9600000000000009</v>
      </c>
      <c r="CD28" s="250">
        <v>12.02</v>
      </c>
      <c r="CE28" s="250">
        <f t="shared" si="27"/>
        <v>3.0599999999999987</v>
      </c>
    </row>
    <row r="29" spans="1:83" s="160" customFormat="1" ht="9.9499999999999993" customHeight="1">
      <c r="A29" s="159"/>
      <c r="B29" s="159"/>
      <c r="C29" s="159"/>
      <c r="D29" s="159"/>
      <c r="E29" s="159"/>
      <c r="F29" s="159"/>
      <c r="G29" s="159"/>
      <c r="H29" s="159"/>
      <c r="I29" s="392" t="s">
        <v>556</v>
      </c>
      <c r="J29" s="450">
        <v>289310.8</v>
      </c>
      <c r="K29" s="450">
        <v>1878.5</v>
      </c>
      <c r="L29" s="450">
        <f t="shared" si="6"/>
        <v>291189.3</v>
      </c>
      <c r="M29" s="450">
        <v>29994</v>
      </c>
      <c r="N29" s="450">
        <f t="shared" si="7"/>
        <v>261195.3</v>
      </c>
      <c r="O29" s="450">
        <v>31367.5</v>
      </c>
      <c r="P29" s="450">
        <v>104450.6</v>
      </c>
      <c r="Q29" s="450">
        <v>193626.1</v>
      </c>
      <c r="R29" s="450">
        <v>1481866.8</v>
      </c>
      <c r="S29" s="450">
        <f t="shared" si="8"/>
        <v>1675492.9000000001</v>
      </c>
      <c r="T29" s="450">
        <f t="shared" si="9"/>
        <v>1779943.5000000002</v>
      </c>
      <c r="U29" s="450">
        <v>553.70000000000005</v>
      </c>
      <c r="V29" s="450">
        <v>356789.2</v>
      </c>
      <c r="W29" s="450">
        <f t="shared" si="10"/>
        <v>455375.10000000003</v>
      </c>
      <c r="X29" s="450">
        <f t="shared" si="11"/>
        <v>1937241.9000000001</v>
      </c>
      <c r="Y29" s="450">
        <v>2319243.1104903002</v>
      </c>
      <c r="Z29" s="320" t="s">
        <v>556</v>
      </c>
      <c r="AA29" s="283">
        <v>0</v>
      </c>
      <c r="AB29" s="450">
        <v>56313.3</v>
      </c>
      <c r="AC29" s="450">
        <v>1527467.1</v>
      </c>
      <c r="AD29" s="450">
        <f t="shared" si="12"/>
        <v>1583780.4000000001</v>
      </c>
      <c r="AE29" s="283">
        <v>0</v>
      </c>
      <c r="AF29" s="450">
        <v>525.79999999999995</v>
      </c>
      <c r="AG29" s="450">
        <v>33867.1</v>
      </c>
      <c r="AH29" s="450">
        <f t="shared" si="13"/>
        <v>34392.9</v>
      </c>
      <c r="AI29" s="453">
        <v>27816</v>
      </c>
      <c r="AJ29" s="453">
        <v>364214.6</v>
      </c>
      <c r="AK29" s="453">
        <v>28665.8</v>
      </c>
      <c r="AL29" s="453">
        <f t="shared" si="14"/>
        <v>392880.39999999997</v>
      </c>
      <c r="AM29" s="453">
        <f t="shared" si="15"/>
        <v>27816</v>
      </c>
      <c r="AN29" s="453">
        <f t="shared" si="15"/>
        <v>421053.69999999995</v>
      </c>
      <c r="AO29" s="453">
        <f t="shared" si="15"/>
        <v>1590000.0000000002</v>
      </c>
      <c r="AP29" s="453">
        <f t="shared" si="15"/>
        <v>2011053.7</v>
      </c>
      <c r="AQ29" s="320" t="s">
        <v>556</v>
      </c>
      <c r="AR29" s="450">
        <v>13251.9</v>
      </c>
      <c r="AS29" s="450">
        <v>135771.9</v>
      </c>
      <c r="AT29" s="450">
        <v>35115</v>
      </c>
      <c r="AU29" s="450">
        <v>227.2</v>
      </c>
      <c r="AV29" s="450">
        <f>1779980.1-9.21</f>
        <v>1779970.8900000001</v>
      </c>
      <c r="AW29" s="450">
        <v>16156.8</v>
      </c>
      <c r="AX29" s="450">
        <f t="shared" si="16"/>
        <v>1796127.6900000002</v>
      </c>
      <c r="AY29" s="450">
        <f t="shared" si="17"/>
        <v>71845.107600000003</v>
      </c>
      <c r="AZ29" s="450">
        <f t="shared" si="18"/>
        <v>-6800.0108000000037</v>
      </c>
      <c r="BA29" s="450">
        <f>65046.2-1.1032</f>
        <v>65045.096799999999</v>
      </c>
      <c r="BB29" s="450">
        <v>4821467.8</v>
      </c>
      <c r="BC29" s="450">
        <f>L29+BA29</f>
        <v>356234.39679999999</v>
      </c>
      <c r="BD29" s="282">
        <v>30535.599999999999</v>
      </c>
      <c r="BE29" s="450">
        <v>95919.4</v>
      </c>
      <c r="BF29" s="450">
        <v>17595.900000000001</v>
      </c>
      <c r="BG29" s="450">
        <v>360126.8</v>
      </c>
      <c r="BH29" s="450">
        <f t="shared" si="20"/>
        <v>504177.69999999995</v>
      </c>
      <c r="BI29" s="320" t="s">
        <v>556</v>
      </c>
      <c r="BJ29" s="440">
        <v>0.79</v>
      </c>
      <c r="BK29" s="289">
        <v>5.21</v>
      </c>
      <c r="BL29" s="289">
        <v>6.98</v>
      </c>
      <c r="BM29" s="289">
        <v>5.69</v>
      </c>
      <c r="BN29" s="289">
        <v>2.65</v>
      </c>
      <c r="BO29" s="289" t="s">
        <v>292</v>
      </c>
      <c r="BP29" s="290">
        <v>3835</v>
      </c>
      <c r="BQ29" s="290">
        <v>1541</v>
      </c>
      <c r="BR29" s="290">
        <v>5850</v>
      </c>
      <c r="BS29" s="290">
        <v>63</v>
      </c>
      <c r="BT29" s="290">
        <f t="shared" si="21"/>
        <v>11289</v>
      </c>
      <c r="BU29" s="289">
        <f t="shared" si="22"/>
        <v>112.98239265025283</v>
      </c>
      <c r="BV29" s="289">
        <f t="shared" si="23"/>
        <v>157.67303481264949</v>
      </c>
      <c r="BW29" s="289">
        <f t="shared" si="24"/>
        <v>178.14276729559748</v>
      </c>
      <c r="BX29" s="289">
        <f t="shared" si="25"/>
        <v>5.3393624206966663</v>
      </c>
      <c r="BY29" s="289">
        <v>4</v>
      </c>
      <c r="BZ29" s="289">
        <v>5.17</v>
      </c>
      <c r="CA29" s="289">
        <v>10.36</v>
      </c>
      <c r="CB29" s="289">
        <f t="shared" si="26"/>
        <v>5.1899999999999995</v>
      </c>
      <c r="CC29" s="289">
        <v>9.19</v>
      </c>
      <c r="CD29" s="289">
        <v>12.16</v>
      </c>
      <c r="CE29" s="289">
        <f t="shared" si="27"/>
        <v>2.9700000000000006</v>
      </c>
    </row>
    <row r="30" spans="1:83" s="160" customFormat="1" ht="9.9499999999999993" customHeight="1">
      <c r="A30" s="159"/>
      <c r="B30" s="159"/>
      <c r="C30" s="159"/>
      <c r="D30" s="159"/>
      <c r="E30" s="159"/>
      <c r="F30" s="159"/>
      <c r="G30" s="159"/>
      <c r="H30" s="159"/>
      <c r="I30" s="1586" t="s">
        <v>565</v>
      </c>
      <c r="J30" s="455">
        <v>288919.09999999998</v>
      </c>
      <c r="K30" s="455">
        <v>1890.3</v>
      </c>
      <c r="L30" s="455">
        <f t="shared" si="6"/>
        <v>290809.39999999997</v>
      </c>
      <c r="M30" s="455">
        <v>26460.1</v>
      </c>
      <c r="N30" s="455">
        <f t="shared" si="7"/>
        <v>264349.3</v>
      </c>
      <c r="O30" s="455">
        <v>32475.5</v>
      </c>
      <c r="P30" s="455">
        <v>103962.5</v>
      </c>
      <c r="Q30" s="455">
        <v>190035.5</v>
      </c>
      <c r="R30" s="455">
        <v>1491903.5</v>
      </c>
      <c r="S30" s="455">
        <f t="shared" si="8"/>
        <v>1681939</v>
      </c>
      <c r="T30" s="455">
        <f t="shared" si="9"/>
        <v>1785901.5</v>
      </c>
      <c r="U30" s="455">
        <v>543.79999999999995</v>
      </c>
      <c r="V30" s="455">
        <v>356710.2</v>
      </c>
      <c r="W30" s="455">
        <f t="shared" si="10"/>
        <v>454928.6</v>
      </c>
      <c r="X30" s="455">
        <f t="shared" si="11"/>
        <v>1946832.1</v>
      </c>
      <c r="Y30" s="455">
        <v>2326770.6016235701</v>
      </c>
      <c r="Z30" s="247" t="s">
        <v>565</v>
      </c>
      <c r="AA30" s="225">
        <v>0</v>
      </c>
      <c r="AB30" s="455">
        <v>57001.1</v>
      </c>
      <c r="AC30" s="455">
        <v>1529439.7</v>
      </c>
      <c r="AD30" s="455">
        <f t="shared" si="12"/>
        <v>1586440.8</v>
      </c>
      <c r="AE30" s="225">
        <v>0</v>
      </c>
      <c r="AF30" s="455">
        <v>525</v>
      </c>
      <c r="AG30" s="455">
        <v>34839.5</v>
      </c>
      <c r="AH30" s="455">
        <f t="shared" si="13"/>
        <v>35364.5</v>
      </c>
      <c r="AI30" s="465">
        <v>27724.7</v>
      </c>
      <c r="AJ30" s="465">
        <v>379061</v>
      </c>
      <c r="AK30" s="465">
        <v>28915.4</v>
      </c>
      <c r="AL30" s="465">
        <f t="shared" si="14"/>
        <v>407976.4</v>
      </c>
      <c r="AM30" s="465">
        <f t="shared" si="15"/>
        <v>27724.7</v>
      </c>
      <c r="AN30" s="465">
        <f t="shared" si="15"/>
        <v>436587.1</v>
      </c>
      <c r="AO30" s="465">
        <f t="shared" si="15"/>
        <v>1593194.5999999999</v>
      </c>
      <c r="AP30" s="465">
        <f t="shared" si="15"/>
        <v>2029781.7000000002</v>
      </c>
      <c r="AQ30" s="247" t="s">
        <v>565</v>
      </c>
      <c r="AR30" s="455">
        <v>13928.8</v>
      </c>
      <c r="AS30" s="455">
        <v>138960.6</v>
      </c>
      <c r="AT30" s="455">
        <v>35317</v>
      </c>
      <c r="AU30" s="455">
        <v>197.1</v>
      </c>
      <c r="AV30" s="455">
        <f>1785939.1-9.2</f>
        <v>1785929.9000000001</v>
      </c>
      <c r="AW30" s="455">
        <v>17264.400000000001</v>
      </c>
      <c r="AX30" s="455">
        <f t="shared" si="16"/>
        <v>1803194.3</v>
      </c>
      <c r="AY30" s="455">
        <f t="shared" si="17"/>
        <v>72127.771999999997</v>
      </c>
      <c r="AZ30" s="455">
        <f t="shared" si="18"/>
        <v>-6771.9316999999937</v>
      </c>
      <c r="BA30" s="455">
        <f>65357-1.1597</f>
        <v>65355.840300000003</v>
      </c>
      <c r="BB30" s="455">
        <v>4906493.3</v>
      </c>
      <c r="BC30" s="455">
        <f t="shared" si="19"/>
        <v>356165.24029999995</v>
      </c>
      <c r="BD30" s="224">
        <v>42024.4</v>
      </c>
      <c r="BE30" s="455">
        <v>93946</v>
      </c>
      <c r="BF30" s="455">
        <v>17938.900000000001</v>
      </c>
      <c r="BG30" s="455">
        <v>374999.8</v>
      </c>
      <c r="BH30" s="455">
        <f t="shared" si="20"/>
        <v>528909.1</v>
      </c>
      <c r="BI30" s="247" t="s">
        <v>565</v>
      </c>
      <c r="BJ30" s="536">
        <v>7.18</v>
      </c>
      <c r="BK30" s="250">
        <v>5.93</v>
      </c>
      <c r="BL30" s="250">
        <v>7.19</v>
      </c>
      <c r="BM30" s="250">
        <v>7.16</v>
      </c>
      <c r="BN30" s="250">
        <v>3.16</v>
      </c>
      <c r="BO30" s="250" t="s">
        <v>292</v>
      </c>
      <c r="BP30" s="376">
        <v>3835</v>
      </c>
      <c r="BQ30" s="376">
        <v>1541</v>
      </c>
      <c r="BR30" s="376">
        <v>5851</v>
      </c>
      <c r="BS30" s="376">
        <v>63</v>
      </c>
      <c r="BT30" s="376">
        <f t="shared" si="21"/>
        <v>11290</v>
      </c>
      <c r="BU30" s="250">
        <f t="shared" si="22"/>
        <v>113.65405215512658</v>
      </c>
      <c r="BV30" s="250">
        <f t="shared" si="23"/>
        <v>158.1868821966342</v>
      </c>
      <c r="BW30" s="250">
        <f t="shared" si="24"/>
        <v>179.78580159433128</v>
      </c>
      <c r="BX30" s="250">
        <f t="shared" si="25"/>
        <v>5.1410719032141179</v>
      </c>
      <c r="BY30" s="250">
        <v>4</v>
      </c>
      <c r="BZ30" s="250">
        <v>5.3</v>
      </c>
      <c r="CA30" s="250">
        <v>10.53</v>
      </c>
      <c r="CB30" s="250">
        <f t="shared" si="26"/>
        <v>5.2299999999999995</v>
      </c>
      <c r="CC30" s="250">
        <v>9.43</v>
      </c>
      <c r="CD30" s="250">
        <v>12.41</v>
      </c>
      <c r="CE30" s="250">
        <f t="shared" si="27"/>
        <v>2.9800000000000004</v>
      </c>
    </row>
    <row r="31" spans="1:83" s="160" customFormat="1" ht="9.9499999999999993" customHeight="1">
      <c r="A31" s="159"/>
      <c r="B31" s="159"/>
      <c r="C31" s="159"/>
      <c r="D31" s="159"/>
      <c r="E31" s="159"/>
      <c r="F31" s="159"/>
      <c r="G31" s="159"/>
      <c r="H31" s="159"/>
      <c r="I31" s="392" t="s">
        <v>566</v>
      </c>
      <c r="J31" s="450">
        <v>292185.59999999998</v>
      </c>
      <c r="K31" s="450">
        <v>1897.4</v>
      </c>
      <c r="L31" s="450">
        <f t="shared" si="6"/>
        <v>294083</v>
      </c>
      <c r="M31" s="450">
        <v>23424.1</v>
      </c>
      <c r="N31" s="450">
        <f t="shared" si="7"/>
        <v>270658.90000000002</v>
      </c>
      <c r="O31" s="450">
        <v>31960.6</v>
      </c>
      <c r="P31" s="450">
        <v>104586.1</v>
      </c>
      <c r="Q31" s="450">
        <v>186847.5</v>
      </c>
      <c r="R31" s="450">
        <v>1513760.9</v>
      </c>
      <c r="S31" s="450">
        <f t="shared" si="8"/>
        <v>1700608.4</v>
      </c>
      <c r="T31" s="450">
        <f t="shared" si="9"/>
        <v>1805194.5</v>
      </c>
      <c r="U31" s="450">
        <v>537.20000000000005</v>
      </c>
      <c r="V31" s="450">
        <v>360751.7</v>
      </c>
      <c r="W31" s="450">
        <f t="shared" si="10"/>
        <v>458043.60000000003</v>
      </c>
      <c r="X31" s="450">
        <f t="shared" si="11"/>
        <v>1971804.5</v>
      </c>
      <c r="Y31" s="450">
        <v>2348184.175212421</v>
      </c>
      <c r="Z31" s="320" t="s">
        <v>566</v>
      </c>
      <c r="AA31" s="283">
        <v>0</v>
      </c>
      <c r="AB31" s="450">
        <v>58181.5</v>
      </c>
      <c r="AC31" s="450">
        <v>1547441.5</v>
      </c>
      <c r="AD31" s="450">
        <f t="shared" si="12"/>
        <v>1605623</v>
      </c>
      <c r="AE31" s="283">
        <v>0</v>
      </c>
      <c r="AF31" s="450">
        <v>522.70000000000005</v>
      </c>
      <c r="AG31" s="450">
        <v>37459</v>
      </c>
      <c r="AH31" s="450">
        <f t="shared" si="13"/>
        <v>37981.699999999997</v>
      </c>
      <c r="AI31" s="453">
        <v>27815.1</v>
      </c>
      <c r="AJ31" s="453">
        <v>384371.4</v>
      </c>
      <c r="AK31" s="453">
        <v>28804.400000000001</v>
      </c>
      <c r="AL31" s="453">
        <f t="shared" si="14"/>
        <v>413175.80000000005</v>
      </c>
      <c r="AM31" s="453">
        <f t="shared" si="15"/>
        <v>27815.1</v>
      </c>
      <c r="AN31" s="453">
        <f t="shared" si="15"/>
        <v>443075.60000000003</v>
      </c>
      <c r="AO31" s="453">
        <f t="shared" si="15"/>
        <v>1613704.9</v>
      </c>
      <c r="AP31" s="453">
        <f t="shared" si="15"/>
        <v>2056780.5</v>
      </c>
      <c r="AQ31" s="320" t="s">
        <v>566</v>
      </c>
      <c r="AR31" s="450">
        <v>13847.9</v>
      </c>
      <c r="AS31" s="450">
        <v>143866</v>
      </c>
      <c r="AT31" s="450">
        <v>34812.800000000003</v>
      </c>
      <c r="AU31" s="450">
        <v>187.7</v>
      </c>
      <c r="AV31" s="450">
        <f>1805231.5-9.3</f>
        <v>1805222.2</v>
      </c>
      <c r="AW31" s="450">
        <v>16607.2</v>
      </c>
      <c r="AX31" s="450">
        <f t="shared" si="16"/>
        <v>1821829.4</v>
      </c>
      <c r="AY31" s="450">
        <f t="shared" si="17"/>
        <v>72873.175999999992</v>
      </c>
      <c r="AZ31" s="450">
        <f t="shared" si="18"/>
        <v>-6742.8569999999891</v>
      </c>
      <c r="BA31" s="450">
        <f>66131.5-1.181</f>
        <v>66130.319000000003</v>
      </c>
      <c r="BB31" s="450">
        <v>4994583.8</v>
      </c>
      <c r="BC31" s="450">
        <f t="shared" si="19"/>
        <v>360213.31900000002</v>
      </c>
      <c r="BD31" s="282">
        <v>48670.6</v>
      </c>
      <c r="BE31" s="450">
        <v>92642.2</v>
      </c>
      <c r="BF31" s="450">
        <v>18686.400000000001</v>
      </c>
      <c r="BG31" s="450">
        <v>380236</v>
      </c>
      <c r="BH31" s="450">
        <f t="shared" si="20"/>
        <v>540235.20000000007</v>
      </c>
      <c r="BI31" s="320" t="s">
        <v>566</v>
      </c>
      <c r="BJ31" s="440">
        <v>9.59</v>
      </c>
      <c r="BK31" s="289">
        <v>7.06</v>
      </c>
      <c r="BL31" s="289">
        <v>8.58</v>
      </c>
      <c r="BM31" s="289">
        <v>8.75</v>
      </c>
      <c r="BN31" s="289">
        <v>4.4800000000000004</v>
      </c>
      <c r="BO31" s="289" t="s">
        <v>292</v>
      </c>
      <c r="BP31" s="290">
        <v>3835</v>
      </c>
      <c r="BQ31" s="290">
        <v>1541</v>
      </c>
      <c r="BR31" s="290">
        <v>5855</v>
      </c>
      <c r="BS31" s="290">
        <v>63</v>
      </c>
      <c r="BT31" s="290">
        <f t="shared" si="21"/>
        <v>11294</v>
      </c>
      <c r="BU31" s="289">
        <f t="shared" si="22"/>
        <v>113.93503248519767</v>
      </c>
      <c r="BV31" s="289">
        <f t="shared" si="23"/>
        <v>159.83904728174252</v>
      </c>
      <c r="BW31" s="289">
        <f t="shared" si="24"/>
        <v>182.1126704444838</v>
      </c>
      <c r="BX31" s="289">
        <f t="shared" si="25"/>
        <v>4.9608529631421545</v>
      </c>
      <c r="BY31" s="289">
        <v>4</v>
      </c>
      <c r="BZ31" s="289">
        <v>5.42</v>
      </c>
      <c r="CA31" s="289">
        <v>11.28</v>
      </c>
      <c r="CB31" s="289">
        <f t="shared" si="26"/>
        <v>5.8599999999999994</v>
      </c>
      <c r="CC31" s="289">
        <v>9.61</v>
      </c>
      <c r="CD31" s="289">
        <v>12.53</v>
      </c>
      <c r="CE31" s="289">
        <f t="shared" si="27"/>
        <v>2.92</v>
      </c>
    </row>
    <row r="32" spans="1:83" s="160" customFormat="1" ht="9.9499999999999993" customHeight="1">
      <c r="A32" s="159"/>
      <c r="B32" s="159"/>
      <c r="C32" s="159"/>
      <c r="D32" s="159"/>
      <c r="E32" s="159"/>
      <c r="F32" s="159"/>
      <c r="G32" s="159"/>
      <c r="H32" s="159"/>
      <c r="I32" s="1586" t="s">
        <v>557</v>
      </c>
      <c r="J32" s="455">
        <v>318403</v>
      </c>
      <c r="K32" s="455">
        <v>1905.9</v>
      </c>
      <c r="L32" s="455">
        <f t="shared" si="6"/>
        <v>320308.90000000002</v>
      </c>
      <c r="M32" s="455">
        <v>29872.400000000001</v>
      </c>
      <c r="N32" s="455">
        <f t="shared" si="7"/>
        <v>290436.5</v>
      </c>
      <c r="O32" s="455">
        <v>32754.9</v>
      </c>
      <c r="P32" s="455">
        <v>120147.8</v>
      </c>
      <c r="Q32" s="455">
        <v>209917.3</v>
      </c>
      <c r="R32" s="455">
        <v>1532307.2</v>
      </c>
      <c r="S32" s="455">
        <f t="shared" si="8"/>
        <v>1742224.5</v>
      </c>
      <c r="T32" s="455">
        <f t="shared" si="9"/>
        <v>1862372.3</v>
      </c>
      <c r="U32" s="455">
        <v>573</v>
      </c>
      <c r="V32" s="455">
        <v>413644.6</v>
      </c>
      <c r="W32" s="455">
        <f t="shared" si="10"/>
        <v>500926.8</v>
      </c>
      <c r="X32" s="455">
        <f t="shared" si="11"/>
        <v>2033234</v>
      </c>
      <c r="Y32" s="455">
        <v>2407957.7440705281</v>
      </c>
      <c r="Z32" s="247" t="s">
        <v>557</v>
      </c>
      <c r="AA32" s="225">
        <v>0</v>
      </c>
      <c r="AB32" s="455">
        <v>56736.6</v>
      </c>
      <c r="AC32" s="455">
        <v>1564444.9</v>
      </c>
      <c r="AD32" s="455">
        <f t="shared" si="12"/>
        <v>1621181.5</v>
      </c>
      <c r="AE32" s="225">
        <v>0</v>
      </c>
      <c r="AF32" s="455">
        <v>518.70000000000005</v>
      </c>
      <c r="AG32" s="455">
        <v>38612.699999999997</v>
      </c>
      <c r="AH32" s="455">
        <f t="shared" si="13"/>
        <v>39131.399999999994</v>
      </c>
      <c r="AI32" s="465">
        <v>27137.4</v>
      </c>
      <c r="AJ32" s="465">
        <v>399628.7</v>
      </c>
      <c r="AK32" s="465">
        <v>29389.1</v>
      </c>
      <c r="AL32" s="465">
        <f t="shared" si="14"/>
        <v>429017.8</v>
      </c>
      <c r="AM32" s="465">
        <f t="shared" si="15"/>
        <v>27137.4</v>
      </c>
      <c r="AN32" s="465">
        <f t="shared" si="15"/>
        <v>456884</v>
      </c>
      <c r="AO32" s="465">
        <f t="shared" si="15"/>
        <v>1632446.7</v>
      </c>
      <c r="AP32" s="465">
        <f t="shared" si="15"/>
        <v>2089330.7</v>
      </c>
      <c r="AQ32" s="247" t="s">
        <v>557</v>
      </c>
      <c r="AR32" s="455">
        <v>15168</v>
      </c>
      <c r="AS32" s="455">
        <v>172788.1</v>
      </c>
      <c r="AT32" s="455">
        <v>32701.4</v>
      </c>
      <c r="AU32" s="455">
        <v>93.6</v>
      </c>
      <c r="AV32" s="455">
        <f>1862419-10.63</f>
        <v>1862408.37</v>
      </c>
      <c r="AW32" s="455">
        <v>17820</v>
      </c>
      <c r="AX32" s="455">
        <f t="shared" si="16"/>
        <v>1880228.37</v>
      </c>
      <c r="AY32" s="455">
        <f t="shared" si="17"/>
        <v>75209.1348</v>
      </c>
      <c r="AZ32" s="455">
        <f t="shared" si="18"/>
        <v>17554.383000000002</v>
      </c>
      <c r="BA32" s="455">
        <f>92765.1-1.5822</f>
        <v>92763.517800000001</v>
      </c>
      <c r="BB32" s="455">
        <v>5149667.5</v>
      </c>
      <c r="BC32" s="455">
        <f t="shared" si="19"/>
        <v>413072.41780000005</v>
      </c>
      <c r="BD32" s="224">
        <v>69247.100000000006</v>
      </c>
      <c r="BE32" s="455">
        <v>75231.8</v>
      </c>
      <c r="BF32" s="455">
        <v>16171.7</v>
      </c>
      <c r="BG32" s="455">
        <v>395501.7</v>
      </c>
      <c r="BH32" s="455">
        <f t="shared" si="20"/>
        <v>556152.30000000005</v>
      </c>
      <c r="BI32" s="247" t="s">
        <v>557</v>
      </c>
      <c r="BJ32" s="536">
        <v>9.69</v>
      </c>
      <c r="BK32" s="250">
        <v>9.42</v>
      </c>
      <c r="BL32" s="250">
        <v>9.84</v>
      </c>
      <c r="BM32" s="250">
        <v>9.8000000000000007</v>
      </c>
      <c r="BN32" s="250">
        <v>7.74</v>
      </c>
      <c r="BO32" s="250" t="s">
        <v>292</v>
      </c>
      <c r="BP32" s="376">
        <v>3835</v>
      </c>
      <c r="BQ32" s="376">
        <v>1541</v>
      </c>
      <c r="BR32" s="376">
        <v>5858</v>
      </c>
      <c r="BS32" s="376">
        <v>63</v>
      </c>
      <c r="BT32" s="376">
        <f t="shared" si="21"/>
        <v>11297</v>
      </c>
      <c r="BU32" s="250">
        <f t="shared" si="22"/>
        <v>112.18434869899127</v>
      </c>
      <c r="BV32" s="250">
        <f t="shared" si="23"/>
        <v>164.8586677879083</v>
      </c>
      <c r="BW32" s="250">
        <f t="shared" si="24"/>
        <v>184.94562273169868</v>
      </c>
      <c r="BX32" s="250">
        <f t="shared" si="25"/>
        <v>6.5848027626722914</v>
      </c>
      <c r="BY32" s="250">
        <v>4</v>
      </c>
      <c r="BZ32" s="250">
        <v>5.49</v>
      </c>
      <c r="CA32" s="250">
        <v>11.52</v>
      </c>
      <c r="CB32" s="250">
        <f t="shared" si="26"/>
        <v>6.0299999999999994</v>
      </c>
      <c r="CC32" s="250">
        <v>9.83</v>
      </c>
      <c r="CD32" s="250">
        <v>12.79</v>
      </c>
      <c r="CE32" s="250">
        <f>CD32-CC32</f>
        <v>2.9599999999999991</v>
      </c>
    </row>
    <row r="33" spans="1:83" s="160" customFormat="1" ht="9.9499999999999993" customHeight="1">
      <c r="A33" s="159"/>
      <c r="B33" s="159"/>
      <c r="C33" s="159"/>
      <c r="D33" s="159"/>
      <c r="E33" s="159"/>
      <c r="F33" s="159"/>
      <c r="G33" s="159"/>
      <c r="H33" s="159"/>
      <c r="I33" s="944" t="s">
        <v>2500</v>
      </c>
      <c r="J33" s="533">
        <f>J45</f>
        <v>324728.5</v>
      </c>
      <c r="K33" s="533">
        <f>K45</f>
        <v>1968.1</v>
      </c>
      <c r="L33" s="533">
        <f t="shared" ref="L33:Y33" si="28">L45</f>
        <v>326696.59999999998</v>
      </c>
      <c r="M33" s="533">
        <f t="shared" si="28"/>
        <v>30244.7</v>
      </c>
      <c r="N33" s="533">
        <f t="shared" si="28"/>
        <v>296451.89999999997</v>
      </c>
      <c r="O33" s="533">
        <f t="shared" si="28"/>
        <v>37852.800000000003</v>
      </c>
      <c r="P33" s="533">
        <f t="shared" si="28"/>
        <v>120252.5</v>
      </c>
      <c r="Q33" s="533">
        <f t="shared" si="28"/>
        <v>213109.9</v>
      </c>
      <c r="R33" s="533">
        <f t="shared" si="28"/>
        <v>1664454.7</v>
      </c>
      <c r="S33" s="533">
        <f t="shared" si="28"/>
        <v>1877564.5999999999</v>
      </c>
      <c r="T33" s="533">
        <f t="shared" si="28"/>
        <v>1997817.0999999999</v>
      </c>
      <c r="U33" s="533">
        <f t="shared" si="28"/>
        <v>605.20000000000005</v>
      </c>
      <c r="V33" s="533">
        <f t="shared" si="28"/>
        <v>413179</v>
      </c>
      <c r="W33" s="533">
        <f t="shared" si="28"/>
        <v>510166.99999999994</v>
      </c>
      <c r="X33" s="533">
        <f t="shared" si="28"/>
        <v>2174621.6999999997</v>
      </c>
      <c r="Y33" s="533">
        <f t="shared" si="28"/>
        <v>2552900.8000000003</v>
      </c>
      <c r="Z33" s="944" t="s">
        <v>2500</v>
      </c>
      <c r="AA33" s="533">
        <f t="shared" ref="AA33:AP33" si="29">AA45</f>
        <v>0</v>
      </c>
      <c r="AB33" s="533">
        <f t="shared" si="29"/>
        <v>53989.5</v>
      </c>
      <c r="AC33" s="533">
        <f t="shared" si="29"/>
        <v>1681592.8</v>
      </c>
      <c r="AD33" s="533">
        <f t="shared" si="29"/>
        <v>1735582.3</v>
      </c>
      <c r="AE33" s="533">
        <f t="shared" si="29"/>
        <v>0</v>
      </c>
      <c r="AF33" s="533">
        <f t="shared" si="29"/>
        <v>448.5</v>
      </c>
      <c r="AG33" s="533">
        <f t="shared" si="29"/>
        <v>28082.2</v>
      </c>
      <c r="AH33" s="533">
        <f t="shared" si="29"/>
        <v>28530.7</v>
      </c>
      <c r="AI33" s="533">
        <f t="shared" si="29"/>
        <v>25427.4</v>
      </c>
      <c r="AJ33" s="533">
        <f t="shared" si="29"/>
        <v>523929.59999999998</v>
      </c>
      <c r="AK33" s="533">
        <f t="shared" si="29"/>
        <v>28724.2</v>
      </c>
      <c r="AL33" s="533">
        <f t="shared" si="29"/>
        <v>552653.79999999993</v>
      </c>
      <c r="AM33" s="533">
        <f t="shared" si="29"/>
        <v>25427.4</v>
      </c>
      <c r="AN33" s="533">
        <f t="shared" si="29"/>
        <v>578367.6</v>
      </c>
      <c r="AO33" s="533">
        <f t="shared" si="29"/>
        <v>1738399.2</v>
      </c>
      <c r="AP33" s="533">
        <f t="shared" si="29"/>
        <v>2316766.7999999998</v>
      </c>
      <c r="AQ33" s="944" t="s">
        <v>2500</v>
      </c>
      <c r="AR33" s="533">
        <f t="shared" ref="AR33:BH33" si="30">AR45</f>
        <v>16534.8</v>
      </c>
      <c r="AS33" s="533">
        <f t="shared" si="30"/>
        <v>197261.4</v>
      </c>
      <c r="AT33" s="533">
        <f t="shared" si="30"/>
        <v>35027.300000000003</v>
      </c>
      <c r="AU33" s="533">
        <f t="shared" si="30"/>
        <v>182.9</v>
      </c>
      <c r="AV33" s="533">
        <f t="shared" si="30"/>
        <v>2010643.07</v>
      </c>
      <c r="AW33" s="533">
        <f t="shared" si="30"/>
        <v>18899.400000000001</v>
      </c>
      <c r="AX33" s="533">
        <f t="shared" si="30"/>
        <v>2029542.47</v>
      </c>
      <c r="AY33" s="533">
        <f t="shared" si="30"/>
        <v>81181.698799999998</v>
      </c>
      <c r="AZ33" s="533">
        <f t="shared" si="30"/>
        <v>4693.9682999999932</v>
      </c>
      <c r="BA33" s="533">
        <f t="shared" si="30"/>
        <v>85875.667099999991</v>
      </c>
      <c r="BB33" s="533">
        <f t="shared" si="30"/>
        <v>5146852.3</v>
      </c>
      <c r="BC33" s="533">
        <f t="shared" si="30"/>
        <v>412572.26709999994</v>
      </c>
      <c r="BD33" s="533">
        <f t="shared" si="30"/>
        <v>23431.5</v>
      </c>
      <c r="BE33" s="533">
        <f t="shared" si="30"/>
        <v>64010.7</v>
      </c>
      <c r="BF33" s="533">
        <f t="shared" si="30"/>
        <v>17015.7</v>
      </c>
      <c r="BG33" s="533">
        <f t="shared" si="30"/>
        <v>520021</v>
      </c>
      <c r="BH33" s="533">
        <f t="shared" si="30"/>
        <v>624478.89999999991</v>
      </c>
      <c r="BI33" s="944" t="s">
        <v>2500</v>
      </c>
      <c r="BJ33" s="599">
        <f t="shared" ref="BJ33:CE33" si="31">BJ45</f>
        <v>14.83</v>
      </c>
      <c r="BK33" s="599">
        <f t="shared" si="31"/>
        <v>-1.88</v>
      </c>
      <c r="BL33" s="599">
        <f t="shared" si="31"/>
        <v>6.49</v>
      </c>
      <c r="BM33" s="599">
        <f t="shared" si="31"/>
        <v>7.97</v>
      </c>
      <c r="BN33" s="599">
        <f t="shared" si="31"/>
        <v>6.95</v>
      </c>
      <c r="BO33" s="599">
        <f>5552753/2174621.7</f>
        <v>2.5534340064757006</v>
      </c>
      <c r="BP33" s="1482">
        <f t="shared" si="31"/>
        <v>3843</v>
      </c>
      <c r="BQ33" s="1482">
        <f t="shared" si="31"/>
        <v>1543</v>
      </c>
      <c r="BR33" s="1482">
        <f t="shared" si="31"/>
        <v>5923</v>
      </c>
      <c r="BS33" s="1482">
        <f t="shared" si="31"/>
        <v>63</v>
      </c>
      <c r="BT33" s="1482">
        <f t="shared" si="31"/>
        <v>11372</v>
      </c>
      <c r="BU33" s="599">
        <f t="shared" si="31"/>
        <v>115.22516525024005</v>
      </c>
      <c r="BV33" s="599">
        <f t="shared" si="31"/>
        <v>176.80646060499473</v>
      </c>
      <c r="BW33" s="599">
        <f t="shared" si="31"/>
        <v>203.72553640520576</v>
      </c>
      <c r="BX33" s="599">
        <f t="shared" si="31"/>
        <v>5.7752849738765413</v>
      </c>
      <c r="BY33" s="599">
        <f t="shared" si="31"/>
        <v>4</v>
      </c>
      <c r="BZ33" s="599">
        <f t="shared" si="31"/>
        <v>6.26</v>
      </c>
      <c r="CA33" s="599">
        <f t="shared" si="31"/>
        <v>12.08</v>
      </c>
      <c r="CB33" s="599">
        <f t="shared" si="31"/>
        <v>5.82</v>
      </c>
      <c r="CC33" s="599">
        <f t="shared" si="31"/>
        <v>10.68</v>
      </c>
      <c r="CD33" s="599">
        <f t="shared" si="31"/>
        <v>13.89</v>
      </c>
      <c r="CE33" s="599">
        <f t="shared" si="31"/>
        <v>3.2100000000000009</v>
      </c>
    </row>
    <row r="34" spans="1:83" s="160" customFormat="1" ht="9.9499999999999993" customHeight="1">
      <c r="A34" s="159"/>
      <c r="B34" s="159"/>
      <c r="C34" s="159"/>
      <c r="D34" s="159"/>
      <c r="E34" s="159"/>
      <c r="F34" s="159"/>
      <c r="G34" s="159"/>
      <c r="H34" s="159"/>
      <c r="I34" s="1586" t="s">
        <v>559</v>
      </c>
      <c r="J34" s="455">
        <v>313988.3</v>
      </c>
      <c r="K34" s="455">
        <v>1911.2</v>
      </c>
      <c r="L34" s="455">
        <f t="shared" si="6"/>
        <v>315899.5</v>
      </c>
      <c r="M34" s="455">
        <v>24269.1</v>
      </c>
      <c r="N34" s="455">
        <f t="shared" si="7"/>
        <v>291630.40000000002</v>
      </c>
      <c r="O34" s="455">
        <v>28935.5</v>
      </c>
      <c r="P34" s="455">
        <v>108667.2</v>
      </c>
      <c r="Q34" s="455">
        <v>193208.7</v>
      </c>
      <c r="R34" s="455">
        <v>1540818.2</v>
      </c>
      <c r="S34" s="455">
        <f t="shared" ref="S34:S44" si="32">Q34+R34</f>
        <v>1734026.9</v>
      </c>
      <c r="T34" s="455">
        <f t="shared" ref="T34:T44" si="33">P34+S34</f>
        <v>1842694.0999999999</v>
      </c>
      <c r="U34" s="455">
        <v>567.20000000000005</v>
      </c>
      <c r="V34" s="455">
        <v>389317.1</v>
      </c>
      <c r="W34" s="455">
        <f t="shared" ref="W34:W41" si="34">N34+Q34+U34</f>
        <v>485406.30000000005</v>
      </c>
      <c r="X34" s="455">
        <f t="shared" ref="X34:X41" si="35">R34+W34</f>
        <v>2026224.5</v>
      </c>
      <c r="Y34" s="455">
        <v>2403227.217577802</v>
      </c>
      <c r="Z34" s="247" t="s">
        <v>559</v>
      </c>
      <c r="AA34" s="225">
        <v>0</v>
      </c>
      <c r="AB34" s="455">
        <v>58592.9</v>
      </c>
      <c r="AC34" s="455">
        <v>1559150</v>
      </c>
      <c r="AD34" s="455">
        <f t="shared" si="12"/>
        <v>1617742.9</v>
      </c>
      <c r="AE34" s="225">
        <v>0</v>
      </c>
      <c r="AF34" s="455">
        <v>503.5</v>
      </c>
      <c r="AG34" s="455">
        <v>38425.300000000003</v>
      </c>
      <c r="AH34" s="455">
        <f t="shared" si="13"/>
        <v>38928.800000000003</v>
      </c>
      <c r="AI34" s="465">
        <v>27079.8</v>
      </c>
      <c r="AJ34" s="465">
        <v>399240.7</v>
      </c>
      <c r="AK34" s="465">
        <v>29536.1</v>
      </c>
      <c r="AL34" s="465">
        <f t="shared" ref="AL34:AL41" si="36">AJ34+AK34</f>
        <v>428776.8</v>
      </c>
      <c r="AM34" s="465">
        <f t="shared" ref="AM34:AP41" si="37">AA34+AE34+AI34</f>
        <v>27079.8</v>
      </c>
      <c r="AN34" s="465">
        <f t="shared" si="37"/>
        <v>458337.10000000003</v>
      </c>
      <c r="AO34" s="465">
        <f t="shared" si="37"/>
        <v>1627111.4000000001</v>
      </c>
      <c r="AP34" s="465">
        <f t="shared" si="37"/>
        <v>2085448.5</v>
      </c>
      <c r="AQ34" s="247" t="s">
        <v>559</v>
      </c>
      <c r="AR34" s="455">
        <v>15682.6</v>
      </c>
      <c r="AS34" s="455">
        <v>145608</v>
      </c>
      <c r="AT34" s="455">
        <v>35622.800000000003</v>
      </c>
      <c r="AU34" s="455">
        <v>125.3</v>
      </c>
      <c r="AV34" s="455">
        <f>1842738.2-10.5</f>
        <v>1842727.7</v>
      </c>
      <c r="AW34" s="455">
        <v>16270.9</v>
      </c>
      <c r="AX34" s="455">
        <f t="shared" si="16"/>
        <v>1858998.5999999999</v>
      </c>
      <c r="AY34" s="455">
        <f t="shared" ref="AY34:AY45" si="38">0.04*AX34</f>
        <v>74359.944000000003</v>
      </c>
      <c r="AZ34" s="455">
        <f t="shared" si="18"/>
        <v>-1510.7140000000072</v>
      </c>
      <c r="BA34" s="455">
        <f>72850.4-1.17</f>
        <v>72849.23</v>
      </c>
      <c r="BB34" s="455">
        <v>5144112.3</v>
      </c>
      <c r="BC34" s="455">
        <f t="shared" si="19"/>
        <v>388748.73</v>
      </c>
      <c r="BD34" s="224">
        <v>73393.399999999994</v>
      </c>
      <c r="BE34" s="455">
        <v>72083.899999999994</v>
      </c>
      <c r="BF34" s="455">
        <v>17493.3</v>
      </c>
      <c r="BG34" s="455">
        <v>395113.5</v>
      </c>
      <c r="BH34" s="455">
        <f t="shared" si="20"/>
        <v>558084.1</v>
      </c>
      <c r="BI34" s="247" t="s">
        <v>559</v>
      </c>
      <c r="BJ34" s="536">
        <v>2.99</v>
      </c>
      <c r="BK34" s="250">
        <v>1.05</v>
      </c>
      <c r="BL34" s="250">
        <v>-0.32</v>
      </c>
      <c r="BM34" s="250">
        <v>0.37</v>
      </c>
      <c r="BN34" s="250">
        <v>-0.34</v>
      </c>
      <c r="BO34" s="250" t="s">
        <v>292</v>
      </c>
      <c r="BP34" s="376">
        <v>3835</v>
      </c>
      <c r="BQ34" s="376">
        <v>1543</v>
      </c>
      <c r="BR34" s="376">
        <v>5858</v>
      </c>
      <c r="BS34" s="376">
        <v>63</v>
      </c>
      <c r="BT34" s="376">
        <f t="shared" si="21"/>
        <v>11299</v>
      </c>
      <c r="BU34" s="250">
        <f t="shared" ref="BU34:BU37" si="39">AP34/AV34*100</f>
        <v>113.1718213168446</v>
      </c>
      <c r="BV34" s="250">
        <f t="shared" ref="BV34:BV36" si="40">AV34/BT34</f>
        <v>163.08768032569253</v>
      </c>
      <c r="BW34" s="250">
        <f t="shared" ref="BW34:BW41" si="41">AP34/BT34</f>
        <v>184.56929816797947</v>
      </c>
      <c r="BX34" s="250">
        <f t="shared" si="25"/>
        <v>5.2703570907410784</v>
      </c>
      <c r="BY34" s="250">
        <v>4</v>
      </c>
      <c r="BZ34" s="250">
        <v>5.68</v>
      </c>
      <c r="CA34" s="250">
        <v>11.57</v>
      </c>
      <c r="CB34" s="250">
        <f t="shared" si="26"/>
        <v>5.8900000000000006</v>
      </c>
      <c r="CC34" s="250">
        <v>9.98</v>
      </c>
      <c r="CD34" s="250">
        <v>13.01</v>
      </c>
      <c r="CE34" s="250">
        <f t="shared" ref="CE34:CE45" si="42">CD34-CC34</f>
        <v>3.0299999999999994</v>
      </c>
    </row>
    <row r="35" spans="1:83" s="160" customFormat="1" ht="9.9499999999999993" customHeight="1">
      <c r="A35" s="159"/>
      <c r="B35" s="159"/>
      <c r="C35" s="159"/>
      <c r="D35" s="159"/>
      <c r="E35" s="159"/>
      <c r="F35" s="159"/>
      <c r="G35" s="159"/>
      <c r="H35" s="159"/>
      <c r="I35" s="392" t="s">
        <v>560</v>
      </c>
      <c r="J35" s="450">
        <v>316798.7</v>
      </c>
      <c r="K35" s="450">
        <v>1914.2</v>
      </c>
      <c r="L35" s="450">
        <f t="shared" si="6"/>
        <v>318712.90000000002</v>
      </c>
      <c r="M35" s="450">
        <v>26278.5</v>
      </c>
      <c r="N35" s="450">
        <f t="shared" si="7"/>
        <v>292434.40000000002</v>
      </c>
      <c r="O35" s="450">
        <v>27286.5</v>
      </c>
      <c r="P35" s="450">
        <v>107931.1</v>
      </c>
      <c r="Q35" s="450">
        <v>193471.9</v>
      </c>
      <c r="R35" s="450">
        <v>1537788.8</v>
      </c>
      <c r="S35" s="450">
        <f t="shared" si="32"/>
        <v>1731260.7</v>
      </c>
      <c r="T35" s="450">
        <f t="shared" si="33"/>
        <v>1839191.8</v>
      </c>
      <c r="U35" s="450">
        <v>629.70000000000005</v>
      </c>
      <c r="V35" s="450">
        <v>385796.6</v>
      </c>
      <c r="W35" s="450">
        <f t="shared" si="34"/>
        <v>486536.00000000006</v>
      </c>
      <c r="X35" s="450">
        <f t="shared" si="35"/>
        <v>2024324.8</v>
      </c>
      <c r="Y35" s="450">
        <v>2404720.5774041633</v>
      </c>
      <c r="Z35" s="320" t="s">
        <v>560</v>
      </c>
      <c r="AA35" s="283">
        <v>0</v>
      </c>
      <c r="AB35" s="450">
        <v>58184.2</v>
      </c>
      <c r="AC35" s="450">
        <v>1578740</v>
      </c>
      <c r="AD35" s="450">
        <f t="shared" si="12"/>
        <v>1636924.2</v>
      </c>
      <c r="AE35" s="283">
        <v>0</v>
      </c>
      <c r="AF35" s="450">
        <v>492</v>
      </c>
      <c r="AG35" s="450">
        <v>25847</v>
      </c>
      <c r="AH35" s="450">
        <f t="shared" si="13"/>
        <v>26339</v>
      </c>
      <c r="AI35" s="453">
        <v>26607</v>
      </c>
      <c r="AJ35" s="453">
        <v>406121.3</v>
      </c>
      <c r="AK35" s="453">
        <v>29434.400000000001</v>
      </c>
      <c r="AL35" s="453">
        <f t="shared" si="36"/>
        <v>435555.7</v>
      </c>
      <c r="AM35" s="453">
        <f t="shared" si="37"/>
        <v>26607</v>
      </c>
      <c r="AN35" s="453">
        <f t="shared" si="37"/>
        <v>464797.5</v>
      </c>
      <c r="AO35" s="453">
        <f t="shared" si="37"/>
        <v>1634021.4</v>
      </c>
      <c r="AP35" s="453">
        <f t="shared" si="37"/>
        <v>2098818.9</v>
      </c>
      <c r="AQ35" s="320" t="s">
        <v>560</v>
      </c>
      <c r="AR35" s="450">
        <v>15769.3</v>
      </c>
      <c r="AS35" s="450">
        <v>148495.4</v>
      </c>
      <c r="AT35" s="450">
        <v>32679.599999999999</v>
      </c>
      <c r="AU35" s="450">
        <v>341.6</v>
      </c>
      <c r="AV35" s="450">
        <f>1839235.6-11.05</f>
        <v>1839224.55</v>
      </c>
      <c r="AW35" s="450">
        <v>17519.900000000001</v>
      </c>
      <c r="AX35" s="450">
        <f t="shared" si="16"/>
        <v>1856744.45</v>
      </c>
      <c r="AY35" s="450">
        <f t="shared" si="38"/>
        <v>74269.778000000006</v>
      </c>
      <c r="AZ35" s="450">
        <f t="shared" si="18"/>
        <v>-7817.2646999999997</v>
      </c>
      <c r="BA35" s="450">
        <f>66454-1.4867</f>
        <v>66452.513300000006</v>
      </c>
      <c r="BB35" s="450">
        <v>4669271.5999999996</v>
      </c>
      <c r="BC35" s="450">
        <f t="shared" si="19"/>
        <v>385165.41330000001</v>
      </c>
      <c r="BD35" s="282">
        <v>53854.8</v>
      </c>
      <c r="BE35" s="450">
        <v>72434.7</v>
      </c>
      <c r="BF35" s="450">
        <v>17718.900000000001</v>
      </c>
      <c r="BG35" s="450">
        <v>402003.7</v>
      </c>
      <c r="BH35" s="450">
        <f t="shared" si="20"/>
        <v>546012.10000000009</v>
      </c>
      <c r="BI35" s="320" t="s">
        <v>560</v>
      </c>
      <c r="BJ35" s="440">
        <v>0.32</v>
      </c>
      <c r="BK35" s="289">
        <v>-1.1000000000000001</v>
      </c>
      <c r="BL35" s="289">
        <v>0.09</v>
      </c>
      <c r="BM35" s="289">
        <v>0.11</v>
      </c>
      <c r="BN35" s="289">
        <v>-0.44</v>
      </c>
      <c r="BO35" s="289" t="s">
        <v>292</v>
      </c>
      <c r="BP35" s="290">
        <v>3835</v>
      </c>
      <c r="BQ35" s="290">
        <v>1543</v>
      </c>
      <c r="BR35" s="290">
        <v>5858</v>
      </c>
      <c r="BS35" s="290">
        <v>63</v>
      </c>
      <c r="BT35" s="290">
        <f t="shared" si="21"/>
        <v>11299</v>
      </c>
      <c r="BU35" s="289">
        <f t="shared" si="39"/>
        <v>114.11433693618322</v>
      </c>
      <c r="BV35" s="289">
        <f t="shared" si="40"/>
        <v>162.77763961412515</v>
      </c>
      <c r="BW35" s="289">
        <f t="shared" si="41"/>
        <v>185.75262412602885</v>
      </c>
      <c r="BX35" s="289">
        <f t="shared" si="25"/>
        <v>5.0418538236671537</v>
      </c>
      <c r="BY35" s="289">
        <v>4</v>
      </c>
      <c r="BZ35" s="289">
        <v>5.76</v>
      </c>
      <c r="CA35" s="289">
        <v>11.57</v>
      </c>
      <c r="CB35" s="289">
        <f t="shared" si="26"/>
        <v>5.8100000000000005</v>
      </c>
      <c r="CC35" s="289">
        <v>10.16</v>
      </c>
      <c r="CD35" s="289">
        <v>13.22</v>
      </c>
      <c r="CE35" s="289">
        <f t="shared" si="42"/>
        <v>3.0600000000000005</v>
      </c>
    </row>
    <row r="36" spans="1:83" s="160" customFormat="1" ht="9.9499999999999993" customHeight="1">
      <c r="A36" s="159"/>
      <c r="B36" s="159"/>
      <c r="C36" s="159"/>
      <c r="D36" s="159"/>
      <c r="E36" s="159"/>
      <c r="F36" s="159"/>
      <c r="G36" s="159"/>
      <c r="H36" s="159"/>
      <c r="I36" s="1586" t="s">
        <v>554</v>
      </c>
      <c r="J36" s="455">
        <v>309094.2</v>
      </c>
      <c r="K36" s="455">
        <v>1919.5</v>
      </c>
      <c r="L36" s="455">
        <f t="shared" si="6"/>
        <v>311013.7</v>
      </c>
      <c r="M36" s="455">
        <v>27460.3</v>
      </c>
      <c r="N36" s="455">
        <f t="shared" si="7"/>
        <v>283553.40000000002</v>
      </c>
      <c r="O36" s="455">
        <v>27199.3</v>
      </c>
      <c r="P36" s="455">
        <v>108428.8</v>
      </c>
      <c r="Q36" s="455">
        <v>192323.6</v>
      </c>
      <c r="R36" s="455">
        <v>1548685.5</v>
      </c>
      <c r="S36" s="455">
        <f t="shared" si="32"/>
        <v>1741009.1</v>
      </c>
      <c r="T36" s="455">
        <f t="shared" si="33"/>
        <v>1849437.9000000001</v>
      </c>
      <c r="U36" s="455">
        <v>586.20000000000005</v>
      </c>
      <c r="V36" s="455">
        <v>375273.19999999995</v>
      </c>
      <c r="W36" s="455">
        <f t="shared" si="34"/>
        <v>476463.2</v>
      </c>
      <c r="X36" s="455">
        <f t="shared" si="35"/>
        <v>2025148.7</v>
      </c>
      <c r="Y36" s="455">
        <v>2412537.1072327266</v>
      </c>
      <c r="Z36" s="247" t="s">
        <v>554</v>
      </c>
      <c r="AA36" s="225">
        <v>0</v>
      </c>
      <c r="AB36" s="455">
        <v>55435.8</v>
      </c>
      <c r="AC36" s="455">
        <v>1587724.6</v>
      </c>
      <c r="AD36" s="225">
        <f t="shared" si="12"/>
        <v>1643160.4000000001</v>
      </c>
      <c r="AE36" s="225">
        <v>0</v>
      </c>
      <c r="AF36" s="455">
        <v>481.4</v>
      </c>
      <c r="AG36" s="455">
        <v>25950.400000000001</v>
      </c>
      <c r="AH36" s="455">
        <f t="shared" si="13"/>
        <v>26431.800000000003</v>
      </c>
      <c r="AI36" s="465">
        <v>26413.3</v>
      </c>
      <c r="AJ36" s="465">
        <v>411964.5</v>
      </c>
      <c r="AK36" s="465">
        <v>29279.7</v>
      </c>
      <c r="AL36" s="465">
        <f t="shared" si="36"/>
        <v>441244.2</v>
      </c>
      <c r="AM36" s="465">
        <f t="shared" si="37"/>
        <v>26413.3</v>
      </c>
      <c r="AN36" s="465">
        <f t="shared" si="37"/>
        <v>467881.7</v>
      </c>
      <c r="AO36" s="465">
        <f t="shared" si="37"/>
        <v>1642954.7</v>
      </c>
      <c r="AP36" s="465">
        <f t="shared" si="37"/>
        <v>2110836.4000000004</v>
      </c>
      <c r="AQ36" s="247" t="s">
        <v>554</v>
      </c>
      <c r="AR36" s="455">
        <v>15725.6</v>
      </c>
      <c r="AS36" s="455">
        <v>151888.6</v>
      </c>
      <c r="AT36" s="455">
        <v>32247.4</v>
      </c>
      <c r="AU36" s="455">
        <v>473.9</v>
      </c>
      <c r="AV36" s="455">
        <f>1849475.8-11.02</f>
        <v>1849464.78</v>
      </c>
      <c r="AW36" s="455">
        <v>16844.900000000001</v>
      </c>
      <c r="AX36" s="455">
        <f t="shared" si="16"/>
        <v>1866309.68</v>
      </c>
      <c r="AY36" s="455">
        <f t="shared" si="38"/>
        <v>74652.387199999997</v>
      </c>
      <c r="AZ36" s="455">
        <f t="shared" si="18"/>
        <v>-10980.479899999991</v>
      </c>
      <c r="BA36" s="455">
        <f>63673.3-1.3927</f>
        <v>63671.907300000006</v>
      </c>
      <c r="BB36" s="455">
        <v>4724641.2</v>
      </c>
      <c r="BC36" s="455">
        <f t="shared" si="19"/>
        <v>374685.60730000003</v>
      </c>
      <c r="BD36" s="224">
        <v>28356.799999999999</v>
      </c>
      <c r="BE36" s="455">
        <v>74276.7</v>
      </c>
      <c r="BF36" s="455">
        <v>16566.900000000001</v>
      </c>
      <c r="BG36" s="455">
        <v>407858.8</v>
      </c>
      <c r="BH36" s="455">
        <f t="shared" si="20"/>
        <v>527059.20000000007</v>
      </c>
      <c r="BI36" s="247" t="s">
        <v>554</v>
      </c>
      <c r="BJ36" s="536">
        <v>-4.25</v>
      </c>
      <c r="BK36" s="250">
        <v>-4.41</v>
      </c>
      <c r="BL36" s="250">
        <v>0.67</v>
      </c>
      <c r="BM36" s="250">
        <v>-0.44</v>
      </c>
      <c r="BN36" s="250">
        <v>-0.4</v>
      </c>
      <c r="BO36" s="250" t="s">
        <v>292</v>
      </c>
      <c r="BP36" s="376">
        <v>3835</v>
      </c>
      <c r="BQ36" s="376">
        <v>1543</v>
      </c>
      <c r="BR36" s="376">
        <v>5859</v>
      </c>
      <c r="BS36" s="376">
        <v>63</v>
      </c>
      <c r="BT36" s="376">
        <f t="shared" si="21"/>
        <v>11300</v>
      </c>
      <c r="BU36" s="250">
        <f t="shared" si="39"/>
        <v>114.13228426009823</v>
      </c>
      <c r="BV36" s="250">
        <f t="shared" si="40"/>
        <v>163.66944955752211</v>
      </c>
      <c r="BW36" s="250">
        <f t="shared" si="41"/>
        <v>186.79968141592923</v>
      </c>
      <c r="BX36" s="250">
        <f t="shared" si="25"/>
        <v>4.9274908225070391</v>
      </c>
      <c r="BY36" s="250">
        <v>4</v>
      </c>
      <c r="BZ36" s="250">
        <v>5.84</v>
      </c>
      <c r="CA36" s="250">
        <v>11.7</v>
      </c>
      <c r="CB36" s="250">
        <f t="shared" si="26"/>
        <v>5.8599999999999994</v>
      </c>
      <c r="CC36" s="250">
        <v>10.24</v>
      </c>
      <c r="CD36" s="250">
        <v>13.47</v>
      </c>
      <c r="CE36" s="250">
        <f t="shared" si="42"/>
        <v>3.2300000000000004</v>
      </c>
    </row>
    <row r="37" spans="1:83" s="160" customFormat="1" ht="9.9499999999999993" customHeight="1">
      <c r="A37" s="159"/>
      <c r="B37" s="159"/>
      <c r="C37" s="159"/>
      <c r="D37" s="159"/>
      <c r="E37" s="159"/>
      <c r="F37" s="159"/>
      <c r="G37" s="159"/>
      <c r="H37" s="159"/>
      <c r="I37" s="392" t="s">
        <v>561</v>
      </c>
      <c r="J37" s="450">
        <v>301078.3</v>
      </c>
      <c r="K37" s="450">
        <v>1924.1</v>
      </c>
      <c r="L37" s="450">
        <f t="shared" si="6"/>
        <v>303002.39999999997</v>
      </c>
      <c r="M37" s="450">
        <v>25191.7</v>
      </c>
      <c r="N37" s="450">
        <f t="shared" si="7"/>
        <v>277810.69999999995</v>
      </c>
      <c r="O37" s="450">
        <v>32532.1</v>
      </c>
      <c r="P37" s="450">
        <v>109880.9</v>
      </c>
      <c r="Q37" s="450">
        <v>194581.2</v>
      </c>
      <c r="R37" s="450">
        <v>1560636.3</v>
      </c>
      <c r="S37" s="450">
        <f t="shared" si="32"/>
        <v>1755217.5</v>
      </c>
      <c r="T37" s="450">
        <f t="shared" si="33"/>
        <v>1865098.4</v>
      </c>
      <c r="U37" s="450">
        <v>482.8</v>
      </c>
      <c r="V37" s="450">
        <v>369255.3</v>
      </c>
      <c r="W37" s="450">
        <f t="shared" si="34"/>
        <v>472874.69999999995</v>
      </c>
      <c r="X37" s="450">
        <f t="shared" si="35"/>
        <v>2033511</v>
      </c>
      <c r="Y37" s="450">
        <v>2417216.3393610516</v>
      </c>
      <c r="Z37" s="320" t="s">
        <v>561</v>
      </c>
      <c r="AA37" s="283">
        <v>0</v>
      </c>
      <c r="AB37" s="450">
        <v>54629.8</v>
      </c>
      <c r="AC37" s="450">
        <v>1592908.2</v>
      </c>
      <c r="AD37" s="450">
        <f t="shared" si="12"/>
        <v>1647538</v>
      </c>
      <c r="AE37" s="450">
        <v>0</v>
      </c>
      <c r="AF37" s="450">
        <v>476.8</v>
      </c>
      <c r="AG37" s="450">
        <v>24852.1</v>
      </c>
      <c r="AH37" s="450">
        <f t="shared" si="13"/>
        <v>25328.899999999998</v>
      </c>
      <c r="AI37" s="453">
        <v>26121</v>
      </c>
      <c r="AJ37" s="453">
        <v>432534.7</v>
      </c>
      <c r="AK37" s="453">
        <v>29561.5</v>
      </c>
      <c r="AL37" s="450">
        <f t="shared" si="36"/>
        <v>462096.2</v>
      </c>
      <c r="AM37" s="450">
        <f t="shared" si="37"/>
        <v>26121</v>
      </c>
      <c r="AN37" s="450">
        <f t="shared" si="37"/>
        <v>487641.30000000005</v>
      </c>
      <c r="AO37" s="450">
        <f t="shared" si="37"/>
        <v>1647321.8</v>
      </c>
      <c r="AP37" s="453">
        <f t="shared" si="37"/>
        <v>2134963.1</v>
      </c>
      <c r="AQ37" s="320" t="s">
        <v>561</v>
      </c>
      <c r="AR37" s="450">
        <v>15843.7</v>
      </c>
      <c r="AS37" s="450">
        <v>155189.5</v>
      </c>
      <c r="AT37" s="450">
        <v>33321.4</v>
      </c>
      <c r="AU37" s="450">
        <v>454.6</v>
      </c>
      <c r="AV37" s="450">
        <f>1863917.6-11.06</f>
        <v>1863906.54</v>
      </c>
      <c r="AW37" s="450">
        <v>17702.3</v>
      </c>
      <c r="AX37" s="450">
        <f t="shared" si="16"/>
        <v>1881608.84</v>
      </c>
      <c r="AY37" s="450">
        <f t="shared" si="38"/>
        <v>75264.353600000002</v>
      </c>
      <c r="AZ37" s="450">
        <f t="shared" si="18"/>
        <v>-9497.1474000000017</v>
      </c>
      <c r="BA37" s="450">
        <f>65770.1-2.8938</f>
        <v>65767.206200000001</v>
      </c>
      <c r="BB37" s="450">
        <v>4829354.7</v>
      </c>
      <c r="BC37" s="450">
        <f t="shared" si="19"/>
        <v>368769.60619999998</v>
      </c>
      <c r="BD37" s="282">
        <v>34193.300000000003</v>
      </c>
      <c r="BE37" s="450">
        <v>71143.100000000006</v>
      </c>
      <c r="BF37" s="450">
        <v>15527.3</v>
      </c>
      <c r="BG37" s="450">
        <v>428429.5</v>
      </c>
      <c r="BH37" s="450">
        <f t="shared" si="20"/>
        <v>549293.20000000007</v>
      </c>
      <c r="BI37" s="320" t="s">
        <v>561</v>
      </c>
      <c r="BJ37" s="440">
        <v>0.56000000000000005</v>
      </c>
      <c r="BK37" s="289">
        <v>-3.94</v>
      </c>
      <c r="BL37" s="289">
        <v>0.91</v>
      </c>
      <c r="BM37" s="289">
        <v>0.73</v>
      </c>
      <c r="BN37" s="289">
        <v>0.01</v>
      </c>
      <c r="BO37" s="289" t="s">
        <v>292</v>
      </c>
      <c r="BP37" s="290">
        <v>3835</v>
      </c>
      <c r="BQ37" s="290">
        <v>1543</v>
      </c>
      <c r="BR37" s="290">
        <v>5860</v>
      </c>
      <c r="BS37" s="290">
        <v>63</v>
      </c>
      <c r="BT37" s="290">
        <f t="shared" si="21"/>
        <v>11301</v>
      </c>
      <c r="BU37" s="289">
        <f t="shared" si="39"/>
        <v>114.54239009215559</v>
      </c>
      <c r="BV37" s="289">
        <f t="shared" ref="BV37:BV42" si="43">AV37/BT37</f>
        <v>164.93288558534644</v>
      </c>
      <c r="BW37" s="289">
        <f t="shared" si="41"/>
        <v>188.91806919741617</v>
      </c>
      <c r="BX37" s="289">
        <f t="shared" si="25"/>
        <v>4.8800143273278067</v>
      </c>
      <c r="BY37" s="289">
        <v>4</v>
      </c>
      <c r="BZ37" s="289">
        <v>5.9</v>
      </c>
      <c r="CA37" s="289">
        <v>11.77</v>
      </c>
      <c r="CB37" s="289">
        <f t="shared" ref="CB37:CB45" si="44">CA37-BZ37</f>
        <v>5.8699999999999992</v>
      </c>
      <c r="CC37" s="289">
        <v>10.35</v>
      </c>
      <c r="CD37" s="289">
        <v>13.58</v>
      </c>
      <c r="CE37" s="289">
        <f t="shared" si="42"/>
        <v>3.2300000000000004</v>
      </c>
    </row>
    <row r="38" spans="1:83" s="160" customFormat="1" ht="9.9499999999999993" customHeight="1">
      <c r="A38" s="159"/>
      <c r="B38" s="159"/>
      <c r="C38" s="159"/>
      <c r="D38" s="159"/>
      <c r="E38" s="159"/>
      <c r="F38" s="159"/>
      <c r="G38" s="159"/>
      <c r="H38" s="159"/>
      <c r="I38" s="1586" t="s">
        <v>562</v>
      </c>
      <c r="J38" s="455">
        <v>299845.8</v>
      </c>
      <c r="K38" s="455">
        <v>1928.8</v>
      </c>
      <c r="L38" s="455">
        <f t="shared" si="6"/>
        <v>301774.59999999998</v>
      </c>
      <c r="M38" s="455">
        <v>24317.9</v>
      </c>
      <c r="N38" s="455">
        <f t="shared" si="7"/>
        <v>277456.69999999995</v>
      </c>
      <c r="O38" s="455">
        <v>34374.1</v>
      </c>
      <c r="P38" s="455">
        <v>112689.5</v>
      </c>
      <c r="Q38" s="455">
        <v>191263.4</v>
      </c>
      <c r="R38" s="455">
        <v>1571592.2</v>
      </c>
      <c r="S38" s="455">
        <f t="shared" si="32"/>
        <v>1762855.5999999999</v>
      </c>
      <c r="T38" s="455">
        <f t="shared" si="33"/>
        <v>1875545.0999999999</v>
      </c>
      <c r="U38" s="455">
        <v>472.7</v>
      </c>
      <c r="V38" s="455">
        <v>388455.9</v>
      </c>
      <c r="W38" s="455">
        <f t="shared" si="34"/>
        <v>469192.8</v>
      </c>
      <c r="X38" s="455">
        <f t="shared" si="35"/>
        <v>2040785</v>
      </c>
      <c r="Y38" s="455">
        <v>2422899.3788606417</v>
      </c>
      <c r="Z38" s="247" t="s">
        <v>562</v>
      </c>
      <c r="AA38" s="225">
        <v>0</v>
      </c>
      <c r="AB38" s="455">
        <v>55618.3</v>
      </c>
      <c r="AC38" s="455">
        <v>1600737.2</v>
      </c>
      <c r="AD38" s="455">
        <f t="shared" si="12"/>
        <v>1656355.5</v>
      </c>
      <c r="AE38" s="455">
        <v>0</v>
      </c>
      <c r="AF38" s="455">
        <v>474.1</v>
      </c>
      <c r="AG38" s="455">
        <v>24737.599999999999</v>
      </c>
      <c r="AH38" s="455">
        <f t="shared" si="13"/>
        <v>25211.699999999997</v>
      </c>
      <c r="AI38" s="465">
        <v>25705.9</v>
      </c>
      <c r="AJ38" s="465">
        <v>444694.1</v>
      </c>
      <c r="AK38" s="465">
        <v>29343.599999999999</v>
      </c>
      <c r="AL38" s="465">
        <f t="shared" si="36"/>
        <v>474037.69999999995</v>
      </c>
      <c r="AM38" s="465">
        <f t="shared" si="37"/>
        <v>25705.9</v>
      </c>
      <c r="AN38" s="465">
        <f t="shared" si="37"/>
        <v>500786.5</v>
      </c>
      <c r="AO38" s="465">
        <f t="shared" si="37"/>
        <v>1654818.4000000001</v>
      </c>
      <c r="AP38" s="465">
        <f t="shared" si="37"/>
        <v>2155604.9</v>
      </c>
      <c r="AQ38" s="247" t="s">
        <v>562</v>
      </c>
      <c r="AR38" s="455">
        <v>16149.4</v>
      </c>
      <c r="AS38" s="455">
        <v>178864.9</v>
      </c>
      <c r="AT38" s="455">
        <v>33099.5</v>
      </c>
      <c r="AU38" s="455">
        <v>430.5</v>
      </c>
      <c r="AV38" s="455">
        <f>1875604.3-10.82</f>
        <v>1875593.48</v>
      </c>
      <c r="AW38" s="455">
        <v>18986.5</v>
      </c>
      <c r="AX38" s="455">
        <f t="shared" si="16"/>
        <v>1894579.98</v>
      </c>
      <c r="AY38" s="455">
        <f t="shared" si="38"/>
        <v>75783.199200000003</v>
      </c>
      <c r="AZ38" s="455">
        <f t="shared" si="18"/>
        <v>10423.463400000008</v>
      </c>
      <c r="BA38" s="455">
        <f>86208.6-1.9374</f>
        <v>86206.662600000011</v>
      </c>
      <c r="BB38" s="455">
        <v>4918707</v>
      </c>
      <c r="BC38" s="455">
        <f t="shared" si="19"/>
        <v>387981.26260000002</v>
      </c>
      <c r="BD38" s="224">
        <v>36307.9</v>
      </c>
      <c r="BE38" s="455">
        <v>71725.899999999994</v>
      </c>
      <c r="BF38" s="455">
        <v>16125.1</v>
      </c>
      <c r="BG38" s="455">
        <v>440596.3</v>
      </c>
      <c r="BH38" s="455">
        <f t="shared" si="20"/>
        <v>564755.19999999995</v>
      </c>
      <c r="BI38" s="247" t="s">
        <v>562</v>
      </c>
      <c r="BJ38" s="536">
        <v>3.24</v>
      </c>
      <c r="BK38" s="250">
        <v>-3.15</v>
      </c>
      <c r="BL38" s="250">
        <v>1.41</v>
      </c>
      <c r="BM38" s="250">
        <v>1.67</v>
      </c>
      <c r="BN38" s="250">
        <v>0.37</v>
      </c>
      <c r="BO38" s="250" t="s">
        <v>292</v>
      </c>
      <c r="BP38" s="376">
        <v>3836</v>
      </c>
      <c r="BQ38" s="376">
        <v>1543</v>
      </c>
      <c r="BR38" s="376">
        <v>5863</v>
      </c>
      <c r="BS38" s="376">
        <v>63</v>
      </c>
      <c r="BT38" s="376">
        <f t="shared" si="21"/>
        <v>11305</v>
      </c>
      <c r="BU38" s="250">
        <f t="shared" ref="BU38:BU43" si="45">AP38/AV38*100</f>
        <v>114.92921696443517</v>
      </c>
      <c r="BV38" s="250">
        <f t="shared" si="43"/>
        <v>165.90831313578062</v>
      </c>
      <c r="BW38" s="250">
        <f t="shared" si="41"/>
        <v>190.67712516585581</v>
      </c>
      <c r="BX38" s="250">
        <f t="shared" si="25"/>
        <v>5.8927781408154614</v>
      </c>
      <c r="BY38" s="250">
        <v>4</v>
      </c>
      <c r="BZ38" s="250">
        <v>5.99</v>
      </c>
      <c r="CA38" s="250">
        <v>11.84</v>
      </c>
      <c r="CB38" s="250">
        <f t="shared" si="44"/>
        <v>5.85</v>
      </c>
      <c r="CC38" s="250">
        <v>10.43</v>
      </c>
      <c r="CD38" s="250">
        <v>13.67</v>
      </c>
      <c r="CE38" s="250">
        <f t="shared" si="42"/>
        <v>3.24</v>
      </c>
    </row>
    <row r="39" spans="1:83" s="160" customFormat="1" ht="9.9499999999999993" customHeight="1">
      <c r="A39" s="159"/>
      <c r="B39" s="159"/>
      <c r="C39" s="159"/>
      <c r="D39" s="159"/>
      <c r="E39" s="159"/>
      <c r="F39" s="159"/>
      <c r="G39" s="159"/>
      <c r="H39" s="159"/>
      <c r="I39" s="392" t="s">
        <v>555</v>
      </c>
      <c r="J39" s="450">
        <v>302994.59999999998</v>
      </c>
      <c r="K39" s="450">
        <v>1934.1</v>
      </c>
      <c r="L39" s="450">
        <f t="shared" si="6"/>
        <v>304928.69999999995</v>
      </c>
      <c r="M39" s="450">
        <v>28557.200000000001</v>
      </c>
      <c r="N39" s="450">
        <f t="shared" si="7"/>
        <v>276371.49999999994</v>
      </c>
      <c r="O39" s="450">
        <v>37779.9</v>
      </c>
      <c r="P39" s="450">
        <v>118809</v>
      </c>
      <c r="Q39" s="450">
        <v>197985.6</v>
      </c>
      <c r="R39" s="450">
        <v>1578762.3</v>
      </c>
      <c r="S39" s="450">
        <f t="shared" si="32"/>
        <v>1776747.9000000001</v>
      </c>
      <c r="T39" s="450">
        <f t="shared" si="33"/>
        <v>1895556.9000000001</v>
      </c>
      <c r="U39" s="450">
        <v>562.5</v>
      </c>
      <c r="V39" s="450">
        <v>399499.70000000007</v>
      </c>
      <c r="W39" s="450">
        <f t="shared" si="34"/>
        <v>474919.6</v>
      </c>
      <c r="X39" s="450">
        <f t="shared" si="35"/>
        <v>2053681.9</v>
      </c>
      <c r="Y39" s="450">
        <v>2434577.0204889108</v>
      </c>
      <c r="Z39" s="320" t="s">
        <v>555</v>
      </c>
      <c r="AA39" s="283">
        <v>0</v>
      </c>
      <c r="AB39" s="450">
        <v>55517</v>
      </c>
      <c r="AC39" s="450">
        <v>1618209.2</v>
      </c>
      <c r="AD39" s="450">
        <f t="shared" si="12"/>
        <v>1673726.2</v>
      </c>
      <c r="AE39" s="450">
        <v>0</v>
      </c>
      <c r="AF39" s="450">
        <v>468.5</v>
      </c>
      <c r="AG39" s="450">
        <v>28646.5</v>
      </c>
      <c r="AH39" s="450">
        <f t="shared" si="13"/>
        <v>29115</v>
      </c>
      <c r="AI39" s="453">
        <v>25473.599999999999</v>
      </c>
      <c r="AJ39" s="453">
        <v>445383.5</v>
      </c>
      <c r="AK39" s="453">
        <v>28989.1</v>
      </c>
      <c r="AL39" s="453">
        <f t="shared" si="36"/>
        <v>474372.6</v>
      </c>
      <c r="AM39" s="453">
        <f t="shared" si="37"/>
        <v>25473.599999999999</v>
      </c>
      <c r="AN39" s="453">
        <f t="shared" si="37"/>
        <v>501369</v>
      </c>
      <c r="AO39" s="453">
        <f t="shared" si="37"/>
        <v>1675844.8</v>
      </c>
      <c r="AP39" s="453">
        <f t="shared" si="37"/>
        <v>2177213.7999999998</v>
      </c>
      <c r="AQ39" s="320" t="s">
        <v>555</v>
      </c>
      <c r="AR39" s="450">
        <v>16252.2</v>
      </c>
      <c r="AS39" s="450">
        <v>189320.1</v>
      </c>
      <c r="AT39" s="450">
        <v>34612</v>
      </c>
      <c r="AU39" s="450">
        <v>272.3</v>
      </c>
      <c r="AV39" s="450">
        <f>1895617.4-8.67</f>
        <v>1895608.73</v>
      </c>
      <c r="AW39" s="450">
        <v>17253</v>
      </c>
      <c r="AX39" s="450">
        <f t="shared" si="16"/>
        <v>1912861.73</v>
      </c>
      <c r="AY39" s="450">
        <f t="shared" si="38"/>
        <v>76514.469200000007</v>
      </c>
      <c r="AZ39" s="450">
        <f t="shared" si="18"/>
        <v>17492.901999999987</v>
      </c>
      <c r="BA39" s="450">
        <f>94008.5-1.1288</f>
        <v>94007.371199999994</v>
      </c>
      <c r="BB39" s="450">
        <v>4629403.0999999996</v>
      </c>
      <c r="BC39" s="450">
        <f t="shared" si="19"/>
        <v>398936.07119999995</v>
      </c>
      <c r="BD39" s="282">
        <v>19409.599999999999</v>
      </c>
      <c r="BE39" s="450">
        <v>70844.600000000006</v>
      </c>
      <c r="BF39" s="450">
        <v>16573.599999999999</v>
      </c>
      <c r="BG39" s="450">
        <v>441369.1</v>
      </c>
      <c r="BH39" s="450">
        <f t="shared" si="20"/>
        <v>548196.89999999991</v>
      </c>
      <c r="BI39" s="320" t="s">
        <v>555</v>
      </c>
      <c r="BJ39" s="440">
        <v>-2.19</v>
      </c>
      <c r="BK39" s="289">
        <v>1.85</v>
      </c>
      <c r="BL39" s="289">
        <v>2.67</v>
      </c>
      <c r="BM39" s="289">
        <v>1.68</v>
      </c>
      <c r="BN39" s="289">
        <v>1.01</v>
      </c>
      <c r="BO39" s="289" t="s">
        <v>292</v>
      </c>
      <c r="BP39" s="290">
        <v>3843</v>
      </c>
      <c r="BQ39" s="290">
        <v>1543</v>
      </c>
      <c r="BR39" s="290">
        <v>5912</v>
      </c>
      <c r="BS39" s="290">
        <v>63</v>
      </c>
      <c r="BT39" s="290">
        <f t="shared" si="21"/>
        <v>11361</v>
      </c>
      <c r="BU39" s="289">
        <f t="shared" si="45"/>
        <v>114.85565378251871</v>
      </c>
      <c r="BV39" s="289">
        <f t="shared" si="43"/>
        <v>166.85227796848869</v>
      </c>
      <c r="BW39" s="289">
        <f t="shared" si="41"/>
        <v>191.63927471173309</v>
      </c>
      <c r="BX39" s="289">
        <f t="shared" ref="BX39:BX44" si="46">(M39+BA39)/AV39*100</f>
        <v>6.4657104211584837</v>
      </c>
      <c r="BY39" s="289">
        <v>4</v>
      </c>
      <c r="BZ39" s="289">
        <v>6.01</v>
      </c>
      <c r="CA39" s="289">
        <v>11.84</v>
      </c>
      <c r="CB39" s="289">
        <f t="shared" si="44"/>
        <v>5.83</v>
      </c>
      <c r="CC39" s="289">
        <v>10.51</v>
      </c>
      <c r="CD39" s="289">
        <v>13.72</v>
      </c>
      <c r="CE39" s="289">
        <f t="shared" si="42"/>
        <v>3.2100000000000009</v>
      </c>
    </row>
    <row r="40" spans="1:83" s="160" customFormat="1" ht="9.9499999999999993" customHeight="1">
      <c r="A40" s="159"/>
      <c r="B40" s="159"/>
      <c r="C40" s="159"/>
      <c r="D40" s="159"/>
      <c r="E40" s="159"/>
      <c r="F40" s="159"/>
      <c r="G40" s="159"/>
      <c r="H40" s="159"/>
      <c r="I40" s="1779" t="s">
        <v>563</v>
      </c>
      <c r="J40" s="455">
        <v>297571.3</v>
      </c>
      <c r="K40" s="455">
        <v>1939.6</v>
      </c>
      <c r="L40" s="455">
        <f t="shared" si="6"/>
        <v>299510.89999999997</v>
      </c>
      <c r="M40" s="455">
        <v>25280</v>
      </c>
      <c r="N40" s="455">
        <f t="shared" si="7"/>
        <v>274230.89999999997</v>
      </c>
      <c r="O40" s="455">
        <v>36615</v>
      </c>
      <c r="P40" s="455">
        <v>115816.8</v>
      </c>
      <c r="Q40" s="455">
        <v>188985.8</v>
      </c>
      <c r="R40" s="455">
        <v>1592301.7</v>
      </c>
      <c r="S40" s="455">
        <f t="shared" si="32"/>
        <v>1781287.5</v>
      </c>
      <c r="T40" s="455">
        <f t="shared" si="33"/>
        <v>1897104.3</v>
      </c>
      <c r="U40" s="455">
        <v>514.4</v>
      </c>
      <c r="V40" s="455">
        <v>378708.3</v>
      </c>
      <c r="W40" s="455">
        <f t="shared" si="34"/>
        <v>463731.1</v>
      </c>
      <c r="X40" s="455">
        <f t="shared" si="35"/>
        <v>2056032.7999999998</v>
      </c>
      <c r="Y40" s="455">
        <v>2431442.2775510582</v>
      </c>
      <c r="Z40" s="247" t="s">
        <v>563</v>
      </c>
      <c r="AA40" s="225">
        <v>0</v>
      </c>
      <c r="AB40" s="455">
        <v>55896.9</v>
      </c>
      <c r="AC40" s="455">
        <v>1611343.5</v>
      </c>
      <c r="AD40" s="455">
        <f t="shared" si="12"/>
        <v>1667240.4</v>
      </c>
      <c r="AE40" s="455">
        <v>0</v>
      </c>
      <c r="AF40" s="455">
        <v>464.7</v>
      </c>
      <c r="AG40" s="455">
        <v>30177.3</v>
      </c>
      <c r="AH40" s="455">
        <f t="shared" si="13"/>
        <v>30642</v>
      </c>
      <c r="AI40" s="465">
        <v>25481.5</v>
      </c>
      <c r="AJ40" s="465">
        <v>462601.3</v>
      </c>
      <c r="AK40" s="465">
        <v>28982.7</v>
      </c>
      <c r="AL40" s="465">
        <f t="shared" si="36"/>
        <v>491584</v>
      </c>
      <c r="AM40" s="465">
        <f t="shared" si="37"/>
        <v>25481.5</v>
      </c>
      <c r="AN40" s="465">
        <f t="shared" si="37"/>
        <v>518962.89999999997</v>
      </c>
      <c r="AO40" s="465">
        <f t="shared" si="37"/>
        <v>1670503.5</v>
      </c>
      <c r="AP40" s="465">
        <f t="shared" si="37"/>
        <v>2189466.4</v>
      </c>
      <c r="AQ40" s="247" t="s">
        <v>563</v>
      </c>
      <c r="AR40" s="455">
        <v>16500.3</v>
      </c>
      <c r="AS40" s="455">
        <v>192132</v>
      </c>
      <c r="AT40" s="455">
        <v>36875.300000000003</v>
      </c>
      <c r="AU40" s="455">
        <v>584.4</v>
      </c>
      <c r="AV40" s="455">
        <f>1897178-9.21</f>
        <v>1897168.79</v>
      </c>
      <c r="AW40" s="455">
        <v>18749.8</v>
      </c>
      <c r="AX40" s="455">
        <f t="shared" si="16"/>
        <v>1915918.59</v>
      </c>
      <c r="AY40" s="455">
        <f t="shared" si="38"/>
        <v>76636.743600000002</v>
      </c>
      <c r="AZ40" s="455">
        <f t="shared" si="18"/>
        <v>2042.7814999999973</v>
      </c>
      <c r="BA40" s="455">
        <f>78683-3.4749</f>
        <v>78679.525099999999</v>
      </c>
      <c r="BB40" s="455">
        <v>4649821.0999999996</v>
      </c>
      <c r="BC40" s="455">
        <f t="shared" si="19"/>
        <v>378190.42509999999</v>
      </c>
      <c r="BD40" s="224">
        <v>22096.7</v>
      </c>
      <c r="BE40" s="455">
        <v>67100.899999999994</v>
      </c>
      <c r="BF40" s="455">
        <v>17288.599999999999</v>
      </c>
      <c r="BG40" s="455">
        <v>458620</v>
      </c>
      <c r="BH40" s="455">
        <f t="shared" si="20"/>
        <v>565106.19999999995</v>
      </c>
      <c r="BI40" s="247" t="s">
        <v>563</v>
      </c>
      <c r="BJ40" s="536">
        <v>2.23</v>
      </c>
      <c r="BK40" s="250">
        <v>1.53</v>
      </c>
      <c r="BL40" s="250">
        <v>2.37</v>
      </c>
      <c r="BM40" s="250">
        <v>2.3199999999999998</v>
      </c>
      <c r="BN40" s="250">
        <v>1.1200000000000001</v>
      </c>
      <c r="BO40" s="250" t="s">
        <v>292</v>
      </c>
      <c r="BP40" s="376">
        <v>3843</v>
      </c>
      <c r="BQ40" s="376">
        <v>1543</v>
      </c>
      <c r="BR40" s="376">
        <v>5912</v>
      </c>
      <c r="BS40" s="376">
        <v>63</v>
      </c>
      <c r="BT40" s="376">
        <f t="shared" ref="BT40:BT53" si="47">SUM(BP40:BS40)</f>
        <v>11361</v>
      </c>
      <c r="BU40" s="250">
        <f t="shared" si="45"/>
        <v>115.40704293369699</v>
      </c>
      <c r="BV40" s="250">
        <f t="shared" si="43"/>
        <v>166.9895951060646</v>
      </c>
      <c r="BW40" s="250">
        <f t="shared" si="41"/>
        <v>192.71775371886278</v>
      </c>
      <c r="BX40" s="250">
        <f t="shared" si="46"/>
        <v>5.4797193401015205</v>
      </c>
      <c r="BY40" s="250">
        <v>4</v>
      </c>
      <c r="BZ40" s="250">
        <v>6.1</v>
      </c>
      <c r="CA40" s="250">
        <v>11.89</v>
      </c>
      <c r="CB40" s="250">
        <f t="shared" si="44"/>
        <v>5.7900000000000009</v>
      </c>
      <c r="CC40" s="250">
        <v>10.54</v>
      </c>
      <c r="CD40" s="250">
        <v>13.78</v>
      </c>
      <c r="CE40" s="250">
        <f t="shared" si="42"/>
        <v>3.24</v>
      </c>
    </row>
    <row r="41" spans="1:83" s="160" customFormat="1" ht="9.9499999999999993" customHeight="1">
      <c r="A41" s="159"/>
      <c r="B41" s="159"/>
      <c r="C41" s="159"/>
      <c r="D41" s="159"/>
      <c r="E41" s="159"/>
      <c r="F41" s="159"/>
      <c r="G41" s="159"/>
      <c r="H41" s="159"/>
      <c r="I41" s="392" t="s">
        <v>564</v>
      </c>
      <c r="J41" s="450">
        <v>296437.09999999998</v>
      </c>
      <c r="K41" s="450">
        <v>1945.3</v>
      </c>
      <c r="L41" s="450">
        <f t="shared" si="6"/>
        <v>298382.39999999997</v>
      </c>
      <c r="M41" s="450">
        <v>26886.799999999999</v>
      </c>
      <c r="N41" s="450">
        <f t="shared" si="7"/>
        <v>271495.59999999998</v>
      </c>
      <c r="O41" s="450">
        <v>35318.400000000001</v>
      </c>
      <c r="P41" s="450">
        <v>118191.2</v>
      </c>
      <c r="Q41" s="450">
        <v>190303.3</v>
      </c>
      <c r="R41" s="450">
        <v>1602382.6</v>
      </c>
      <c r="S41" s="450">
        <f t="shared" si="32"/>
        <v>1792685.9000000001</v>
      </c>
      <c r="T41" s="450">
        <f t="shared" si="33"/>
        <v>1910877.1</v>
      </c>
      <c r="U41" s="450">
        <v>478.8</v>
      </c>
      <c r="V41" s="450">
        <v>374602.9</v>
      </c>
      <c r="W41" s="450">
        <f t="shared" si="34"/>
        <v>462277.69999999995</v>
      </c>
      <c r="X41" s="450">
        <f t="shared" si="35"/>
        <v>2064660.3</v>
      </c>
      <c r="Y41" s="450">
        <v>2438641.9448999995</v>
      </c>
      <c r="Z41" s="320" t="s">
        <v>564</v>
      </c>
      <c r="AA41" s="283">
        <v>0</v>
      </c>
      <c r="AB41" s="450">
        <v>55495.8</v>
      </c>
      <c r="AC41" s="450">
        <v>1615286.9</v>
      </c>
      <c r="AD41" s="450">
        <f t="shared" si="12"/>
        <v>1670782.7</v>
      </c>
      <c r="AE41" s="450">
        <v>0</v>
      </c>
      <c r="AF41" s="450">
        <v>461.5</v>
      </c>
      <c r="AG41" s="450">
        <v>30398.3</v>
      </c>
      <c r="AH41" s="450">
        <f t="shared" si="13"/>
        <v>30859.8</v>
      </c>
      <c r="AI41" s="450">
        <v>25209.1</v>
      </c>
      <c r="AJ41" s="450">
        <v>470266</v>
      </c>
      <c r="AK41" s="450">
        <v>29010</v>
      </c>
      <c r="AL41" s="450">
        <f t="shared" si="36"/>
        <v>499276</v>
      </c>
      <c r="AM41" s="450">
        <f t="shared" si="37"/>
        <v>25209.1</v>
      </c>
      <c r="AN41" s="450">
        <f t="shared" si="37"/>
        <v>526223.30000000005</v>
      </c>
      <c r="AO41" s="450">
        <f t="shared" si="37"/>
        <v>1674695.2</v>
      </c>
      <c r="AP41" s="450">
        <f t="shared" si="37"/>
        <v>2200918.5</v>
      </c>
      <c r="AQ41" s="320" t="s">
        <v>564</v>
      </c>
      <c r="AR41" s="450">
        <v>16408.599999999999</v>
      </c>
      <c r="AS41" s="450">
        <v>186612.4</v>
      </c>
      <c r="AT41" s="450">
        <v>35148.800000000003</v>
      </c>
      <c r="AU41" s="450">
        <v>257.5</v>
      </c>
      <c r="AV41" s="450">
        <f>1910943.5-9.38</f>
        <v>1910934.12</v>
      </c>
      <c r="AW41" s="450">
        <v>20602.5</v>
      </c>
      <c r="AX41" s="450">
        <f t="shared" si="16"/>
        <v>1931536.62</v>
      </c>
      <c r="AY41" s="450">
        <f t="shared" si="38"/>
        <v>77261.464800000002</v>
      </c>
      <c r="AZ41" s="450">
        <f>BA41-AY41</f>
        <v>-1522.9844000000012</v>
      </c>
      <c r="BA41" s="450">
        <f>75741.7-3.2196</f>
        <v>75738.4804</v>
      </c>
      <c r="BB41" s="450">
        <v>4751570.2</v>
      </c>
      <c r="BC41" s="450">
        <f>L41+BA41</f>
        <v>374120.88039999997</v>
      </c>
      <c r="BD41" s="450">
        <v>16612.5</v>
      </c>
      <c r="BE41" s="450">
        <v>67879</v>
      </c>
      <c r="BF41" s="450">
        <v>16580.900000000001</v>
      </c>
      <c r="BG41" s="450">
        <v>466287</v>
      </c>
      <c r="BH41" s="450">
        <f t="shared" si="20"/>
        <v>567359.4</v>
      </c>
      <c r="BI41" s="320" t="s">
        <v>564</v>
      </c>
      <c r="BJ41" s="440">
        <v>2.12</v>
      </c>
      <c r="BK41" s="289">
        <v>2.16</v>
      </c>
      <c r="BL41" s="289">
        <v>2.63</v>
      </c>
      <c r="BM41" s="289">
        <v>2.52</v>
      </c>
      <c r="BN41" s="289">
        <v>1.55</v>
      </c>
      <c r="BO41" s="289" t="s">
        <v>292</v>
      </c>
      <c r="BP41" s="290">
        <v>3843</v>
      </c>
      <c r="BQ41" s="290">
        <v>1543</v>
      </c>
      <c r="BR41" s="290">
        <v>5912</v>
      </c>
      <c r="BS41" s="290">
        <v>63</v>
      </c>
      <c r="BT41" s="290">
        <f t="shared" si="47"/>
        <v>11361</v>
      </c>
      <c r="BU41" s="289">
        <f t="shared" si="45"/>
        <v>115.17500666114016</v>
      </c>
      <c r="BV41" s="289">
        <f t="shared" si="43"/>
        <v>168.20122524425668</v>
      </c>
      <c r="BW41" s="289">
        <f t="shared" si="41"/>
        <v>193.72577237919197</v>
      </c>
      <c r="BX41" s="289">
        <f t="shared" si="46"/>
        <v>5.3704248265764383</v>
      </c>
      <c r="BY41" s="289">
        <v>4</v>
      </c>
      <c r="BZ41" s="289">
        <v>6.14</v>
      </c>
      <c r="CA41" s="289">
        <v>11.94</v>
      </c>
      <c r="CB41" s="289">
        <f t="shared" si="44"/>
        <v>5.8</v>
      </c>
      <c r="CC41" s="289">
        <v>10.57</v>
      </c>
      <c r="CD41" s="289">
        <v>13.78</v>
      </c>
      <c r="CE41" s="289">
        <f t="shared" si="42"/>
        <v>3.2099999999999991</v>
      </c>
    </row>
    <row r="42" spans="1:83" s="160" customFormat="1" ht="9.9499999999999993" customHeight="1">
      <c r="A42" s="159"/>
      <c r="B42" s="159"/>
      <c r="C42" s="159"/>
      <c r="D42" s="159"/>
      <c r="E42" s="159"/>
      <c r="F42" s="159"/>
      <c r="G42" s="159"/>
      <c r="H42" s="159"/>
      <c r="I42" s="1586" t="s">
        <v>556</v>
      </c>
      <c r="J42" s="455">
        <v>319205.59999999998</v>
      </c>
      <c r="K42" s="455">
        <v>1955.2</v>
      </c>
      <c r="L42" s="455">
        <f t="shared" si="6"/>
        <v>321160.8</v>
      </c>
      <c r="M42" s="455">
        <v>24729.200000000001</v>
      </c>
      <c r="N42" s="455">
        <f t="shared" si="7"/>
        <v>296431.59999999998</v>
      </c>
      <c r="O42" s="455">
        <v>35863.699999999997</v>
      </c>
      <c r="P42" s="455">
        <v>118117</v>
      </c>
      <c r="Q42" s="455">
        <v>192584</v>
      </c>
      <c r="R42" s="455">
        <v>1625559.8</v>
      </c>
      <c r="S42" s="455">
        <f t="shared" si="32"/>
        <v>1818143.8</v>
      </c>
      <c r="T42" s="455">
        <f t="shared" si="33"/>
        <v>1936260.8</v>
      </c>
      <c r="U42" s="455">
        <v>516.6</v>
      </c>
      <c r="V42" s="455">
        <v>402733.60000000003</v>
      </c>
      <c r="W42" s="455">
        <f t="shared" ref="W42:W44" si="48">N42+Q42+U42</f>
        <v>489532.19999999995</v>
      </c>
      <c r="X42" s="455">
        <f t="shared" ref="X42:X44" si="49">R42+W42</f>
        <v>2115092</v>
      </c>
      <c r="Y42" s="455">
        <v>2488810.3949000002</v>
      </c>
      <c r="Z42" s="1140" t="s">
        <v>556</v>
      </c>
      <c r="AA42" s="455">
        <v>0</v>
      </c>
      <c r="AB42" s="455">
        <v>55539.9</v>
      </c>
      <c r="AC42" s="455">
        <v>1651045.9</v>
      </c>
      <c r="AD42" s="455">
        <f t="shared" si="12"/>
        <v>1706585.7999999998</v>
      </c>
      <c r="AE42" s="455">
        <v>0</v>
      </c>
      <c r="AF42" s="455">
        <v>458.2</v>
      </c>
      <c r="AG42" s="455">
        <v>29870.1</v>
      </c>
      <c r="AH42" s="455">
        <f t="shared" si="13"/>
        <v>30328.3</v>
      </c>
      <c r="AI42" s="455">
        <v>25197.599999999999</v>
      </c>
      <c r="AJ42" s="455">
        <v>472309.6</v>
      </c>
      <c r="AK42" s="455">
        <v>29156.6</v>
      </c>
      <c r="AL42" s="455">
        <f t="shared" ref="AL42" si="50">AJ42+AK42</f>
        <v>501466.19999999995</v>
      </c>
      <c r="AM42" s="455">
        <f t="shared" ref="AM42" si="51">AA42+AE42+AI42</f>
        <v>25197.599999999999</v>
      </c>
      <c r="AN42" s="455">
        <f t="shared" ref="AN42" si="52">AB42+AF42+AJ42</f>
        <v>528307.69999999995</v>
      </c>
      <c r="AO42" s="455">
        <f t="shared" ref="AO42" si="53">AC42+AG42+AK42</f>
        <v>1710072.6</v>
      </c>
      <c r="AP42" s="455">
        <f t="shared" ref="AP42" si="54">AD42+AH42+AL42</f>
        <v>2238380.2999999998</v>
      </c>
      <c r="AQ42" s="1140" t="s">
        <v>556</v>
      </c>
      <c r="AR42" s="455">
        <v>15856.4</v>
      </c>
      <c r="AS42" s="455">
        <v>191189.9</v>
      </c>
      <c r="AT42" s="455">
        <v>35320.6</v>
      </c>
      <c r="AU42" s="455">
        <v>286.2</v>
      </c>
      <c r="AV42" s="455">
        <f>1938372.1-8.35</f>
        <v>1938363.75</v>
      </c>
      <c r="AW42" s="455">
        <v>25001.4</v>
      </c>
      <c r="AX42" s="455">
        <f t="shared" si="16"/>
        <v>1963365.15</v>
      </c>
      <c r="AY42" s="455">
        <f t="shared" si="38"/>
        <v>78534.606</v>
      </c>
      <c r="AZ42" s="455">
        <f>BA42-AY42</f>
        <v>2518.7936000000045</v>
      </c>
      <c r="BA42" s="455">
        <f>81056.2-2.8004</f>
        <v>81053.399600000004</v>
      </c>
      <c r="BB42" s="455">
        <v>4873974.5999999996</v>
      </c>
      <c r="BC42" s="455">
        <f>L42+BA42</f>
        <v>402214.19959999999</v>
      </c>
      <c r="BD42" s="455">
        <v>35461.199999999997</v>
      </c>
      <c r="BE42" s="455">
        <v>67051.8</v>
      </c>
      <c r="BF42" s="455">
        <v>17092.8</v>
      </c>
      <c r="BG42" s="455">
        <v>468330.8</v>
      </c>
      <c r="BH42" s="455">
        <f t="shared" si="20"/>
        <v>587936.6</v>
      </c>
      <c r="BI42" s="1140" t="s">
        <v>556</v>
      </c>
      <c r="BJ42" s="536">
        <v>6.89</v>
      </c>
      <c r="BK42" s="536">
        <v>1.21</v>
      </c>
      <c r="BL42" s="536">
        <v>4.7699999999999996</v>
      </c>
      <c r="BM42" s="536">
        <v>5.1100000000000003</v>
      </c>
      <c r="BN42" s="536">
        <v>4.03</v>
      </c>
      <c r="BO42" s="250" t="s">
        <v>292</v>
      </c>
      <c r="BP42" s="376">
        <v>3843</v>
      </c>
      <c r="BQ42" s="376">
        <v>1543</v>
      </c>
      <c r="BR42" s="376">
        <v>5913</v>
      </c>
      <c r="BS42" s="376">
        <v>63</v>
      </c>
      <c r="BT42" s="376">
        <f t="shared" si="47"/>
        <v>11362</v>
      </c>
      <c r="BU42" s="250">
        <f t="shared" si="45"/>
        <v>115.47782504702741</v>
      </c>
      <c r="BV42" s="250">
        <f t="shared" si="43"/>
        <v>170.60057648301355</v>
      </c>
      <c r="BW42" s="250">
        <f t="shared" ref="BW42" si="55">AP42/BT42</f>
        <v>197.00583524027459</v>
      </c>
      <c r="BX42" s="250">
        <f t="shared" si="46"/>
        <v>5.4573141702634507</v>
      </c>
      <c r="BY42" s="250">
        <v>4</v>
      </c>
      <c r="BZ42" s="250">
        <v>6.17</v>
      </c>
      <c r="CA42" s="250">
        <v>12.04</v>
      </c>
      <c r="CB42" s="250">
        <f t="shared" si="44"/>
        <v>5.8699999999999992</v>
      </c>
      <c r="CC42" s="250">
        <v>10.61</v>
      </c>
      <c r="CD42" s="250">
        <v>13.79</v>
      </c>
      <c r="CE42" s="250">
        <f t="shared" si="42"/>
        <v>3.1799999999999997</v>
      </c>
    </row>
    <row r="43" spans="1:83" s="160" customFormat="1" ht="9.9499999999999993" customHeight="1">
      <c r="A43" s="159"/>
      <c r="B43" s="159"/>
      <c r="C43" s="9"/>
      <c r="D43" s="9"/>
      <c r="E43" s="9"/>
      <c r="F43" s="9"/>
      <c r="G43" s="9"/>
      <c r="H43" s="159"/>
      <c r="I43" s="1589" t="s">
        <v>565</v>
      </c>
      <c r="J43" s="450">
        <v>300725.8</v>
      </c>
      <c r="K43" s="450">
        <v>1958.4</v>
      </c>
      <c r="L43" s="450">
        <f t="shared" si="6"/>
        <v>302684.2</v>
      </c>
      <c r="M43" s="450">
        <v>25317.3</v>
      </c>
      <c r="N43" s="450">
        <f t="shared" si="7"/>
        <v>277366.90000000002</v>
      </c>
      <c r="O43" s="450">
        <v>33685.300000000003</v>
      </c>
      <c r="P43" s="450">
        <v>120437.2</v>
      </c>
      <c r="Q43" s="450">
        <v>193751</v>
      </c>
      <c r="R43" s="450">
        <v>1626346.9</v>
      </c>
      <c r="S43" s="450">
        <f t="shared" si="32"/>
        <v>1820097.9</v>
      </c>
      <c r="T43" s="450">
        <f t="shared" si="33"/>
        <v>1940535.0999999999</v>
      </c>
      <c r="U43" s="450">
        <v>518.6</v>
      </c>
      <c r="V43" s="450">
        <v>380645.5</v>
      </c>
      <c r="W43" s="450">
        <f t="shared" si="48"/>
        <v>471636.5</v>
      </c>
      <c r="X43" s="450">
        <f t="shared" si="49"/>
        <v>2097983.4</v>
      </c>
      <c r="Y43" s="450">
        <v>2473991.6448999997</v>
      </c>
      <c r="Z43" s="1192" t="s">
        <v>565</v>
      </c>
      <c r="AA43" s="450">
        <v>0</v>
      </c>
      <c r="AB43" s="450">
        <v>57501.8</v>
      </c>
      <c r="AC43" s="450">
        <v>1654510.6</v>
      </c>
      <c r="AD43" s="450">
        <f t="shared" si="12"/>
        <v>1712012.4000000001</v>
      </c>
      <c r="AE43" s="450">
        <v>0</v>
      </c>
      <c r="AF43" s="450">
        <v>456.6</v>
      </c>
      <c r="AG43" s="450">
        <v>28709.200000000001</v>
      </c>
      <c r="AH43" s="450">
        <f t="shared" si="13"/>
        <v>29165.8</v>
      </c>
      <c r="AI43" s="450">
        <v>25166.1</v>
      </c>
      <c r="AJ43" s="450">
        <v>487633.4</v>
      </c>
      <c r="AK43" s="450">
        <v>29367.1</v>
      </c>
      <c r="AL43" s="450">
        <f t="shared" ref="AL43" si="56">AJ43+AK43</f>
        <v>517000.5</v>
      </c>
      <c r="AM43" s="450">
        <f t="shared" ref="AM43" si="57">AA43+AE43+AI43</f>
        <v>25166.1</v>
      </c>
      <c r="AN43" s="450">
        <f t="shared" ref="AN43" si="58">AB43+AF43+AJ43</f>
        <v>545591.80000000005</v>
      </c>
      <c r="AO43" s="450">
        <f t="shared" ref="AO43" si="59">AC43+AG43+AK43</f>
        <v>1712586.9000000001</v>
      </c>
      <c r="AP43" s="450">
        <f t="shared" ref="AP43" si="60">AD43+AH43+AL43</f>
        <v>2258178.7000000002</v>
      </c>
      <c r="AQ43" s="1192" t="s">
        <v>565</v>
      </c>
      <c r="AR43" s="450">
        <v>15465.3</v>
      </c>
      <c r="AS43" s="450">
        <v>188898.2</v>
      </c>
      <c r="AT43" s="450">
        <v>36768.5</v>
      </c>
      <c r="AU43" s="450">
        <v>572.4</v>
      </c>
      <c r="AV43" s="450">
        <f>1952333-7.117</f>
        <v>1952325.8829999999</v>
      </c>
      <c r="AW43" s="450">
        <v>18308.2</v>
      </c>
      <c r="AX43" s="450">
        <f t="shared" si="16"/>
        <v>1970634.0829999999</v>
      </c>
      <c r="AY43" s="450">
        <f t="shared" si="38"/>
        <v>78825.363319999989</v>
      </c>
      <c r="AZ43" s="450">
        <f>BA43-AY43</f>
        <v>-1384.3385199999902</v>
      </c>
      <c r="BA43" s="450">
        <f>77442.7-1.6752</f>
        <v>77441.024799999999</v>
      </c>
      <c r="BB43" s="450">
        <v>4932042.5999999996</v>
      </c>
      <c r="BC43" s="450">
        <f>L43+BA43</f>
        <v>380125.22480000003</v>
      </c>
      <c r="BD43" s="450">
        <v>24558.5</v>
      </c>
      <c r="BE43" s="450">
        <v>67193.399999999994</v>
      </c>
      <c r="BF43" s="450">
        <v>17970.3</v>
      </c>
      <c r="BG43" s="450">
        <v>483688.2</v>
      </c>
      <c r="BH43" s="450">
        <f t="shared" si="20"/>
        <v>593410.4</v>
      </c>
      <c r="BI43" s="1192" t="s">
        <v>565</v>
      </c>
      <c r="BJ43" s="440">
        <v>7.66</v>
      </c>
      <c r="BK43" s="440">
        <v>3.35</v>
      </c>
      <c r="BL43" s="440">
        <v>4.91</v>
      </c>
      <c r="BM43" s="440">
        <v>5.43</v>
      </c>
      <c r="BN43" s="440">
        <v>3.18</v>
      </c>
      <c r="BO43" s="289" t="s">
        <v>292</v>
      </c>
      <c r="BP43" s="290">
        <v>3843</v>
      </c>
      <c r="BQ43" s="290">
        <v>1543</v>
      </c>
      <c r="BR43" s="290">
        <v>5915</v>
      </c>
      <c r="BS43" s="290">
        <v>63</v>
      </c>
      <c r="BT43" s="290">
        <f t="shared" si="47"/>
        <v>11364</v>
      </c>
      <c r="BU43" s="289">
        <f t="shared" si="45"/>
        <v>115.66607397172946</v>
      </c>
      <c r="BV43" s="289">
        <f t="shared" ref="BV43" si="61">AV43/BT43</f>
        <v>171.79918013023581</v>
      </c>
      <c r="BW43" s="289">
        <f t="shared" ref="BW43" si="62">AP43/BT43</f>
        <v>198.7133667722633</v>
      </c>
      <c r="BX43" s="289">
        <f t="shared" si="46"/>
        <v>5.2633797305447088</v>
      </c>
      <c r="BY43" s="289">
        <v>4</v>
      </c>
      <c r="BZ43" s="289">
        <v>6.23</v>
      </c>
      <c r="CA43" s="289">
        <v>12.05</v>
      </c>
      <c r="CB43" s="289">
        <f t="shared" si="44"/>
        <v>5.82</v>
      </c>
      <c r="CC43" s="289">
        <v>10.65</v>
      </c>
      <c r="CD43" s="289">
        <v>13.82</v>
      </c>
      <c r="CE43" s="289">
        <f t="shared" si="42"/>
        <v>3.17</v>
      </c>
    </row>
    <row r="44" spans="1:83" s="160" customFormat="1" ht="9.9499999999999993" customHeight="1">
      <c r="A44" s="159"/>
      <c r="B44" s="159"/>
      <c r="C44" s="9"/>
      <c r="D44" s="9"/>
      <c r="E44" s="9"/>
      <c r="F44" s="9"/>
      <c r="G44" s="9"/>
      <c r="H44" s="159"/>
      <c r="I44" s="1588" t="s">
        <v>566</v>
      </c>
      <c r="J44" s="455">
        <v>317986.2</v>
      </c>
      <c r="K44" s="455">
        <v>1962.9</v>
      </c>
      <c r="L44" s="455">
        <f t="shared" si="6"/>
        <v>319949.10000000003</v>
      </c>
      <c r="M44" s="455">
        <v>26170.5</v>
      </c>
      <c r="N44" s="455">
        <f t="shared" si="7"/>
        <v>293778.60000000003</v>
      </c>
      <c r="O44" s="455">
        <v>33573.599999999999</v>
      </c>
      <c r="P44" s="455">
        <v>120040.5</v>
      </c>
      <c r="Q44" s="455">
        <v>195239.5</v>
      </c>
      <c r="R44" s="455">
        <v>1636825.7</v>
      </c>
      <c r="S44" s="455">
        <f t="shared" si="32"/>
        <v>1832065.2</v>
      </c>
      <c r="T44" s="455">
        <f t="shared" si="33"/>
        <v>1952105.7</v>
      </c>
      <c r="U44" s="455">
        <v>506.8</v>
      </c>
      <c r="V44" s="455">
        <v>398848.5</v>
      </c>
      <c r="W44" s="455">
        <f t="shared" si="48"/>
        <v>489524.9</v>
      </c>
      <c r="X44" s="455">
        <f t="shared" si="49"/>
        <v>2126350.6</v>
      </c>
      <c r="Y44" s="455">
        <v>2504847.0999999996</v>
      </c>
      <c r="Z44" s="953" t="s">
        <v>566</v>
      </c>
      <c r="AA44" s="455">
        <v>0</v>
      </c>
      <c r="AB44" s="455">
        <v>58263.5</v>
      </c>
      <c r="AC44" s="455">
        <v>1671855.8</v>
      </c>
      <c r="AD44" s="455">
        <f t="shared" si="12"/>
        <v>1730119.3</v>
      </c>
      <c r="AE44" s="455">
        <v>0</v>
      </c>
      <c r="AF44" s="455">
        <v>453.1</v>
      </c>
      <c r="AG44" s="455">
        <v>28344.400000000001</v>
      </c>
      <c r="AH44" s="455">
        <f t="shared" si="13"/>
        <v>28797.5</v>
      </c>
      <c r="AI44" s="455">
        <v>24831.3</v>
      </c>
      <c r="AJ44" s="455">
        <v>496788.4</v>
      </c>
      <c r="AK44" s="455">
        <v>29257.9</v>
      </c>
      <c r="AL44" s="455">
        <f t="shared" ref="AL44" si="63">AJ44+AK44</f>
        <v>526046.30000000005</v>
      </c>
      <c r="AM44" s="455">
        <f t="shared" ref="AM44" si="64">AA44+AE44+AI44</f>
        <v>24831.3</v>
      </c>
      <c r="AN44" s="455">
        <f t="shared" ref="AN44" si="65">AB44+AF44+AJ44</f>
        <v>555505</v>
      </c>
      <c r="AO44" s="455">
        <f t="shared" ref="AO44" si="66">AC44+AG44+AK44</f>
        <v>1729458.0999999999</v>
      </c>
      <c r="AP44" s="455">
        <f t="shared" ref="AP44" si="67">AD44+AH44+AL44</f>
        <v>2284963.1</v>
      </c>
      <c r="AQ44" s="953" t="s">
        <v>566</v>
      </c>
      <c r="AR44" s="455">
        <v>15963.8</v>
      </c>
      <c r="AS44" s="455">
        <v>196622</v>
      </c>
      <c r="AT44" s="455">
        <v>34310.699999999997</v>
      </c>
      <c r="AU44" s="455">
        <v>334.2</v>
      </c>
      <c r="AV44" s="455">
        <f>1964448.5-7.48</f>
        <v>1964441.02</v>
      </c>
      <c r="AW44" s="455">
        <v>18130.900000000001</v>
      </c>
      <c r="AX44" s="455">
        <f t="shared" si="16"/>
        <v>1982571.92</v>
      </c>
      <c r="AY44" s="455">
        <f t="shared" si="38"/>
        <v>79302.876799999998</v>
      </c>
      <c r="AZ44" s="455">
        <f>BA44-AY44</f>
        <v>-911.7381999999925</v>
      </c>
      <c r="BA44" s="455">
        <f>78392.6-1.4614</f>
        <v>78391.138600000006</v>
      </c>
      <c r="BB44" s="455">
        <v>5006435.4000000004</v>
      </c>
      <c r="BC44" s="455">
        <f>L44+BA44</f>
        <v>398340.23860000004</v>
      </c>
      <c r="BD44" s="455">
        <v>29233.1</v>
      </c>
      <c r="BE44" s="455">
        <v>65160.4</v>
      </c>
      <c r="BF44" s="455">
        <v>18813.7</v>
      </c>
      <c r="BG44" s="455">
        <v>492878</v>
      </c>
      <c r="BH44" s="455">
        <f t="shared" si="20"/>
        <v>606085.19999999995</v>
      </c>
      <c r="BI44" s="953" t="s">
        <v>566</v>
      </c>
      <c r="BJ44" s="536">
        <v>10.69</v>
      </c>
      <c r="BK44" s="536">
        <v>3.12</v>
      </c>
      <c r="BL44" s="536">
        <v>5.94</v>
      </c>
      <c r="BM44" s="536">
        <v>6.83</v>
      </c>
      <c r="BN44" s="536">
        <v>4.58</v>
      </c>
      <c r="BO44" s="250" t="s">
        <v>292</v>
      </c>
      <c r="BP44" s="376">
        <v>3843</v>
      </c>
      <c r="BQ44" s="376">
        <v>1543</v>
      </c>
      <c r="BR44" s="376">
        <v>5917</v>
      </c>
      <c r="BS44" s="376">
        <v>63</v>
      </c>
      <c r="BT44" s="376">
        <f t="shared" si="47"/>
        <v>11366</v>
      </c>
      <c r="BU44" s="250">
        <f t="shared" ref="BU44" si="68">AP44/AV44*100</f>
        <v>116.31619767337173</v>
      </c>
      <c r="BV44" s="250">
        <f t="shared" ref="BV44" si="69">AV44/BT44</f>
        <v>172.83486010909732</v>
      </c>
      <c r="BW44" s="250">
        <f>AP44/BT44</f>
        <v>201.03493753299315</v>
      </c>
      <c r="BX44" s="250">
        <f t="shared" si="46"/>
        <v>5.3227171259129991</v>
      </c>
      <c r="BY44" s="250">
        <v>4</v>
      </c>
      <c r="BZ44" s="250">
        <v>6.29</v>
      </c>
      <c r="CA44" s="250">
        <v>12.11</v>
      </c>
      <c r="CB44" s="250">
        <f t="shared" si="44"/>
        <v>5.8199999999999994</v>
      </c>
      <c r="CC44" s="250">
        <v>10.69</v>
      </c>
      <c r="CD44" s="250">
        <v>13.85</v>
      </c>
      <c r="CE44" s="250">
        <f t="shared" si="42"/>
        <v>3.16</v>
      </c>
    </row>
    <row r="45" spans="1:83" s="160" customFormat="1" ht="9.9499999999999993" customHeight="1">
      <c r="A45" s="159"/>
      <c r="B45" s="159"/>
      <c r="C45" s="9"/>
      <c r="D45" s="9"/>
      <c r="E45" s="9"/>
      <c r="F45" s="9"/>
      <c r="G45" s="9"/>
      <c r="H45" s="159"/>
      <c r="I45" s="1589" t="s">
        <v>557</v>
      </c>
      <c r="J45" s="450">
        <v>324728.5</v>
      </c>
      <c r="K45" s="450">
        <v>1968.1</v>
      </c>
      <c r="L45" s="450">
        <f t="shared" si="6"/>
        <v>326696.59999999998</v>
      </c>
      <c r="M45" s="450">
        <v>30244.7</v>
      </c>
      <c r="N45" s="450">
        <f t="shared" si="7"/>
        <v>296451.89999999997</v>
      </c>
      <c r="O45" s="450">
        <v>37852.800000000003</v>
      </c>
      <c r="P45" s="450">
        <v>120252.5</v>
      </c>
      <c r="Q45" s="450">
        <v>213109.9</v>
      </c>
      <c r="R45" s="450">
        <v>1664454.7</v>
      </c>
      <c r="S45" s="450">
        <f t="shared" ref="S45:S50" si="70">Q45+R45</f>
        <v>1877564.5999999999</v>
      </c>
      <c r="T45" s="450">
        <f t="shared" ref="T45:T50" si="71">P45+S45</f>
        <v>1997817.0999999999</v>
      </c>
      <c r="U45" s="450">
        <v>605.20000000000005</v>
      </c>
      <c r="V45" s="450">
        <v>413179</v>
      </c>
      <c r="W45" s="450">
        <f t="shared" ref="W45" si="72">N45+Q45+U45</f>
        <v>510166.99999999994</v>
      </c>
      <c r="X45" s="450">
        <f t="shared" ref="X45" si="73">R45+W45</f>
        <v>2174621.6999999997</v>
      </c>
      <c r="Y45" s="450">
        <v>2552900.8000000003</v>
      </c>
      <c r="Z45" s="1192" t="s">
        <v>557</v>
      </c>
      <c r="AA45" s="450">
        <v>0</v>
      </c>
      <c r="AB45" s="450">
        <v>53989.5</v>
      </c>
      <c r="AC45" s="450">
        <v>1681592.8</v>
      </c>
      <c r="AD45" s="450">
        <f t="shared" si="12"/>
        <v>1735582.3</v>
      </c>
      <c r="AE45" s="450">
        <v>0</v>
      </c>
      <c r="AF45" s="450">
        <v>448.5</v>
      </c>
      <c r="AG45" s="450">
        <v>28082.2</v>
      </c>
      <c r="AH45" s="450">
        <f t="shared" si="13"/>
        <v>28530.7</v>
      </c>
      <c r="AI45" s="450">
        <v>25427.4</v>
      </c>
      <c r="AJ45" s="450">
        <v>523929.59999999998</v>
      </c>
      <c r="AK45" s="450">
        <v>28724.2</v>
      </c>
      <c r="AL45" s="450">
        <f t="shared" ref="AL45" si="74">AJ45+AK45</f>
        <v>552653.79999999993</v>
      </c>
      <c r="AM45" s="450">
        <f t="shared" ref="AM45" si="75">AA45+AE45+AI45</f>
        <v>25427.4</v>
      </c>
      <c r="AN45" s="450">
        <f t="shared" ref="AN45" si="76">AB45+AF45+AJ45</f>
        <v>578367.6</v>
      </c>
      <c r="AO45" s="450">
        <f t="shared" ref="AO45" si="77">AC45+AG45+AK45</f>
        <v>1738399.2</v>
      </c>
      <c r="AP45" s="450">
        <f t="shared" ref="AP45" si="78">AD45+AH45+AL45</f>
        <v>2316766.7999999998</v>
      </c>
      <c r="AQ45" s="1192" t="s">
        <v>557</v>
      </c>
      <c r="AR45" s="450">
        <v>16534.8</v>
      </c>
      <c r="AS45" s="450">
        <v>197261.4</v>
      </c>
      <c r="AT45" s="450">
        <v>35027.300000000003</v>
      </c>
      <c r="AU45" s="450">
        <v>182.9</v>
      </c>
      <c r="AV45" s="450">
        <f>2010654.1-11.03</f>
        <v>2010643.07</v>
      </c>
      <c r="AW45" s="450">
        <v>18899.400000000001</v>
      </c>
      <c r="AX45" s="450">
        <f t="shared" si="16"/>
        <v>2029542.47</v>
      </c>
      <c r="AY45" s="450">
        <f t="shared" si="38"/>
        <v>81181.698799999998</v>
      </c>
      <c r="AZ45" s="450">
        <f>BA45-AY45</f>
        <v>4693.9682999999932</v>
      </c>
      <c r="BA45" s="450">
        <f>85877.2-1.5329</f>
        <v>85875.667099999991</v>
      </c>
      <c r="BB45" s="450">
        <v>5146852.3</v>
      </c>
      <c r="BC45" s="450">
        <f>L45+BA45</f>
        <v>412572.26709999994</v>
      </c>
      <c r="BD45" s="450">
        <v>23431.5</v>
      </c>
      <c r="BE45" s="450">
        <v>64010.7</v>
      </c>
      <c r="BF45" s="450">
        <v>17015.7</v>
      </c>
      <c r="BG45" s="450">
        <v>520021</v>
      </c>
      <c r="BH45" s="450">
        <f t="shared" si="20"/>
        <v>624478.89999999991</v>
      </c>
      <c r="BI45" s="1192" t="s">
        <v>557</v>
      </c>
      <c r="BJ45" s="440">
        <v>14.83</v>
      </c>
      <c r="BK45" s="440">
        <v>-1.88</v>
      </c>
      <c r="BL45" s="440">
        <v>6.49</v>
      </c>
      <c r="BM45" s="440">
        <v>7.97</v>
      </c>
      <c r="BN45" s="440">
        <v>6.95</v>
      </c>
      <c r="BO45" s="289" t="s">
        <v>292</v>
      </c>
      <c r="BP45" s="290">
        <v>3843</v>
      </c>
      <c r="BQ45" s="290">
        <v>1543</v>
      </c>
      <c r="BR45" s="290">
        <v>5923</v>
      </c>
      <c r="BS45" s="290">
        <v>63</v>
      </c>
      <c r="BT45" s="290">
        <f t="shared" si="47"/>
        <v>11372</v>
      </c>
      <c r="BU45" s="289">
        <f t="shared" ref="BU45" si="79">AP45/AV45*100</f>
        <v>115.22516525024005</v>
      </c>
      <c r="BV45" s="289">
        <f t="shared" ref="BV45" si="80">AV45/BT45</f>
        <v>176.80646060499473</v>
      </c>
      <c r="BW45" s="289">
        <f>AP45/BT45</f>
        <v>203.72553640520576</v>
      </c>
      <c r="BX45" s="289">
        <f t="shared" ref="BX45" si="81">(M45+BA45)/AV45*100</f>
        <v>5.7752849738765413</v>
      </c>
      <c r="BY45" s="289">
        <v>4</v>
      </c>
      <c r="BZ45" s="289">
        <v>6.26</v>
      </c>
      <c r="CA45" s="289">
        <v>12.08</v>
      </c>
      <c r="CB45" s="289">
        <f t="shared" si="44"/>
        <v>5.82</v>
      </c>
      <c r="CC45" s="289">
        <v>10.68</v>
      </c>
      <c r="CD45" s="289">
        <v>13.89</v>
      </c>
      <c r="CE45" s="289">
        <f t="shared" si="42"/>
        <v>3.2100000000000009</v>
      </c>
    </row>
    <row r="46" spans="1:83" s="160" customFormat="1" ht="9.9499999999999993" customHeight="1">
      <c r="A46" s="159"/>
      <c r="B46" s="159"/>
      <c r="C46" s="9"/>
      <c r="D46" s="9"/>
      <c r="E46" s="9"/>
      <c r="F46" s="9"/>
      <c r="G46" s="9"/>
      <c r="H46" s="159"/>
      <c r="I46" s="101" t="s">
        <v>2754</v>
      </c>
      <c r="J46" s="455"/>
      <c r="K46" s="455"/>
      <c r="L46" s="455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455"/>
      <c r="X46" s="455"/>
      <c r="Y46" s="455"/>
      <c r="Z46" s="101" t="s">
        <v>2754</v>
      </c>
      <c r="AA46" s="455"/>
      <c r="AB46" s="455"/>
      <c r="AC46" s="455"/>
      <c r="AD46" s="455"/>
      <c r="AE46" s="455"/>
      <c r="AF46" s="455"/>
      <c r="AG46" s="455"/>
      <c r="AH46" s="455"/>
      <c r="AI46" s="455"/>
      <c r="AJ46" s="455"/>
      <c r="AK46" s="455"/>
      <c r="AL46" s="455"/>
      <c r="AM46" s="455"/>
      <c r="AN46" s="455"/>
      <c r="AO46" s="455"/>
      <c r="AP46" s="455"/>
      <c r="AQ46" s="101" t="s">
        <v>2754</v>
      </c>
      <c r="AR46" s="455"/>
      <c r="AS46" s="455"/>
      <c r="AT46" s="455"/>
      <c r="AU46" s="455"/>
      <c r="AV46" s="455"/>
      <c r="AW46" s="455"/>
      <c r="AX46" s="455"/>
      <c r="AY46" s="455"/>
      <c r="AZ46" s="455"/>
      <c r="BA46" s="455"/>
      <c r="BB46" s="455"/>
      <c r="BC46" s="455"/>
      <c r="BD46" s="455"/>
      <c r="BE46" s="455"/>
      <c r="BF46" s="455"/>
      <c r="BG46" s="455"/>
      <c r="BH46" s="455"/>
      <c r="BI46" s="101" t="s">
        <v>2754</v>
      </c>
      <c r="BJ46" s="536"/>
      <c r="BK46" s="536"/>
      <c r="BL46" s="536"/>
      <c r="BM46" s="536"/>
      <c r="BN46" s="536"/>
      <c r="BO46" s="250"/>
      <c r="BP46" s="376"/>
      <c r="BQ46" s="376"/>
      <c r="BR46" s="376"/>
      <c r="BS46" s="376"/>
      <c r="BT46" s="376"/>
      <c r="BU46" s="250"/>
      <c r="BV46" s="250"/>
      <c r="BW46" s="250"/>
      <c r="BX46" s="250"/>
      <c r="BY46" s="250"/>
      <c r="BZ46" s="250"/>
      <c r="CA46" s="250"/>
      <c r="CB46" s="250"/>
      <c r="CC46" s="250"/>
      <c r="CD46" s="250"/>
      <c r="CE46" s="250"/>
    </row>
    <row r="47" spans="1:83" s="160" customFormat="1" ht="9.9499999999999993" customHeight="1">
      <c r="A47" s="159"/>
      <c r="B47" s="159"/>
      <c r="C47" s="9"/>
      <c r="D47" s="9"/>
      <c r="E47" s="9"/>
      <c r="F47" s="9"/>
      <c r="G47" s="9"/>
      <c r="H47" s="159"/>
      <c r="I47" s="1589" t="s">
        <v>559</v>
      </c>
      <c r="J47" s="450">
        <v>313334.5</v>
      </c>
      <c r="K47" s="450">
        <v>1975.1</v>
      </c>
      <c r="L47" s="450">
        <f t="shared" si="6"/>
        <v>315309.59999999998</v>
      </c>
      <c r="M47" s="450">
        <v>28015.5</v>
      </c>
      <c r="N47" s="450">
        <f t="shared" si="7"/>
        <v>287294.09999999998</v>
      </c>
      <c r="O47" s="450">
        <v>35250.1</v>
      </c>
      <c r="P47" s="450">
        <v>117698.3</v>
      </c>
      <c r="Q47" s="450">
        <v>197558.39999999999</v>
      </c>
      <c r="R47" s="450">
        <v>1682549.5</v>
      </c>
      <c r="S47" s="450">
        <f t="shared" si="70"/>
        <v>1880107.9</v>
      </c>
      <c r="T47" s="450">
        <f t="shared" si="71"/>
        <v>1997806.2</v>
      </c>
      <c r="U47" s="450">
        <v>494</v>
      </c>
      <c r="V47" s="450">
        <v>399045.89999999997</v>
      </c>
      <c r="W47" s="450">
        <f t="shared" ref="W47:W53" si="82">N47+Q47+U47</f>
        <v>485346.5</v>
      </c>
      <c r="X47" s="450">
        <f t="shared" ref="X47:X53" si="83">R47+W47</f>
        <v>2167896</v>
      </c>
      <c r="Y47" s="450">
        <v>2546854.7999999998</v>
      </c>
      <c r="Z47" s="1589" t="s">
        <v>559</v>
      </c>
      <c r="AA47" s="450">
        <v>0</v>
      </c>
      <c r="AB47" s="450">
        <v>55502.1</v>
      </c>
      <c r="AC47" s="450">
        <v>1677712.5</v>
      </c>
      <c r="AD47" s="450">
        <f t="shared" si="12"/>
        <v>1733214.6</v>
      </c>
      <c r="AE47" s="450">
        <v>0</v>
      </c>
      <c r="AF47" s="450">
        <v>445.7</v>
      </c>
      <c r="AG47" s="450">
        <v>26793.8</v>
      </c>
      <c r="AH47" s="450">
        <f t="shared" ref="AH47:AH54" si="84">AF47+AG47</f>
        <v>27239.5</v>
      </c>
      <c r="AI47" s="450">
        <v>25109.200000000001</v>
      </c>
      <c r="AJ47" s="450">
        <v>530556.69999999995</v>
      </c>
      <c r="AK47" s="450">
        <v>28869.8</v>
      </c>
      <c r="AL47" s="450">
        <f t="shared" ref="AL47:AL52" si="85">AJ47+AK47</f>
        <v>559426.5</v>
      </c>
      <c r="AM47" s="450">
        <f t="shared" ref="AM47:AM50" si="86">AA47+AE47+AI47</f>
        <v>25109.200000000001</v>
      </c>
      <c r="AN47" s="450">
        <f t="shared" ref="AN47:AN50" si="87">AB47+AF47+AJ47</f>
        <v>586504.5</v>
      </c>
      <c r="AO47" s="450">
        <f t="shared" ref="AO47:AO50" si="88">AC47+AG47+AK47</f>
        <v>1733376.1</v>
      </c>
      <c r="AP47" s="450">
        <f t="shared" ref="AP47:AP53" si="89">AD47+AH47+AL47</f>
        <v>2319880.6</v>
      </c>
      <c r="AQ47" s="1589" t="s">
        <v>559</v>
      </c>
      <c r="AR47" s="450">
        <v>15987.3</v>
      </c>
      <c r="AS47" s="450">
        <v>185187.4</v>
      </c>
      <c r="AT47" s="450">
        <v>34960.6</v>
      </c>
      <c r="AU47" s="450">
        <v>180.9</v>
      </c>
      <c r="AV47" s="450">
        <f>2010898.3-10.73</f>
        <v>2010887.57</v>
      </c>
      <c r="AW47" s="450">
        <v>18547.8</v>
      </c>
      <c r="AX47" s="450">
        <f t="shared" si="16"/>
        <v>2029435.37</v>
      </c>
      <c r="AY47" s="450">
        <f t="shared" ref="AY47:AY52" si="90">0.04*AX47</f>
        <v>81177.414800000013</v>
      </c>
      <c r="AZ47" s="450">
        <f t="shared" ref="AZ47:AZ53" si="91">BA47-AY47</f>
        <v>2063.623299999992</v>
      </c>
      <c r="BA47" s="450">
        <f>83242.3-1.2619</f>
        <v>83241.038100000005</v>
      </c>
      <c r="BB47" s="450">
        <v>5131968.4000000004</v>
      </c>
      <c r="BC47" s="450">
        <f t="shared" ref="BC47:BC54" si="92">L47+BA47</f>
        <v>398550.63809999998</v>
      </c>
      <c r="BD47" s="450">
        <v>28230.9</v>
      </c>
      <c r="BE47" s="450">
        <v>60526.5</v>
      </c>
      <c r="BF47" s="450">
        <v>18783.400000000001</v>
      </c>
      <c r="BG47" s="450">
        <v>526648.6</v>
      </c>
      <c r="BH47" s="450">
        <f t="shared" si="20"/>
        <v>634189.4</v>
      </c>
      <c r="BI47" s="1589" t="s">
        <v>559</v>
      </c>
      <c r="BJ47" s="440">
        <v>2.64</v>
      </c>
      <c r="BK47" s="440">
        <v>0.53</v>
      </c>
      <c r="BL47" s="440">
        <v>-0.28999999999999998</v>
      </c>
      <c r="BM47" s="440">
        <v>0.36</v>
      </c>
      <c r="BN47" s="440">
        <v>-0.31</v>
      </c>
      <c r="BO47" s="289" t="s">
        <v>292</v>
      </c>
      <c r="BP47" s="290">
        <v>3843</v>
      </c>
      <c r="BQ47" s="290">
        <v>1543</v>
      </c>
      <c r="BR47" s="290">
        <v>5923</v>
      </c>
      <c r="BS47" s="290">
        <v>63</v>
      </c>
      <c r="BT47" s="290">
        <f t="shared" si="47"/>
        <v>11372</v>
      </c>
      <c r="BU47" s="440">
        <f t="shared" ref="BU47" si="93">AP47/AV47*100</f>
        <v>115.36600228723877</v>
      </c>
      <c r="BV47" s="440">
        <f t="shared" ref="BV47" si="94">AV47/BT47</f>
        <v>176.82796078086528</v>
      </c>
      <c r="BW47" s="440">
        <f t="shared" ref="BW47:BW52" si="95">AP47/BT47</f>
        <v>203.99934927893071</v>
      </c>
      <c r="BX47" s="440">
        <f t="shared" ref="BX47" si="96">(M47+BA47)/AV47*100</f>
        <v>5.5327080320059858</v>
      </c>
      <c r="BY47" s="289">
        <v>4</v>
      </c>
      <c r="BZ47" s="289">
        <v>6.39</v>
      </c>
      <c r="CA47" s="289">
        <v>12.14</v>
      </c>
      <c r="CB47" s="289">
        <f t="shared" ref="CB47:CB54" si="97">CA47-BZ47</f>
        <v>5.7500000000000009</v>
      </c>
      <c r="CC47" s="289">
        <v>10.69</v>
      </c>
      <c r="CD47" s="289">
        <v>13.87</v>
      </c>
      <c r="CE47" s="289">
        <f t="shared" ref="CE47:CE54" si="98">CD47-CC47</f>
        <v>3.1799999999999997</v>
      </c>
    </row>
    <row r="48" spans="1:83" s="160" customFormat="1" ht="9.9499999999999993" customHeight="1">
      <c r="A48" s="159"/>
      <c r="B48" s="159"/>
      <c r="C48" s="9"/>
      <c r="D48" s="9"/>
      <c r="E48" s="9"/>
      <c r="F48" s="9"/>
      <c r="G48" s="9"/>
      <c r="H48" s="159"/>
      <c r="I48" s="1588" t="s">
        <v>560</v>
      </c>
      <c r="J48" s="455">
        <v>305011.8</v>
      </c>
      <c r="K48" s="455">
        <v>1983.8</v>
      </c>
      <c r="L48" s="455">
        <f t="shared" si="6"/>
        <v>306995.59999999998</v>
      </c>
      <c r="M48" s="455">
        <v>30501</v>
      </c>
      <c r="N48" s="455">
        <f t="shared" si="7"/>
        <v>276494.59999999998</v>
      </c>
      <c r="O48" s="455">
        <v>36827.199999999997</v>
      </c>
      <c r="P48" s="455">
        <v>122268.7</v>
      </c>
      <c r="Q48" s="455">
        <v>200808.4</v>
      </c>
      <c r="R48" s="455">
        <v>1703931.8</v>
      </c>
      <c r="S48" s="455">
        <f t="shared" si="70"/>
        <v>1904740.2</v>
      </c>
      <c r="T48" s="455">
        <f t="shared" si="71"/>
        <v>2027008.9</v>
      </c>
      <c r="U48" s="455">
        <v>530.29999999999995</v>
      </c>
      <c r="V48" s="455">
        <v>390508.3</v>
      </c>
      <c r="W48" s="455">
        <f t="shared" si="82"/>
        <v>477833.3</v>
      </c>
      <c r="X48" s="455">
        <f t="shared" si="83"/>
        <v>2181765.1</v>
      </c>
      <c r="Y48" s="455">
        <v>2560875.3000000003</v>
      </c>
      <c r="Z48" s="1588" t="s">
        <v>560</v>
      </c>
      <c r="AA48" s="455">
        <v>0</v>
      </c>
      <c r="AB48" s="455">
        <v>55250.8</v>
      </c>
      <c r="AC48" s="455">
        <v>1680788.8</v>
      </c>
      <c r="AD48" s="455">
        <f t="shared" si="12"/>
        <v>1736039.6</v>
      </c>
      <c r="AE48" s="455">
        <v>0</v>
      </c>
      <c r="AF48" s="455">
        <v>444.1</v>
      </c>
      <c r="AG48" s="455">
        <v>28035.5</v>
      </c>
      <c r="AH48" s="455">
        <f t="shared" si="84"/>
        <v>28479.599999999999</v>
      </c>
      <c r="AI48" s="455">
        <v>25205</v>
      </c>
      <c r="AJ48" s="455">
        <v>541821.5</v>
      </c>
      <c r="AK48" s="455">
        <v>29224.2</v>
      </c>
      <c r="AL48" s="455">
        <f t="shared" si="85"/>
        <v>571045.69999999995</v>
      </c>
      <c r="AM48" s="455">
        <f t="shared" si="86"/>
        <v>25205</v>
      </c>
      <c r="AN48" s="455">
        <f t="shared" si="87"/>
        <v>597516.4</v>
      </c>
      <c r="AO48" s="455">
        <f t="shared" si="88"/>
        <v>1738048.5</v>
      </c>
      <c r="AP48" s="455">
        <f t="shared" si="89"/>
        <v>2335564.9000000004</v>
      </c>
      <c r="AQ48" s="1588" t="s">
        <v>560</v>
      </c>
      <c r="AR48" s="455">
        <v>14913.3</v>
      </c>
      <c r="AS48" s="455">
        <v>175931</v>
      </c>
      <c r="AT48" s="455">
        <v>33610.300000000003</v>
      </c>
      <c r="AU48" s="455">
        <v>307.89999999999998</v>
      </c>
      <c r="AV48" s="455">
        <f>2040586.2-11.16</f>
        <v>2040575.04</v>
      </c>
      <c r="AW48" s="455">
        <v>17063.5</v>
      </c>
      <c r="AX48" s="455">
        <f t="shared" si="16"/>
        <v>2057638.54</v>
      </c>
      <c r="AY48" s="455">
        <f t="shared" si="90"/>
        <v>82305.541599999997</v>
      </c>
      <c r="AZ48" s="455">
        <f t="shared" si="91"/>
        <v>673.97269999999844</v>
      </c>
      <c r="BA48" s="455">
        <f>82982.4-2.8857</f>
        <v>82979.514299999995</v>
      </c>
      <c r="BB48" s="455">
        <f>5227311.5</f>
        <v>5227311.5</v>
      </c>
      <c r="BC48" s="455">
        <f t="shared" si="92"/>
        <v>389975.11429999996</v>
      </c>
      <c r="BD48" s="455">
        <v>17887.900000000001</v>
      </c>
      <c r="BE48" s="455">
        <v>60585.9</v>
      </c>
      <c r="BF48" s="455">
        <v>18481.3</v>
      </c>
      <c r="BG48" s="455">
        <v>537888.19999999995</v>
      </c>
      <c r="BH48" s="455">
        <f t="shared" si="20"/>
        <v>634843.30000000005</v>
      </c>
      <c r="BI48" s="1588" t="s">
        <v>560</v>
      </c>
      <c r="BJ48" s="536">
        <v>1.79</v>
      </c>
      <c r="BK48" s="536">
        <v>0.08</v>
      </c>
      <c r="BL48" s="536">
        <v>-0.03</v>
      </c>
      <c r="BM48" s="536">
        <v>0.36</v>
      </c>
      <c r="BN48" s="536">
        <v>0.33</v>
      </c>
      <c r="BO48" s="250" t="s">
        <v>292</v>
      </c>
      <c r="BP48" s="376">
        <v>3843</v>
      </c>
      <c r="BQ48" s="376">
        <v>1543</v>
      </c>
      <c r="BR48" s="376">
        <v>5923</v>
      </c>
      <c r="BS48" s="376">
        <v>63</v>
      </c>
      <c r="BT48" s="376">
        <f t="shared" si="47"/>
        <v>11372</v>
      </c>
      <c r="BU48" s="250">
        <f t="shared" ref="BU48" si="99">AP48/AV48*100</f>
        <v>114.45621230376317</v>
      </c>
      <c r="BV48" s="250">
        <f t="shared" ref="BV48" si="100">AV48/BT48</f>
        <v>179.43853675694689</v>
      </c>
      <c r="BW48" s="250">
        <f t="shared" si="95"/>
        <v>205.37855258529726</v>
      </c>
      <c r="BX48" s="250">
        <f t="shared" ref="BX48" si="101">(M48+BA48)/AV48*100</f>
        <v>5.5612027039201646</v>
      </c>
      <c r="BY48" s="250">
        <v>4</v>
      </c>
      <c r="BZ48" s="250">
        <v>6.39</v>
      </c>
      <c r="CA48" s="250">
        <v>12.15</v>
      </c>
      <c r="CB48" s="250">
        <f t="shared" si="97"/>
        <v>5.7600000000000007</v>
      </c>
      <c r="CC48" s="250">
        <v>10.68</v>
      </c>
      <c r="CD48" s="250">
        <v>13.87</v>
      </c>
      <c r="CE48" s="250">
        <f t="shared" si="98"/>
        <v>3.1899999999999995</v>
      </c>
    </row>
    <row r="49" spans="1:83" s="160" customFormat="1" ht="9.9499999999999993" customHeight="1">
      <c r="A49" s="159"/>
      <c r="B49" s="159"/>
      <c r="C49" s="9"/>
      <c r="D49" s="9"/>
      <c r="E49" s="9"/>
      <c r="F49" s="9"/>
      <c r="G49" s="9"/>
      <c r="H49" s="159"/>
      <c r="I49" s="1589" t="s">
        <v>554</v>
      </c>
      <c r="J49" s="450">
        <v>301494.40000000002</v>
      </c>
      <c r="K49" s="450">
        <v>1991.5</v>
      </c>
      <c r="L49" s="450">
        <f t="shared" si="6"/>
        <v>303485.90000000002</v>
      </c>
      <c r="M49" s="450">
        <v>28761.7</v>
      </c>
      <c r="N49" s="450">
        <f t="shared" si="7"/>
        <v>274724.2</v>
      </c>
      <c r="O49" s="450">
        <v>37736.300000000003</v>
      </c>
      <c r="P49" s="450">
        <v>120286.2</v>
      </c>
      <c r="Q49" s="450">
        <v>195654.8</v>
      </c>
      <c r="R49" s="450">
        <v>1719089.7</v>
      </c>
      <c r="S49" s="450">
        <f t="shared" si="70"/>
        <v>1914744.5</v>
      </c>
      <c r="T49" s="450">
        <f t="shared" si="71"/>
        <v>2035030.7</v>
      </c>
      <c r="U49" s="450">
        <v>518.4</v>
      </c>
      <c r="V49" s="450">
        <v>388196.4</v>
      </c>
      <c r="W49" s="450">
        <f t="shared" si="82"/>
        <v>470897.4</v>
      </c>
      <c r="X49" s="450">
        <f t="shared" si="83"/>
        <v>2189987.1</v>
      </c>
      <c r="Y49" s="450">
        <v>2568885.4999999995</v>
      </c>
      <c r="Z49" s="1589" t="s">
        <v>554</v>
      </c>
      <c r="AA49" s="450">
        <v>0</v>
      </c>
      <c r="AB49" s="450">
        <v>53393.8</v>
      </c>
      <c r="AC49" s="450">
        <v>1689460.7</v>
      </c>
      <c r="AD49" s="450">
        <f t="shared" si="12"/>
        <v>1742854.5</v>
      </c>
      <c r="AE49" s="450">
        <v>0</v>
      </c>
      <c r="AF49" s="450">
        <v>437.9</v>
      </c>
      <c r="AG49" s="450">
        <v>28337.4</v>
      </c>
      <c r="AH49" s="450">
        <f t="shared" si="84"/>
        <v>28775.300000000003</v>
      </c>
      <c r="AI49" s="450">
        <v>24761</v>
      </c>
      <c r="AJ49" s="450">
        <v>555244.30000000005</v>
      </c>
      <c r="AK49" s="450">
        <v>29429.599999999999</v>
      </c>
      <c r="AL49" s="450">
        <f t="shared" si="85"/>
        <v>584673.9</v>
      </c>
      <c r="AM49" s="450">
        <f t="shared" si="86"/>
        <v>24761</v>
      </c>
      <c r="AN49" s="450">
        <f t="shared" si="87"/>
        <v>609076</v>
      </c>
      <c r="AO49" s="450">
        <f t="shared" si="88"/>
        <v>1747227.7</v>
      </c>
      <c r="AP49" s="450">
        <f t="shared" si="89"/>
        <v>2356303.7000000002</v>
      </c>
      <c r="AQ49" s="1589" t="s">
        <v>554</v>
      </c>
      <c r="AR49" s="450">
        <v>14231.5</v>
      </c>
      <c r="AS49" s="450">
        <v>173829</v>
      </c>
      <c r="AT49" s="450">
        <v>33593.4</v>
      </c>
      <c r="AU49" s="450">
        <v>239.5</v>
      </c>
      <c r="AV49" s="450">
        <f>2048443.4-11.1</f>
        <v>2048432.2999999998</v>
      </c>
      <c r="AW49" s="450">
        <v>21321.9</v>
      </c>
      <c r="AX49" s="450">
        <f t="shared" si="16"/>
        <v>2069754.1999999997</v>
      </c>
      <c r="AY49" s="450">
        <f t="shared" si="90"/>
        <v>82790.167999999991</v>
      </c>
      <c r="AZ49" s="450">
        <f t="shared" si="91"/>
        <v>1399.8819000000221</v>
      </c>
      <c r="BA49" s="450">
        <f>84192.1-2.0501</f>
        <v>84190.049900000013</v>
      </c>
      <c r="BB49" s="450">
        <v>5330322.2</v>
      </c>
      <c r="BC49" s="450">
        <f t="shared" si="92"/>
        <v>387675.94990000001</v>
      </c>
      <c r="BD49" s="450">
        <v>24740.7</v>
      </c>
      <c r="BE49" s="450">
        <v>60611.4</v>
      </c>
      <c r="BF49" s="450">
        <v>17551</v>
      </c>
      <c r="BG49" s="450">
        <v>551383.4</v>
      </c>
      <c r="BH49" s="450">
        <f t="shared" si="20"/>
        <v>654286.5</v>
      </c>
      <c r="BI49" s="1589" t="s">
        <v>554</v>
      </c>
      <c r="BJ49" s="440">
        <v>6.02</v>
      </c>
      <c r="BK49" s="440">
        <v>-2</v>
      </c>
      <c r="BL49" s="440">
        <v>0.48</v>
      </c>
      <c r="BM49" s="440">
        <v>1.61</v>
      </c>
      <c r="BN49" s="440">
        <v>0.71</v>
      </c>
      <c r="BO49" s="289" t="s">
        <v>292</v>
      </c>
      <c r="BP49" s="290">
        <v>3843</v>
      </c>
      <c r="BQ49" s="290">
        <v>1543</v>
      </c>
      <c r="BR49" s="290">
        <v>5925</v>
      </c>
      <c r="BS49" s="290">
        <v>63</v>
      </c>
      <c r="BT49" s="290">
        <f t="shared" si="47"/>
        <v>11374</v>
      </c>
      <c r="BU49" s="289">
        <f t="shared" ref="BU49:BU50" si="102">AP49/AV49*100</f>
        <v>115.02961069301634</v>
      </c>
      <c r="BV49" s="289">
        <f t="shared" ref="BV49" si="103">AV49/BT49</f>
        <v>180.09779321259009</v>
      </c>
      <c r="BW49" s="289">
        <f t="shared" si="95"/>
        <v>207.16579039915598</v>
      </c>
      <c r="BX49" s="289">
        <f t="shared" ref="BX49" si="104">(M49+BA49)/AV49*100</f>
        <v>5.5140582337038921</v>
      </c>
      <c r="BY49" s="289">
        <v>4</v>
      </c>
      <c r="BZ49" s="289">
        <v>6.42</v>
      </c>
      <c r="CA49" s="289">
        <v>12.16</v>
      </c>
      <c r="CB49" s="289">
        <f t="shared" si="97"/>
        <v>5.74</v>
      </c>
      <c r="CC49" s="289">
        <v>10.65</v>
      </c>
      <c r="CD49" s="289">
        <v>13.86</v>
      </c>
      <c r="CE49" s="289">
        <f t="shared" si="98"/>
        <v>3.2099999999999991</v>
      </c>
    </row>
    <row r="50" spans="1:83" s="9" customFormat="1" ht="9.9499999999999993" customHeight="1">
      <c r="I50" s="1709" t="s">
        <v>561</v>
      </c>
      <c r="J50" s="1710">
        <v>296761.40000000002</v>
      </c>
      <c r="K50" s="1710">
        <v>1999</v>
      </c>
      <c r="L50" s="1710">
        <f t="shared" si="6"/>
        <v>298760.40000000002</v>
      </c>
      <c r="M50" s="1710">
        <v>28310.7</v>
      </c>
      <c r="N50" s="1710">
        <f t="shared" si="7"/>
        <v>270449.7</v>
      </c>
      <c r="O50" s="1710">
        <v>33127.199999999997</v>
      </c>
      <c r="P50" s="1710">
        <v>119187.5</v>
      </c>
      <c r="Q50" s="1710">
        <v>195153.5</v>
      </c>
      <c r="R50" s="1710">
        <v>1728968.1</v>
      </c>
      <c r="S50" s="1710">
        <f t="shared" si="70"/>
        <v>1924121.6000000001</v>
      </c>
      <c r="T50" s="1710">
        <f t="shared" si="71"/>
        <v>2043309.1</v>
      </c>
      <c r="U50" s="1710">
        <v>514.1</v>
      </c>
      <c r="V50" s="1710">
        <v>380887.4</v>
      </c>
      <c r="W50" s="1710">
        <f t="shared" si="82"/>
        <v>466117.3</v>
      </c>
      <c r="X50" s="1710">
        <f t="shared" si="83"/>
        <v>2195085.4</v>
      </c>
      <c r="Y50" s="1710">
        <v>2575440</v>
      </c>
      <c r="Z50" s="1711" t="s">
        <v>561</v>
      </c>
      <c r="AA50" s="1710">
        <v>0</v>
      </c>
      <c r="AB50" s="1710">
        <v>53805.8</v>
      </c>
      <c r="AC50" s="1710">
        <v>1692192.6</v>
      </c>
      <c r="AD50" s="1710">
        <f t="shared" si="12"/>
        <v>1745998.4000000001</v>
      </c>
      <c r="AE50" s="1710">
        <v>0</v>
      </c>
      <c r="AF50" s="1710">
        <v>434.2</v>
      </c>
      <c r="AG50" s="1710">
        <v>28610.1</v>
      </c>
      <c r="AH50" s="1710">
        <f t="shared" si="84"/>
        <v>29044.3</v>
      </c>
      <c r="AI50" s="1710">
        <v>25064.2</v>
      </c>
      <c r="AJ50" s="1710">
        <v>564425.19999999995</v>
      </c>
      <c r="AK50" s="1710">
        <v>30259.200000000001</v>
      </c>
      <c r="AL50" s="1710">
        <f t="shared" si="85"/>
        <v>594684.39999999991</v>
      </c>
      <c r="AM50" s="1710">
        <f t="shared" si="86"/>
        <v>25064.2</v>
      </c>
      <c r="AN50" s="1710">
        <f t="shared" si="87"/>
        <v>618665.19999999995</v>
      </c>
      <c r="AO50" s="1710">
        <f t="shared" si="88"/>
        <v>1751061.9000000001</v>
      </c>
      <c r="AP50" s="1710">
        <f t="shared" si="89"/>
        <v>2369727.1</v>
      </c>
      <c r="AQ50" s="1711" t="s">
        <v>561</v>
      </c>
      <c r="AR50" s="1710">
        <v>13313.9</v>
      </c>
      <c r="AS50" s="1710">
        <v>172437.6</v>
      </c>
      <c r="AT50" s="1710">
        <v>37193.800000000003</v>
      </c>
      <c r="AU50" s="1710">
        <v>380.6</v>
      </c>
      <c r="AV50" s="455">
        <f>2057320.9-11.2284</f>
        <v>2057309.6716</v>
      </c>
      <c r="AW50" s="1710">
        <v>21395.3</v>
      </c>
      <c r="AX50" s="1710">
        <f t="shared" si="16"/>
        <v>2078704.9716</v>
      </c>
      <c r="AY50" s="1710">
        <f t="shared" si="90"/>
        <v>83148.198864000005</v>
      </c>
      <c r="AZ50" s="1710">
        <f t="shared" si="91"/>
        <v>-1537.7180640000151</v>
      </c>
      <c r="BA50" s="455">
        <f>81612.9-2.4192</f>
        <v>81610.48079999999</v>
      </c>
      <c r="BB50" s="1710">
        <v>5387225.5</v>
      </c>
      <c r="BC50" s="1710">
        <f t="shared" si="92"/>
        <v>380370.88080000004</v>
      </c>
      <c r="BD50" s="1710">
        <v>26466.7</v>
      </c>
      <c r="BE50" s="1710">
        <v>60774.8</v>
      </c>
      <c r="BF50" s="1710">
        <v>18678.400000000001</v>
      </c>
      <c r="BG50" s="1710">
        <v>561154.30000000005</v>
      </c>
      <c r="BH50" s="1710">
        <f t="shared" si="20"/>
        <v>667074.20000000007</v>
      </c>
      <c r="BI50" s="1711" t="s">
        <v>561</v>
      </c>
      <c r="BJ50" s="1712">
        <v>8.6199999999999992</v>
      </c>
      <c r="BK50" s="1712">
        <v>-4.6900000000000004</v>
      </c>
      <c r="BL50" s="1712">
        <v>0.67</v>
      </c>
      <c r="BM50" s="1712">
        <v>2.2599999999999998</v>
      </c>
      <c r="BN50" s="1712">
        <v>0.94</v>
      </c>
      <c r="BO50" s="1317" t="s">
        <v>292</v>
      </c>
      <c r="BP50" s="1381">
        <v>3843</v>
      </c>
      <c r="BQ50" s="1381">
        <v>1543</v>
      </c>
      <c r="BR50" s="1381">
        <v>5925</v>
      </c>
      <c r="BS50" s="1381">
        <v>63</v>
      </c>
      <c r="BT50" s="1381">
        <f t="shared" si="47"/>
        <v>11374</v>
      </c>
      <c r="BU50" s="1317">
        <f t="shared" si="102"/>
        <v>115.18572690892121</v>
      </c>
      <c r="BV50" s="1317">
        <f t="shared" ref="BV50:BV52" si="105">AV50/BT50</f>
        <v>180.87829010022858</v>
      </c>
      <c r="BW50" s="1317">
        <f t="shared" si="95"/>
        <v>208.3459732723756</v>
      </c>
      <c r="BX50" s="1317">
        <f t="shared" ref="BX50" si="106">(M50+BA50)/AV50*100</f>
        <v>5.3429574709826095</v>
      </c>
      <c r="BY50" s="1317">
        <v>4</v>
      </c>
      <c r="BZ50" s="1317">
        <v>6.4</v>
      </c>
      <c r="CA50" s="1317">
        <v>12.14</v>
      </c>
      <c r="CB50" s="1317">
        <f t="shared" si="97"/>
        <v>5.74</v>
      </c>
      <c r="CC50" s="1317">
        <v>10.6</v>
      </c>
      <c r="CD50" s="1317">
        <v>13.89</v>
      </c>
      <c r="CE50" s="1317">
        <f t="shared" si="98"/>
        <v>3.2900000000000009</v>
      </c>
    </row>
    <row r="51" spans="1:83" s="9" customFormat="1" ht="9.9499999999999993" customHeight="1">
      <c r="I51" s="1589" t="s">
        <v>562</v>
      </c>
      <c r="J51" s="450">
        <v>297779</v>
      </c>
      <c r="K51" s="450">
        <v>2006.7</v>
      </c>
      <c r="L51" s="450">
        <f t="shared" si="6"/>
        <v>299785.7</v>
      </c>
      <c r="M51" s="450">
        <v>30767.5</v>
      </c>
      <c r="N51" s="450">
        <f t="shared" si="7"/>
        <v>269018.2</v>
      </c>
      <c r="O51" s="450">
        <v>31391.8</v>
      </c>
      <c r="P51" s="450">
        <v>122315.4</v>
      </c>
      <c r="Q51" s="450">
        <v>202223.6</v>
      </c>
      <c r="R51" s="450">
        <v>1751072.2</v>
      </c>
      <c r="S51" s="450">
        <f t="shared" ref="S51:S54" si="107">Q51+R51</f>
        <v>1953295.8</v>
      </c>
      <c r="T51" s="450">
        <f t="shared" ref="T51:T54" si="108">P51+S51</f>
        <v>2075611.2</v>
      </c>
      <c r="U51" s="450">
        <v>498.7</v>
      </c>
      <c r="V51" s="450">
        <v>405352.2</v>
      </c>
      <c r="W51" s="450">
        <f t="shared" si="82"/>
        <v>471740.50000000006</v>
      </c>
      <c r="X51" s="450">
        <f t="shared" si="83"/>
        <v>2222812.7000000002</v>
      </c>
      <c r="Y51" s="450">
        <v>2602044</v>
      </c>
      <c r="Z51" s="1589" t="s">
        <v>562</v>
      </c>
      <c r="AA51" s="450">
        <v>0</v>
      </c>
      <c r="AB51" s="450">
        <v>56086.1</v>
      </c>
      <c r="AC51" s="450">
        <v>1711276.1</v>
      </c>
      <c r="AD51" s="450">
        <f t="shared" si="12"/>
        <v>1767362.2000000002</v>
      </c>
      <c r="AE51" s="450">
        <v>0</v>
      </c>
      <c r="AF51" s="450">
        <v>430.4</v>
      </c>
      <c r="AG51" s="450">
        <v>24570.9</v>
      </c>
      <c r="AH51" s="450">
        <f t="shared" si="84"/>
        <v>25001.300000000003</v>
      </c>
      <c r="AI51" s="450">
        <v>25045.200000000001</v>
      </c>
      <c r="AJ51" s="450">
        <v>571881.19999999995</v>
      </c>
      <c r="AK51" s="450">
        <v>30229.200000000001</v>
      </c>
      <c r="AL51" s="450">
        <f t="shared" si="85"/>
        <v>602110.39999999991</v>
      </c>
      <c r="AM51" s="450">
        <f t="shared" ref="AM51" si="109">AA51+AE51+AI51</f>
        <v>25045.200000000001</v>
      </c>
      <c r="AN51" s="450">
        <f t="shared" ref="AN51:AN53" si="110">AB51+AF51+AJ51</f>
        <v>628397.69999999995</v>
      </c>
      <c r="AO51" s="450">
        <f t="shared" ref="AO51:AO53" si="111">AC51+AG51+AK51</f>
        <v>1766076.2</v>
      </c>
      <c r="AP51" s="450">
        <f t="shared" si="89"/>
        <v>2394473.9000000004</v>
      </c>
      <c r="AQ51" s="1589" t="s">
        <v>562</v>
      </c>
      <c r="AR51" s="450">
        <v>14943.4</v>
      </c>
      <c r="AS51" s="450">
        <v>175317.4</v>
      </c>
      <c r="AT51" s="450">
        <v>34280.699999999997</v>
      </c>
      <c r="AU51" s="450">
        <v>548.6</v>
      </c>
      <c r="AV51" s="450">
        <f>2089548.8-11.2264</f>
        <v>2089537.5736</v>
      </c>
      <c r="AW51" s="450">
        <v>20271</v>
      </c>
      <c r="AX51" s="450">
        <f t="shared" si="16"/>
        <v>2109808.5735999998</v>
      </c>
      <c r="AY51" s="450">
        <f t="shared" si="90"/>
        <v>84392.342943999989</v>
      </c>
      <c r="AZ51" s="450">
        <f t="shared" si="91"/>
        <v>20670.702956000008</v>
      </c>
      <c r="BA51" s="450">
        <f>105067.8-4.7541</f>
        <v>105063.0459</v>
      </c>
      <c r="BB51" s="450">
        <v>5486023.7999999998</v>
      </c>
      <c r="BC51" s="450">
        <f t="shared" si="92"/>
        <v>404848.74589999998</v>
      </c>
      <c r="BD51" s="450">
        <v>45657.3</v>
      </c>
      <c r="BE51" s="450">
        <v>60445.5</v>
      </c>
      <c r="BF51" s="450">
        <v>21519.8</v>
      </c>
      <c r="BG51" s="450">
        <v>568615.19999999995</v>
      </c>
      <c r="BH51" s="450">
        <f>BG51+BF51+BE51+BD51</f>
        <v>696237.8</v>
      </c>
      <c r="BI51" s="1589" t="s">
        <v>562</v>
      </c>
      <c r="BJ51" s="440">
        <v>13.46</v>
      </c>
      <c r="BK51" s="440">
        <v>-5.85</v>
      </c>
      <c r="BL51" s="440">
        <v>1.5</v>
      </c>
      <c r="BM51" s="440">
        <v>3.9</v>
      </c>
      <c r="BN51" s="440">
        <v>2.2200000000000002</v>
      </c>
      <c r="BO51" s="440" t="s">
        <v>292</v>
      </c>
      <c r="BP51" s="290">
        <v>3843</v>
      </c>
      <c r="BQ51" s="290">
        <v>1543</v>
      </c>
      <c r="BR51" s="290">
        <v>5925</v>
      </c>
      <c r="BS51" s="290">
        <v>63</v>
      </c>
      <c r="BT51" s="290">
        <f t="shared" si="47"/>
        <v>11374</v>
      </c>
      <c r="BU51" s="289">
        <f>AP51/AV51*100</f>
        <v>114.59348375701303</v>
      </c>
      <c r="BV51" s="289">
        <f t="shared" si="105"/>
        <v>183.7117613504484</v>
      </c>
      <c r="BW51" s="289">
        <f t="shared" si="95"/>
        <v>210.52170740284865</v>
      </c>
      <c r="BX51" s="289">
        <f>(M51+BA51)/AV51*100</f>
        <v>6.5005074623272607</v>
      </c>
      <c r="BY51" s="289">
        <v>4</v>
      </c>
      <c r="BZ51" s="289">
        <v>6.36</v>
      </c>
      <c r="CA51" s="289">
        <v>12.14</v>
      </c>
      <c r="CB51" s="289">
        <f t="shared" si="97"/>
        <v>5.78</v>
      </c>
      <c r="CC51" s="289">
        <v>10.51</v>
      </c>
      <c r="CD51" s="289">
        <v>13.88</v>
      </c>
      <c r="CE51" s="289">
        <f t="shared" si="98"/>
        <v>3.370000000000001</v>
      </c>
    </row>
    <row r="52" spans="1:83" s="9" customFormat="1" ht="9.9499999999999993" customHeight="1">
      <c r="I52" s="1779" t="s">
        <v>555</v>
      </c>
      <c r="J52" s="455">
        <v>303257.40000000002</v>
      </c>
      <c r="K52" s="455">
        <v>2011.3</v>
      </c>
      <c r="L52" s="455">
        <f t="shared" si="6"/>
        <v>305268.7</v>
      </c>
      <c r="M52" s="455">
        <v>29925.3</v>
      </c>
      <c r="N52" s="455">
        <f t="shared" si="7"/>
        <v>275343.40000000002</v>
      </c>
      <c r="O52" s="455">
        <v>33036.6</v>
      </c>
      <c r="P52" s="455">
        <v>123320.4</v>
      </c>
      <c r="Q52" s="455">
        <v>210743.7</v>
      </c>
      <c r="R52" s="455">
        <v>1763214.1</v>
      </c>
      <c r="S52" s="455">
        <f>Q52+R52</f>
        <v>1973957.8</v>
      </c>
      <c r="T52" s="455">
        <f t="shared" si="108"/>
        <v>2097278.2000000002</v>
      </c>
      <c r="U52" s="455">
        <v>583.4</v>
      </c>
      <c r="V52" s="455">
        <v>436324.8</v>
      </c>
      <c r="W52" s="455">
        <f t="shared" si="82"/>
        <v>486670.50000000006</v>
      </c>
      <c r="X52" s="455">
        <f t="shared" si="83"/>
        <v>2249884.6</v>
      </c>
      <c r="Y52" s="455">
        <v>2631476.7999999998</v>
      </c>
      <c r="Z52" s="1588" t="s">
        <v>555</v>
      </c>
      <c r="AA52" s="455">
        <v>0</v>
      </c>
      <c r="AB52" s="455">
        <v>64096.1</v>
      </c>
      <c r="AC52" s="455">
        <v>1714769.9</v>
      </c>
      <c r="AD52" s="455">
        <f t="shared" si="12"/>
        <v>1778866</v>
      </c>
      <c r="AE52" s="455">
        <v>0</v>
      </c>
      <c r="AF52" s="455">
        <v>427.1</v>
      </c>
      <c r="AG52" s="455">
        <v>25130</v>
      </c>
      <c r="AH52" s="455">
        <f t="shared" si="84"/>
        <v>25557.1</v>
      </c>
      <c r="AI52" s="455">
        <v>24586.5</v>
      </c>
      <c r="AJ52" s="455">
        <v>566504.5</v>
      </c>
      <c r="AK52" s="455">
        <v>31072.2</v>
      </c>
      <c r="AL52" s="455">
        <f t="shared" si="85"/>
        <v>597576.69999999995</v>
      </c>
      <c r="AM52" s="455">
        <f t="shared" ref="AM52:AM53" si="112">AA52+AE52+AI52</f>
        <v>24586.5</v>
      </c>
      <c r="AN52" s="455">
        <f t="shared" ref="AN52" si="113">AB52+AF52+AJ52</f>
        <v>631027.69999999995</v>
      </c>
      <c r="AO52" s="455">
        <f t="shared" ref="AO52" si="114">AC52+AG52+AK52</f>
        <v>1770972.0999999999</v>
      </c>
      <c r="AP52" s="455">
        <f t="shared" si="89"/>
        <v>2401999.7999999998</v>
      </c>
      <c r="AQ52" s="1588" t="s">
        <v>555</v>
      </c>
      <c r="AR52" s="455">
        <v>15496.3</v>
      </c>
      <c r="AS52" s="455">
        <v>176605</v>
      </c>
      <c r="AT52" s="455">
        <v>29366.6</v>
      </c>
      <c r="AU52" s="455">
        <v>322.89999999999998</v>
      </c>
      <c r="AV52" s="455">
        <f>2111680.4-11.47004</f>
        <v>2111668.9299599999</v>
      </c>
      <c r="AW52" s="455">
        <v>21725.9</v>
      </c>
      <c r="AX52" s="455">
        <f>AV52+AW52</f>
        <v>2133394.8299599998</v>
      </c>
      <c r="AY52" s="455">
        <f t="shared" si="90"/>
        <v>85335.793198399988</v>
      </c>
      <c r="AZ52" s="455">
        <f t="shared" si="91"/>
        <v>45132.434081500003</v>
      </c>
      <c r="BA52" s="455">
        <f>130472.7-4.4727201</f>
        <v>130468.22727989999</v>
      </c>
      <c r="BB52" s="455">
        <v>5127549.5999999996</v>
      </c>
      <c r="BC52" s="455">
        <f t="shared" si="92"/>
        <v>435736.9272799</v>
      </c>
      <c r="BD52" s="455">
        <v>42901.9</v>
      </c>
      <c r="BE52" s="455">
        <v>59875.9</v>
      </c>
      <c r="BF52" s="455">
        <v>27280.6</v>
      </c>
      <c r="BG52" s="455">
        <v>563502</v>
      </c>
      <c r="BH52" s="455">
        <f>BG52+BF52+BE52+BD52</f>
        <v>693560.4</v>
      </c>
      <c r="BI52" s="1588" t="s">
        <v>555</v>
      </c>
      <c r="BJ52" s="536">
        <v>12.53</v>
      </c>
      <c r="BK52" s="536">
        <v>-1.7999999999999998</v>
      </c>
      <c r="BL52" s="536">
        <v>2.31</v>
      </c>
      <c r="BM52" s="536">
        <v>4.3999999999999995</v>
      </c>
      <c r="BN52" s="536">
        <v>3.46</v>
      </c>
      <c r="BO52" s="536" t="s">
        <v>292</v>
      </c>
      <c r="BP52" s="376">
        <v>3843</v>
      </c>
      <c r="BQ52" s="376">
        <v>1543</v>
      </c>
      <c r="BR52" s="376">
        <v>5925</v>
      </c>
      <c r="BS52" s="376">
        <v>63</v>
      </c>
      <c r="BT52" s="376">
        <f t="shared" ref="BT52" si="115">SUM(BP52:BS52)</f>
        <v>11374</v>
      </c>
      <c r="BU52" s="250">
        <f>AP52/AV52*100</f>
        <v>113.74888202979334</v>
      </c>
      <c r="BV52" s="250">
        <f t="shared" si="105"/>
        <v>185.65754615438718</v>
      </c>
      <c r="BW52" s="250">
        <f t="shared" si="95"/>
        <v>211.18338315456302</v>
      </c>
      <c r="BX52" s="250">
        <f>(M52+BA52)/AV52*100</f>
        <v>7.5955811540466351</v>
      </c>
      <c r="BY52" s="250">
        <v>4</v>
      </c>
      <c r="BZ52" s="250">
        <v>6.34</v>
      </c>
      <c r="CA52" s="250">
        <v>12.03</v>
      </c>
      <c r="CB52" s="250">
        <f t="shared" si="97"/>
        <v>5.6899999999999995</v>
      </c>
      <c r="CC52" s="250">
        <v>10.44</v>
      </c>
      <c r="CD52" s="250">
        <v>13.85</v>
      </c>
      <c r="CE52" s="250">
        <f t="shared" si="98"/>
        <v>3.41</v>
      </c>
    </row>
    <row r="53" spans="1:83" s="9" customFormat="1" ht="9.9499999999999993" customHeight="1">
      <c r="I53" s="392" t="s">
        <v>563</v>
      </c>
      <c r="J53" s="450">
        <v>310150.8</v>
      </c>
      <c r="K53" s="450">
        <v>2015.1</v>
      </c>
      <c r="L53" s="450">
        <f>J53+K53</f>
        <v>312165.89999999997</v>
      </c>
      <c r="M53" s="450">
        <v>29539.1</v>
      </c>
      <c r="N53" s="450">
        <f t="shared" si="7"/>
        <v>282626.8</v>
      </c>
      <c r="O53" s="450">
        <v>29365</v>
      </c>
      <c r="P53" s="450">
        <v>122935.3</v>
      </c>
      <c r="Q53" s="450">
        <v>198404.8</v>
      </c>
      <c r="R53" s="450">
        <v>1768974.3</v>
      </c>
      <c r="S53" s="450">
        <f t="shared" si="107"/>
        <v>1967379.1</v>
      </c>
      <c r="T53" s="450">
        <f t="shared" si="108"/>
        <v>2090314.4000000001</v>
      </c>
      <c r="U53" s="450">
        <v>527.4</v>
      </c>
      <c r="V53" s="450">
        <v>417955.1</v>
      </c>
      <c r="W53" s="450">
        <f t="shared" si="82"/>
        <v>481559</v>
      </c>
      <c r="X53" s="450">
        <f t="shared" si="83"/>
        <v>2250533.2999999998</v>
      </c>
      <c r="Y53" s="450">
        <v>2629420</v>
      </c>
      <c r="Z53" s="1589" t="s">
        <v>563</v>
      </c>
      <c r="AA53" s="450">
        <v>0</v>
      </c>
      <c r="AB53" s="450">
        <v>64544.5</v>
      </c>
      <c r="AC53" s="450">
        <v>1707995</v>
      </c>
      <c r="AD53" s="450">
        <v>1772539.5</v>
      </c>
      <c r="AE53" s="450">
        <v>0</v>
      </c>
      <c r="AF53" s="450">
        <v>424.3</v>
      </c>
      <c r="AG53" s="450">
        <v>25121.4</v>
      </c>
      <c r="AH53" s="450">
        <f t="shared" si="84"/>
        <v>25545.7</v>
      </c>
      <c r="AI53" s="450">
        <v>24553.5</v>
      </c>
      <c r="AJ53" s="450">
        <v>587809.19999999995</v>
      </c>
      <c r="AK53" s="450">
        <v>31337.5</v>
      </c>
      <c r="AL53" s="450">
        <f t="shared" ref="AL53" si="116">AJ53+AK53</f>
        <v>619146.69999999995</v>
      </c>
      <c r="AM53" s="450">
        <f t="shared" si="112"/>
        <v>24553.5</v>
      </c>
      <c r="AN53" s="450">
        <f t="shared" si="110"/>
        <v>652778</v>
      </c>
      <c r="AO53" s="450">
        <f t="shared" si="111"/>
        <v>1764453.9</v>
      </c>
      <c r="AP53" s="450">
        <f t="shared" si="89"/>
        <v>2417231.9</v>
      </c>
      <c r="AQ53" s="1589" t="s">
        <v>563</v>
      </c>
      <c r="AR53" s="450">
        <v>15071.9</v>
      </c>
      <c r="AS53" s="450">
        <v>179169</v>
      </c>
      <c r="AT53" s="450">
        <v>32069.1</v>
      </c>
      <c r="AU53" s="450">
        <v>380.2</v>
      </c>
      <c r="AV53" s="450">
        <f>2106594.5-11.8836845</f>
        <v>2106582.6163154999</v>
      </c>
      <c r="AW53" s="450">
        <v>20486.599999999999</v>
      </c>
      <c r="AX53" s="450">
        <f t="shared" ref="AX53:AX54" si="117">AV53+AW53</f>
        <v>2127069.2163155</v>
      </c>
      <c r="AY53" s="450">
        <f t="shared" ref="AY53" si="118">0.04*AX53</f>
        <v>85082.768652619998</v>
      </c>
      <c r="AZ53" s="450">
        <f t="shared" si="91"/>
        <v>20174.890747380006</v>
      </c>
      <c r="BA53" s="450">
        <f>105261.8-4.1406</f>
        <v>105257.6594</v>
      </c>
      <c r="BB53" s="450">
        <v>5133259.5</v>
      </c>
      <c r="BC53" s="450">
        <f t="shared" si="92"/>
        <v>417423.55939999997</v>
      </c>
      <c r="BD53" s="450">
        <v>35609.800000000003</v>
      </c>
      <c r="BE53" s="450">
        <v>59510.3</v>
      </c>
      <c r="BF53" s="450">
        <v>27514</v>
      </c>
      <c r="BG53" s="450">
        <v>584819.80000000005</v>
      </c>
      <c r="BH53" s="450">
        <f>BG53+BF53+BE53+BD53</f>
        <v>707453.90000000014</v>
      </c>
      <c r="BI53" s="1589" t="s">
        <v>563</v>
      </c>
      <c r="BJ53" s="440">
        <v>15.370000000000001</v>
      </c>
      <c r="BK53" s="440">
        <v>-0.86999999999999988</v>
      </c>
      <c r="BL53" s="440">
        <v>1.9300000000000002</v>
      </c>
      <c r="BM53" s="440">
        <v>4.74</v>
      </c>
      <c r="BN53" s="440">
        <v>3.49</v>
      </c>
      <c r="BO53" s="440" t="s">
        <v>292</v>
      </c>
      <c r="BP53" s="290">
        <v>3843</v>
      </c>
      <c r="BQ53" s="290">
        <v>1543</v>
      </c>
      <c r="BR53" s="290">
        <v>5925</v>
      </c>
      <c r="BS53" s="290">
        <v>63</v>
      </c>
      <c r="BT53" s="290">
        <f t="shared" si="47"/>
        <v>11374</v>
      </c>
      <c r="BU53" s="289">
        <f>AP53/AV53*100</f>
        <v>114.74659865122396</v>
      </c>
      <c r="BV53" s="289">
        <f t="shared" ref="BV53" si="119">AV53/BT53</f>
        <v>185.21035838891331</v>
      </c>
      <c r="BW53" s="289">
        <f t="shared" ref="BW53" si="120">AP53/BT53</f>
        <v>212.52258660101987</v>
      </c>
      <c r="BX53" s="289">
        <f>(M53+BA53)/AV53*100</f>
        <v>6.3988356476502739</v>
      </c>
      <c r="BY53" s="289">
        <v>4</v>
      </c>
      <c r="BZ53" s="289">
        <v>6.37</v>
      </c>
      <c r="CA53" s="289">
        <v>12.02</v>
      </c>
      <c r="CB53" s="289">
        <f t="shared" si="97"/>
        <v>5.6499999999999995</v>
      </c>
      <c r="CC53" s="289">
        <v>10.35</v>
      </c>
      <c r="CD53" s="289">
        <v>13.83</v>
      </c>
      <c r="CE53" s="289">
        <f t="shared" si="98"/>
        <v>3.4800000000000004</v>
      </c>
    </row>
    <row r="54" spans="1:83" ht="9.9499999999999993" customHeight="1" thickBot="1">
      <c r="A54" s="9"/>
      <c r="B54" s="9"/>
      <c r="C54" s="9"/>
      <c r="D54" s="9"/>
      <c r="E54" s="9"/>
      <c r="F54" s="9"/>
      <c r="G54" s="9"/>
      <c r="H54" s="9"/>
      <c r="I54" s="1089" t="s">
        <v>564</v>
      </c>
      <c r="J54" s="1714">
        <v>315910.7</v>
      </c>
      <c r="K54" s="1714">
        <v>2018.8</v>
      </c>
      <c r="L54" s="1714">
        <f>J54+K54</f>
        <v>317929.5</v>
      </c>
      <c r="M54" s="1714">
        <v>31525.4</v>
      </c>
      <c r="N54" s="1714">
        <f t="shared" si="7"/>
        <v>286404.09999999998</v>
      </c>
      <c r="O54" s="1714">
        <v>29712.3</v>
      </c>
      <c r="P54" s="1714">
        <v>123184.5</v>
      </c>
      <c r="Q54" s="1714">
        <v>202786</v>
      </c>
      <c r="R54" s="1714">
        <v>1792128.1</v>
      </c>
      <c r="S54" s="1714">
        <f t="shared" si="107"/>
        <v>1994914.1</v>
      </c>
      <c r="T54" s="1714">
        <f t="shared" si="108"/>
        <v>2118098.6</v>
      </c>
      <c r="U54" s="1714">
        <v>547.20000000000005</v>
      </c>
      <c r="V54" s="1714">
        <v>424618.8</v>
      </c>
      <c r="W54" s="1714">
        <f>N54+Q54+U54</f>
        <v>489737.3</v>
      </c>
      <c r="X54" s="1714">
        <f>R54+W54</f>
        <v>2281865.4</v>
      </c>
      <c r="Y54" s="1714">
        <v>2659910.8000000003</v>
      </c>
      <c r="Z54" s="1813" t="s">
        <v>564</v>
      </c>
      <c r="AA54" s="1714">
        <v>0</v>
      </c>
      <c r="AB54" s="1714">
        <v>63243.8</v>
      </c>
      <c r="AC54" s="1714">
        <v>1712649.7</v>
      </c>
      <c r="AD54" s="1714">
        <v>1775893.5</v>
      </c>
      <c r="AE54" s="1714">
        <v>0</v>
      </c>
      <c r="AF54" s="1714">
        <v>422.5</v>
      </c>
      <c r="AG54" s="1714">
        <v>24730.400000000001</v>
      </c>
      <c r="AH54" s="1714">
        <f t="shared" si="84"/>
        <v>25152.9</v>
      </c>
      <c r="AI54" s="1714">
        <v>24456.5</v>
      </c>
      <c r="AJ54" s="1714">
        <v>610958.6</v>
      </c>
      <c r="AK54" s="1714">
        <v>31519.8</v>
      </c>
      <c r="AL54" s="1714">
        <f t="shared" ref="AL54" si="121">AJ54+AK54</f>
        <v>642478.4</v>
      </c>
      <c r="AM54" s="1714">
        <f t="shared" ref="AM54" si="122">AA54+AE54+AI54</f>
        <v>24456.5</v>
      </c>
      <c r="AN54" s="1714">
        <f t="shared" ref="AN54" si="123">AB54+AF54+AJ54</f>
        <v>674624.9</v>
      </c>
      <c r="AO54" s="1714">
        <f t="shared" ref="AO54" si="124">AC54+AG54+AK54</f>
        <v>1768899.9</v>
      </c>
      <c r="AP54" s="1714">
        <f t="shared" ref="AP54" si="125">AD54+AH54+AL54</f>
        <v>2443524.7999999998</v>
      </c>
      <c r="AQ54" s="1813" t="s">
        <v>564</v>
      </c>
      <c r="AR54" s="1714">
        <v>14586.3</v>
      </c>
      <c r="AS54" s="1714">
        <v>187839.7</v>
      </c>
      <c r="AT54" s="1714">
        <v>32101.5</v>
      </c>
      <c r="AU54" s="1714">
        <v>459.7</v>
      </c>
      <c r="AV54" s="1714">
        <f>2132379.6-11.4044674</f>
        <v>2132368.1955325999</v>
      </c>
      <c r="AW54" s="1714">
        <v>21509.3</v>
      </c>
      <c r="AX54" s="1714">
        <f t="shared" si="117"/>
        <v>2153877.4955325997</v>
      </c>
      <c r="AY54" s="1714">
        <f t="shared" ref="AY54" si="126">0.04*AX54</f>
        <v>86155.099821303986</v>
      </c>
      <c r="AZ54" s="1714">
        <f t="shared" ref="AZ54" si="127">BA54-AY54</f>
        <v>19983.305878696017</v>
      </c>
      <c r="BA54" s="1714">
        <f>106142.1-3.6943</f>
        <v>106138.4057</v>
      </c>
      <c r="BB54" s="1714">
        <v>5207683.4000000004</v>
      </c>
      <c r="BC54" s="1714">
        <f t="shared" si="92"/>
        <v>424067.9057</v>
      </c>
      <c r="BD54" s="1714">
        <v>31584.5</v>
      </c>
      <c r="BE54" s="1714">
        <v>59726.2</v>
      </c>
      <c r="BF54" s="1714">
        <v>26064.3</v>
      </c>
      <c r="BG54" s="1714">
        <v>607928.9</v>
      </c>
      <c r="BH54" s="1714">
        <f>BG54+BF54+BE54+BD54</f>
        <v>725303.9</v>
      </c>
      <c r="BI54" s="1813" t="s">
        <v>564</v>
      </c>
      <c r="BJ54" s="1814">
        <v>-18.709999999999997</v>
      </c>
      <c r="BK54" s="1814">
        <v>0.47000000000000003</v>
      </c>
      <c r="BL54" s="1814">
        <v>-2.19</v>
      </c>
      <c r="BM54" s="1814">
        <v>-5.67</v>
      </c>
      <c r="BN54" s="1814">
        <v>-4.93</v>
      </c>
      <c r="BO54" s="1814" t="s">
        <v>292</v>
      </c>
      <c r="BP54" s="1659">
        <v>3843</v>
      </c>
      <c r="BQ54" s="1659">
        <v>1543</v>
      </c>
      <c r="BR54" s="1659">
        <v>5925</v>
      </c>
      <c r="BS54" s="1659">
        <v>63</v>
      </c>
      <c r="BT54" s="1659">
        <f t="shared" ref="BT54" si="128">SUM(BP54:BS54)</f>
        <v>11374</v>
      </c>
      <c r="BU54" s="684">
        <f>AP54/AV54*100</f>
        <v>114.59206740746208</v>
      </c>
      <c r="BV54" s="684">
        <f t="shared" ref="BV54" si="129">AV54/BT54</f>
        <v>187.47742179818886</v>
      </c>
      <c r="BW54" s="684">
        <f t="shared" ref="BW54" si="130">AP54/BT54</f>
        <v>214.83425356075259</v>
      </c>
      <c r="BX54" s="684">
        <f>(M54+BA54)/AV54*100</f>
        <v>6.4559116004642814</v>
      </c>
      <c r="BY54" s="684">
        <v>4</v>
      </c>
      <c r="BZ54" s="684">
        <v>6.34</v>
      </c>
      <c r="CA54" s="684">
        <v>12.03</v>
      </c>
      <c r="CB54" s="684">
        <f t="shared" si="97"/>
        <v>5.6899999999999995</v>
      </c>
      <c r="CC54" s="684">
        <v>10.44</v>
      </c>
      <c r="CD54" s="684">
        <v>13.85</v>
      </c>
      <c r="CE54" s="684">
        <f t="shared" si="98"/>
        <v>3.41</v>
      </c>
    </row>
    <row r="55" spans="1:83">
      <c r="A55" s="9"/>
      <c r="B55" s="9"/>
      <c r="H55" s="9"/>
      <c r="I55" s="1637" t="s">
        <v>30</v>
      </c>
      <c r="J55" s="1975" t="s">
        <v>1406</v>
      </c>
      <c r="K55" s="1975"/>
      <c r="L55" s="1975"/>
      <c r="M55" s="1975"/>
      <c r="N55" s="1975"/>
      <c r="O55" s="1975"/>
      <c r="P55" s="1975"/>
      <c r="Q55" s="1975"/>
      <c r="R55" s="1638" t="s">
        <v>2316</v>
      </c>
      <c r="S55" s="2008" t="s">
        <v>185</v>
      </c>
      <c r="T55" s="2008"/>
      <c r="U55" s="2008"/>
      <c r="V55" s="2008"/>
      <c r="W55" s="2008"/>
      <c r="X55" s="2008"/>
      <c r="Y55" s="2008"/>
      <c r="Z55" s="1637" t="s">
        <v>30</v>
      </c>
      <c r="AA55" s="2009" t="s">
        <v>1802</v>
      </c>
      <c r="AB55" s="2009"/>
      <c r="AC55" s="2009"/>
      <c r="AD55" s="2009"/>
      <c r="AE55" s="2009"/>
      <c r="AF55" s="2009"/>
      <c r="AG55" s="2009"/>
      <c r="AH55" s="2009"/>
      <c r="AI55" s="1639" t="s">
        <v>2739</v>
      </c>
      <c r="AJ55" s="2002" t="s">
        <v>1200</v>
      </c>
      <c r="AK55" s="2002"/>
      <c r="AL55" s="2002"/>
      <c r="AM55" s="2002"/>
      <c r="AN55" s="2002"/>
      <c r="AO55" s="2002"/>
      <c r="AP55" s="2002"/>
      <c r="AQ55" s="1640"/>
      <c r="AR55" s="1641"/>
      <c r="AS55" s="1641"/>
      <c r="AT55" s="1641"/>
      <c r="AU55" s="1641"/>
      <c r="AV55" s="1641"/>
      <c r="AW55" s="1641"/>
      <c r="AX55" s="225"/>
      <c r="AY55" s="1637" t="s">
        <v>679</v>
      </c>
      <c r="AZ55" s="1642" t="s">
        <v>1316</v>
      </c>
      <c r="BA55" s="1642"/>
      <c r="BB55" s="1642"/>
      <c r="BC55" s="1642"/>
      <c r="BD55" s="1642"/>
      <c r="BE55" s="1642"/>
      <c r="BF55" s="1642"/>
      <c r="BG55" s="1642"/>
      <c r="BH55" s="1642"/>
      <c r="BI55" s="1643"/>
      <c r="BJ55" s="1975"/>
      <c r="BK55" s="1975"/>
      <c r="BL55" s="1975"/>
      <c r="BM55" s="1975"/>
      <c r="BN55" s="1975"/>
      <c r="BO55" s="1975"/>
      <c r="BP55" s="1975"/>
      <c r="BQ55" s="1975"/>
      <c r="BR55" s="1975"/>
      <c r="BS55" s="1975"/>
      <c r="BT55" s="1642"/>
      <c r="BU55" s="1637" t="s">
        <v>989</v>
      </c>
      <c r="BV55" s="1642" t="s">
        <v>990</v>
      </c>
      <c r="BW55" s="1642"/>
      <c r="BX55" s="1642"/>
      <c r="BY55" s="1642"/>
      <c r="BZ55" s="1642"/>
      <c r="CA55" s="1642"/>
      <c r="CB55" s="1642"/>
      <c r="CC55" s="1642"/>
      <c r="CD55" s="1642"/>
      <c r="CE55" s="1642"/>
    </row>
    <row r="56" spans="1:83" ht="12">
      <c r="A56" s="9"/>
      <c r="B56" s="9"/>
      <c r="H56" s="9"/>
      <c r="I56" s="446"/>
      <c r="J56" s="1974" t="s">
        <v>2138</v>
      </c>
      <c r="K56" s="1974"/>
      <c r="L56" s="1974"/>
      <c r="M56" s="1974"/>
      <c r="N56" s="1974"/>
      <c r="O56" s="1974"/>
      <c r="P56" s="1974"/>
      <c r="Q56" s="1974"/>
      <c r="R56" s="446"/>
      <c r="S56" s="1958" t="s">
        <v>1176</v>
      </c>
      <c r="T56" s="1958"/>
      <c r="U56" s="446"/>
      <c r="V56" s="886"/>
      <c r="W56" s="886"/>
      <c r="X56" s="886"/>
      <c r="Y56" s="886"/>
      <c r="Z56" s="990"/>
      <c r="AA56" s="624"/>
      <c r="AB56" s="624"/>
      <c r="AC56" s="624"/>
      <c r="AD56" s="624"/>
      <c r="AE56" s="624"/>
      <c r="AF56" s="624"/>
      <c r="AG56" s="624"/>
      <c r="AH56" s="624"/>
      <c r="AI56" s="444"/>
      <c r="AJ56" s="2003" t="s">
        <v>1217</v>
      </c>
      <c r="AK56" s="2003"/>
      <c r="AL56" s="2003"/>
      <c r="AM56" s="2003"/>
      <c r="AN56" s="2003"/>
      <c r="AO56" s="2003"/>
      <c r="AP56" s="2003"/>
      <c r="AQ56" s="447"/>
      <c r="AR56" s="896"/>
      <c r="AS56" s="445"/>
      <c r="AT56" s="445"/>
      <c r="AU56" s="445"/>
      <c r="AV56" s="447"/>
      <c r="AW56" s="455"/>
      <c r="AX56" s="455"/>
      <c r="AY56" s="446"/>
      <c r="AZ56" s="1958" t="s">
        <v>1517</v>
      </c>
      <c r="BA56" s="1958"/>
      <c r="BB56" s="1958"/>
      <c r="BC56" s="1958"/>
      <c r="BD56" s="1958"/>
      <c r="BE56" s="1958"/>
      <c r="BF56" s="1958"/>
      <c r="BG56" s="1958"/>
      <c r="BH56" s="1958"/>
      <c r="BI56" s="446"/>
      <c r="BJ56" s="444"/>
      <c r="BK56" s="444"/>
      <c r="BL56" s="444"/>
      <c r="BM56" s="9"/>
      <c r="BN56" s="9"/>
      <c r="BO56" s="9"/>
      <c r="BP56" s="9"/>
      <c r="BQ56" s="9"/>
      <c r="BR56" s="9"/>
      <c r="BS56" s="9"/>
      <c r="BT56" s="9"/>
      <c r="BU56" s="446"/>
      <c r="BV56" s="446" t="s">
        <v>1290</v>
      </c>
      <c r="BW56" s="445"/>
      <c r="BX56" s="445"/>
      <c r="BY56" s="445"/>
      <c r="BZ56" s="445"/>
      <c r="CA56" s="445"/>
      <c r="CB56" s="446"/>
      <c r="CC56" s="36"/>
      <c r="CD56" s="446"/>
      <c r="CE56" s="446"/>
    </row>
    <row r="57" spans="1:83" ht="12">
      <c r="I57" s="443"/>
      <c r="J57" s="1958" t="s">
        <v>1288</v>
      </c>
      <c r="K57" s="1958"/>
      <c r="L57" s="1958"/>
      <c r="M57" s="1958"/>
      <c r="N57" s="1958"/>
      <c r="O57" s="1958"/>
      <c r="P57" s="1958"/>
      <c r="Q57" s="1958"/>
      <c r="R57" s="896"/>
      <c r="S57" s="896"/>
      <c r="T57" s="9"/>
      <c r="U57" s="896"/>
      <c r="V57" s="1203"/>
      <c r="W57" s="886"/>
      <c r="X57" s="1468"/>
      <c r="Y57" s="886"/>
      <c r="Z57" s="990"/>
      <c r="AA57" s="1959"/>
      <c r="AB57" s="1959"/>
      <c r="AC57" s="1959"/>
      <c r="AD57" s="1959"/>
      <c r="AE57" s="1959"/>
      <c r="AF57" s="1959"/>
      <c r="AG57" s="1959"/>
      <c r="AH57" s="1959"/>
      <c r="AI57" s="445"/>
      <c r="AJ57" s="465"/>
      <c r="AK57" s="465"/>
      <c r="AL57" s="445"/>
      <c r="AM57" s="445"/>
      <c r="AN57" s="445"/>
      <c r="AO57" s="445"/>
      <c r="AP57" s="447"/>
      <c r="AQ57" s="447"/>
      <c r="AR57" s="445"/>
      <c r="AS57" s="445"/>
      <c r="AT57" s="445"/>
      <c r="AU57" s="445"/>
      <c r="AV57" s="1894"/>
      <c r="AW57" s="455"/>
      <c r="AX57" s="447"/>
      <c r="AY57" s="448"/>
      <c r="AZ57" s="1958" t="s">
        <v>1315</v>
      </c>
      <c r="BA57" s="1958"/>
      <c r="BB57" s="1958"/>
      <c r="BC57" s="1958"/>
      <c r="BD57" s="1958"/>
      <c r="BE57" s="1958"/>
      <c r="BF57" s="1958"/>
      <c r="BG57" s="1958"/>
      <c r="BH57" s="1958"/>
      <c r="BI57" s="446"/>
      <c r="BJ57" s="446"/>
      <c r="BK57" s="446"/>
      <c r="BL57" s="446"/>
      <c r="BM57" s="446"/>
      <c r="BN57" s="9"/>
      <c r="BO57" s="9"/>
      <c r="BP57" s="9"/>
      <c r="BQ57" s="9"/>
      <c r="BR57" s="9"/>
      <c r="BS57" s="9"/>
      <c r="BT57" s="9"/>
      <c r="BU57" s="446"/>
      <c r="BV57" s="482" t="s">
        <v>1870</v>
      </c>
      <c r="BW57" s="482"/>
      <c r="BX57" s="445"/>
      <c r="BY57" s="445"/>
      <c r="BZ57" s="445"/>
      <c r="CA57" s="445"/>
      <c r="CB57" s="446"/>
      <c r="CC57" s="446"/>
      <c r="CD57" s="446"/>
      <c r="CE57" s="446"/>
    </row>
    <row r="58" spans="1:83" ht="12">
      <c r="I58" s="1582" t="s">
        <v>261</v>
      </c>
      <c r="J58" s="444" t="s">
        <v>1219</v>
      </c>
      <c r="K58" s="444"/>
      <c r="L58" s="444"/>
      <c r="M58" s="443"/>
      <c r="N58" s="1855"/>
      <c r="O58" s="443"/>
      <c r="P58" s="40" t="s">
        <v>1309</v>
      </c>
      <c r="Q58" s="817"/>
      <c r="R58" s="817"/>
      <c r="S58" s="989"/>
      <c r="T58" s="9"/>
      <c r="U58" s="446"/>
      <c r="V58" s="1203"/>
      <c r="W58" s="886"/>
      <c r="X58" s="1468"/>
      <c r="Y58" s="886"/>
      <c r="Z58" s="990"/>
      <c r="AA58" s="896"/>
      <c r="AD58" s="446"/>
      <c r="AE58" s="446"/>
      <c r="AF58" s="448"/>
      <c r="AG58" s="446"/>
      <c r="AH58" s="446"/>
      <c r="AI58" s="446"/>
      <c r="AJ58" s="465"/>
      <c r="AK58" s="465"/>
      <c r="AL58" s="446"/>
      <c r="AM58" s="446"/>
      <c r="AN58" s="446"/>
      <c r="AO58" s="446"/>
      <c r="AP58" s="446"/>
      <c r="AQ58" s="446"/>
      <c r="AR58" s="446"/>
      <c r="AS58" s="446"/>
      <c r="AT58" s="446"/>
      <c r="AU58" s="446"/>
      <c r="AX58" s="447"/>
      <c r="AY58" s="446"/>
      <c r="AZ58" s="2001" t="s">
        <v>1558</v>
      </c>
      <c r="BA58" s="2001"/>
      <c r="BB58" s="2001"/>
      <c r="BC58" s="2001"/>
      <c r="BD58" s="2001"/>
      <c r="BE58" s="2001"/>
      <c r="BF58" s="2001"/>
      <c r="BG58" s="2001"/>
      <c r="BH58" s="2001"/>
      <c r="BI58" s="446"/>
      <c r="BJ58" s="448"/>
      <c r="BK58" s="448"/>
      <c r="BL58" s="446"/>
      <c r="BM58" s="9"/>
      <c r="BN58" s="9"/>
      <c r="BO58" s="446"/>
      <c r="BP58" s="9"/>
      <c r="BQ58" s="9"/>
      <c r="BR58" s="9"/>
      <c r="BS58" s="9"/>
      <c r="BT58" s="9"/>
      <c r="BU58" s="1582" t="s">
        <v>16</v>
      </c>
      <c r="BV58" s="448" t="s">
        <v>1219</v>
      </c>
      <c r="BY58" s="446"/>
      <c r="BZ58" s="446"/>
      <c r="CA58" s="446"/>
      <c r="CB58" s="446"/>
      <c r="CC58" s="446"/>
      <c r="CD58" s="446"/>
      <c r="CE58" s="446"/>
    </row>
    <row r="59" spans="1:83">
      <c r="I59" s="9"/>
      <c r="J59" s="9"/>
      <c r="K59" s="9"/>
      <c r="L59" s="9"/>
      <c r="M59" s="9"/>
      <c r="N59" s="1855"/>
      <c r="O59" s="9"/>
      <c r="P59" s="9"/>
      <c r="Q59" s="9"/>
      <c r="R59" s="9"/>
      <c r="S59" s="9"/>
      <c r="T59" s="9"/>
      <c r="V59" s="1203"/>
      <c r="W59" s="886"/>
      <c r="X59" s="1468"/>
      <c r="Y59" s="886"/>
      <c r="Z59" s="990"/>
      <c r="AA59" s="37"/>
      <c r="AF59" s="225"/>
      <c r="AR59" s="37"/>
      <c r="AS59" s="37"/>
      <c r="AT59" s="37"/>
      <c r="AU59" s="37"/>
      <c r="AV59" s="37"/>
      <c r="AX59" s="447"/>
      <c r="AY59" s="9"/>
      <c r="AZ59" s="9"/>
      <c r="BA59" s="9"/>
      <c r="BB59" s="9"/>
      <c r="BC59" s="9"/>
      <c r="BD59" s="9"/>
      <c r="BE59" s="9"/>
      <c r="BF59" s="9"/>
      <c r="BG59" s="40"/>
      <c r="BH59" s="9"/>
      <c r="BV59" s="9"/>
      <c r="BW59" s="9"/>
      <c r="BX59" s="9"/>
      <c r="BY59" s="9"/>
    </row>
    <row r="60" spans="1:83" ht="12.75">
      <c r="I60" s="159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896"/>
      <c r="U60" s="455"/>
      <c r="V60" s="1203"/>
      <c r="W60" s="886"/>
      <c r="X60" s="1468"/>
      <c r="Y60" s="886"/>
      <c r="Z60" s="990"/>
      <c r="AA60" s="37"/>
      <c r="AD60" s="225"/>
      <c r="AE60" s="225"/>
      <c r="AF60" s="455"/>
      <c r="AG60" s="536"/>
      <c r="AH60" s="225"/>
      <c r="AI60" s="465"/>
      <c r="AJ60" s="465"/>
      <c r="AK60" s="465"/>
      <c r="AL60" s="441"/>
      <c r="AM60" s="225"/>
      <c r="AN60" s="225"/>
      <c r="AO60" s="225"/>
      <c r="AP60" s="225"/>
      <c r="AQ60" s="159"/>
      <c r="AR60" s="455"/>
      <c r="AS60" s="455"/>
      <c r="AT60" s="455"/>
      <c r="AU60" s="455"/>
      <c r="AV60" s="455"/>
      <c r="AW60" s="455"/>
      <c r="AX60" s="225"/>
      <c r="AY60" s="225"/>
      <c r="AZ60" s="225"/>
      <c r="BA60" s="455"/>
      <c r="BB60" s="455"/>
      <c r="BC60" s="224"/>
      <c r="BD60" s="455"/>
      <c r="BE60" s="455"/>
      <c r="BF60" s="455"/>
      <c r="BG60" s="455"/>
      <c r="BH60" s="455"/>
      <c r="BI60" s="159"/>
      <c r="BJ60" s="250"/>
      <c r="BK60" s="250"/>
      <c r="BL60" s="250"/>
      <c r="BM60" s="250"/>
      <c r="BN60" s="250"/>
      <c r="BO60" s="250"/>
      <c r="BP60" s="250"/>
      <c r="BQ60" s="250"/>
      <c r="BR60" s="376"/>
      <c r="BS60" s="376"/>
      <c r="BT60" s="376"/>
      <c r="BU60" s="9"/>
      <c r="BV60" s="9"/>
      <c r="BW60" s="250"/>
      <c r="BX60" s="250"/>
      <c r="BY60" s="250"/>
      <c r="BZ60" s="879"/>
      <c r="CA60" s="879"/>
      <c r="CB60" s="879"/>
      <c r="CC60" s="879"/>
      <c r="CD60" s="250"/>
      <c r="CE60" s="250"/>
    </row>
    <row r="61" spans="1:83" ht="12.75">
      <c r="I61" s="9"/>
      <c r="J61" s="9"/>
      <c r="K61" s="9"/>
      <c r="L61" s="143"/>
      <c r="M61" s="143"/>
      <c r="N61" s="455"/>
      <c r="O61" s="9"/>
      <c r="P61" s="9"/>
      <c r="Q61" s="143"/>
      <c r="R61" s="9"/>
      <c r="S61" s="9"/>
      <c r="T61" s="9"/>
      <c r="U61" s="9"/>
      <c r="V61" s="1203"/>
      <c r="W61" s="886"/>
      <c r="X61" s="1468"/>
      <c r="Y61" s="886"/>
      <c r="Z61" s="990"/>
      <c r="AA61" s="9"/>
      <c r="AB61" s="9"/>
      <c r="AC61" s="9"/>
      <c r="AD61" s="9"/>
      <c r="AE61" s="1506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455"/>
      <c r="AS61" s="455"/>
      <c r="AT61" s="455"/>
      <c r="AU61" s="455"/>
      <c r="AV61" s="9"/>
      <c r="AW61" s="9"/>
      <c r="AX61" s="143"/>
      <c r="AY61" s="9"/>
      <c r="AZ61" s="143"/>
      <c r="BA61" s="9"/>
      <c r="BB61" s="9"/>
      <c r="BC61" s="224"/>
      <c r="BD61" s="9"/>
      <c r="BE61" s="9"/>
      <c r="BF61" s="143"/>
      <c r="BG61" s="143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</row>
    <row r="62" spans="1:83">
      <c r="I62" s="9"/>
      <c r="J62" s="143"/>
      <c r="K62" s="143"/>
      <c r="L62" s="143"/>
      <c r="M62" s="143"/>
      <c r="N62" s="455"/>
      <c r="O62" s="143"/>
      <c r="P62" s="143"/>
      <c r="Q62" s="143"/>
      <c r="R62" s="143"/>
      <c r="S62" s="143"/>
      <c r="U62" s="143"/>
      <c r="V62" s="143"/>
      <c r="W62" s="886"/>
      <c r="X62" s="1468"/>
      <c r="Y62" s="886"/>
      <c r="Z62" s="990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455"/>
      <c r="AS62" s="455"/>
      <c r="AT62" s="455"/>
      <c r="AU62" s="455"/>
      <c r="AV62" s="143"/>
      <c r="AW62" s="143"/>
      <c r="AX62" s="143"/>
      <c r="AY62" s="143"/>
      <c r="AZ62" s="143"/>
      <c r="BA62" s="143"/>
      <c r="BB62" s="9"/>
      <c r="BC62" s="224"/>
      <c r="BD62" s="143"/>
      <c r="BE62" s="143"/>
      <c r="BF62" s="143"/>
      <c r="BG62" s="143"/>
      <c r="BH62" s="143"/>
      <c r="BI62" s="143"/>
      <c r="BJ62" s="143"/>
      <c r="BK62" s="143"/>
      <c r="BL62" s="143"/>
      <c r="BM62" s="143"/>
      <c r="BN62" s="143"/>
      <c r="BO62" s="143"/>
      <c r="BP62" s="143"/>
      <c r="BQ62" s="143"/>
      <c r="BR62" s="143"/>
      <c r="BS62" s="143"/>
      <c r="BT62" s="143"/>
      <c r="BU62" s="143"/>
      <c r="BV62" s="143"/>
      <c r="BW62" s="143"/>
      <c r="BX62" s="143"/>
      <c r="BY62" s="143"/>
      <c r="BZ62" s="143"/>
      <c r="CA62" s="143"/>
      <c r="CB62" s="143"/>
      <c r="CC62" s="143"/>
      <c r="CD62" s="143"/>
      <c r="CE62" s="143"/>
    </row>
    <row r="63" spans="1:83">
      <c r="I63" s="9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886"/>
      <c r="X63" s="1468"/>
      <c r="Y63" s="886"/>
      <c r="Z63" s="990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57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9"/>
      <c r="BF63" s="9"/>
      <c r="BG63" s="9"/>
      <c r="BH63" s="9"/>
      <c r="BI63" s="157"/>
      <c r="BJ63" s="9"/>
      <c r="BK63" s="9"/>
      <c r="BL63" s="9"/>
      <c r="BM63" s="9"/>
      <c r="BN63" s="9"/>
      <c r="BO63" s="9"/>
      <c r="BP63" s="9"/>
      <c r="BS63" s="749"/>
      <c r="BT63" s="9"/>
      <c r="BU63" s="9"/>
      <c r="BV63" s="9"/>
      <c r="BW63" s="9"/>
      <c r="BX63" s="9"/>
      <c r="BY63" s="9"/>
      <c r="BZ63" s="9"/>
      <c r="CA63" s="9"/>
      <c r="CB63" s="157"/>
      <c r="CC63" s="9"/>
      <c r="CD63" s="9"/>
      <c r="CE63" s="9"/>
    </row>
    <row r="64" spans="1:83"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143"/>
      <c r="V64" s="143"/>
      <c r="W64" s="886"/>
      <c r="X64" s="1468"/>
      <c r="Y64" s="886"/>
      <c r="Z64" s="990"/>
      <c r="AA64" s="37"/>
      <c r="AB64" s="143"/>
      <c r="AC64" s="143"/>
      <c r="AD64" s="37"/>
      <c r="AE64" s="37"/>
      <c r="AF64" s="143"/>
      <c r="AG64" s="143"/>
      <c r="AH64" s="37"/>
      <c r="AI64" s="143"/>
      <c r="AJ64" s="143"/>
      <c r="AK64" s="143"/>
      <c r="AL64" s="37"/>
      <c r="AM64" s="84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171"/>
      <c r="BC64" s="37"/>
      <c r="BD64" s="37"/>
      <c r="BE64" s="37"/>
      <c r="BF64" s="37"/>
      <c r="BG64" s="37"/>
      <c r="BH64" s="37"/>
      <c r="BI64" s="84"/>
      <c r="BJ64" s="37"/>
      <c r="BK64" s="37"/>
      <c r="BL64" s="37"/>
      <c r="BM64" s="37"/>
      <c r="BN64" s="37"/>
      <c r="BO64" s="37"/>
      <c r="BP64" s="339"/>
      <c r="BQ64" s="339"/>
      <c r="BR64" s="37"/>
      <c r="BS64" s="749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</row>
    <row r="65" spans="10:83">
      <c r="O65" s="37"/>
      <c r="P65" s="37"/>
      <c r="Q65" s="37"/>
      <c r="R65" s="37"/>
      <c r="T65" s="443"/>
      <c r="V65" s="37"/>
      <c r="W65" s="886"/>
      <c r="X65" s="1468"/>
      <c r="Z65" s="990"/>
      <c r="AE65" s="9"/>
      <c r="AY65" s="9"/>
      <c r="AZ65" s="9"/>
      <c r="BA65" s="9"/>
      <c r="BB65" s="9"/>
      <c r="BC65" s="9"/>
      <c r="BD65" s="37"/>
      <c r="BE65" s="37"/>
      <c r="BF65" s="37"/>
      <c r="BG65" s="37"/>
      <c r="BH65" s="9"/>
      <c r="BU65" s="84"/>
      <c r="BV65" s="84"/>
      <c r="BW65" s="84"/>
      <c r="BX65" s="84"/>
    </row>
    <row r="66" spans="10:83"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</row>
    <row r="67" spans="10:83"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</row>
    <row r="68" spans="10:83"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</row>
    <row r="69" spans="10:83">
      <c r="V69" s="37"/>
      <c r="W69" s="886"/>
      <c r="X69" s="1468"/>
      <c r="Z69" s="990"/>
      <c r="AD69" s="37"/>
      <c r="AE69" s="37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V70" s="37"/>
      <c r="W70" s="886"/>
      <c r="Z70" s="990"/>
      <c r="AD70" s="37"/>
      <c r="AE70" s="37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W71" s="886"/>
      <c r="AB71" s="37"/>
      <c r="AD71" s="37"/>
      <c r="AE71" s="37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0:83">
      <c r="W72" s="886"/>
      <c r="AB72" s="37"/>
      <c r="AD72" s="37"/>
      <c r="AE72" s="37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10:83">
      <c r="W73" s="886"/>
      <c r="AB73" s="37"/>
      <c r="AD73" s="37"/>
      <c r="AE73" s="37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10:83" ht="12.75" customHeight="1"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886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</row>
    <row r="75" spans="10:83" ht="12" customHeight="1"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1468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</row>
    <row r="76" spans="10:83" ht="15" customHeight="1"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1468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</row>
    <row r="77" spans="10:83" ht="12" customHeight="1"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1468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</row>
    <row r="78" spans="10:83" ht="12" customHeight="1"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1468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</row>
    <row r="79" spans="10:83"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1468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</row>
    <row r="80" spans="10:83"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1468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</row>
    <row r="81" spans="10:83"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1468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</row>
    <row r="82" spans="10:83"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1468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</row>
    <row r="83" spans="10:83"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1468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</row>
    <row r="84" spans="10:83"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1468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</row>
    <row r="85" spans="10:83">
      <c r="W85" s="1468"/>
      <c r="AD85" s="37"/>
      <c r="AE85" s="37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468"/>
      <c r="AD86" s="37"/>
      <c r="AE86" s="37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W87" s="1468"/>
      <c r="AD87" s="37"/>
      <c r="AE87" s="37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W88" s="1468"/>
      <c r="AD88" s="37"/>
      <c r="AE88" s="37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W89" s="1468"/>
      <c r="AD89" s="37"/>
      <c r="AE89" s="37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37"/>
      <c r="AE90" s="37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37"/>
      <c r="AE91" s="37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7"/>
      <c r="AE92" s="37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7"/>
      <c r="AE93" s="37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7"/>
      <c r="AE94" s="37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7"/>
      <c r="AE95" s="37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7"/>
      <c r="AE96" s="37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7"/>
      <c r="AE97" s="37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7"/>
      <c r="AE98" s="37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7"/>
      <c r="AE99" s="37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7"/>
      <c r="AE100" s="37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7"/>
      <c r="AE101" s="37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7"/>
      <c r="AE102" s="37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7"/>
      <c r="AE103" s="37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7"/>
      <c r="AE104" s="37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7"/>
      <c r="AE105" s="37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7"/>
      <c r="AE106" s="37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7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D108" s="37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D109" s="37"/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30:60"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  <row r="112" spans="30:60"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B25:F26"/>
    <mergeCell ref="BJ55:BS55"/>
    <mergeCell ref="AZ56:BH56"/>
    <mergeCell ref="S55:Y55"/>
    <mergeCell ref="AA55:AH55"/>
    <mergeCell ref="BL4:BL5"/>
    <mergeCell ref="BK4:BK5"/>
    <mergeCell ref="BP3:BT3"/>
    <mergeCell ref="BP4:BS4"/>
    <mergeCell ref="AL4:AL5"/>
    <mergeCell ref="AZ58:BH58"/>
    <mergeCell ref="AJ55:AP55"/>
    <mergeCell ref="S56:T56"/>
    <mergeCell ref="AJ56:AP56"/>
    <mergeCell ref="AZ57:BH57"/>
    <mergeCell ref="BJ4:BJ5"/>
    <mergeCell ref="BT4:BT5"/>
    <mergeCell ref="BI3:BI6"/>
    <mergeCell ref="V3:Y3"/>
    <mergeCell ref="AJ4:AJ5"/>
    <mergeCell ref="AI3:AL3"/>
    <mergeCell ref="AE3:AH3"/>
    <mergeCell ref="AF4:AF5"/>
    <mergeCell ref="AG4:AG5"/>
    <mergeCell ref="Y4:Y5"/>
    <mergeCell ref="AK4:AK5"/>
    <mergeCell ref="BF4:BG4"/>
    <mergeCell ref="BD4:BE4"/>
    <mergeCell ref="BC3:BC5"/>
    <mergeCell ref="AV4:AV5"/>
    <mergeCell ref="BA4:BA5"/>
    <mergeCell ref="AV3:AX3"/>
    <mergeCell ref="BH4:BH5"/>
    <mergeCell ref="AW4:AW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AT4:AT5"/>
    <mergeCell ref="AR4:AR5"/>
    <mergeCell ref="AO4:AO5"/>
    <mergeCell ref="AY4:AY5"/>
    <mergeCell ref="AR3:AU3"/>
    <mergeCell ref="AU4:AU5"/>
    <mergeCell ref="AY1:BE1"/>
    <mergeCell ref="AV1:AX1"/>
    <mergeCell ref="AW2:AX2"/>
    <mergeCell ref="BD3:BH3"/>
    <mergeCell ref="AX4:AX5"/>
    <mergeCell ref="BG2:BH2"/>
    <mergeCell ref="BF1:BH1"/>
    <mergeCell ref="BB3:BB5"/>
    <mergeCell ref="J57:Q57"/>
    <mergeCell ref="AA57:AH57"/>
    <mergeCell ref="I1:Q1"/>
    <mergeCell ref="AA3:AD3"/>
    <mergeCell ref="Z3:Z6"/>
    <mergeCell ref="AC4:AC5"/>
    <mergeCell ref="AD4:AD5"/>
    <mergeCell ref="M3:M5"/>
    <mergeCell ref="N3:N5"/>
    <mergeCell ref="J3:L3"/>
    <mergeCell ref="AB4:AB5"/>
    <mergeCell ref="T4:T5"/>
    <mergeCell ref="U3:U5"/>
    <mergeCell ref="W4:W5"/>
    <mergeCell ref="K4:K5"/>
    <mergeCell ref="R4:S4"/>
    <mergeCell ref="J56:Q56"/>
    <mergeCell ref="J55:Q55"/>
    <mergeCell ref="O4:O5"/>
    <mergeCell ref="O3:Q3"/>
    <mergeCell ref="R3:T3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2:Y2"/>
    <mergeCell ref="AA4:AA5"/>
    <mergeCell ref="AE1:AH1"/>
    <mergeCell ref="AI4:AI5"/>
    <mergeCell ref="AE4:AE5"/>
    <mergeCell ref="V4:V5"/>
    <mergeCell ref="X4:X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21" priority="141" stopIfTrue="1">
      <formula>MOD(ROW(),2)=1</formula>
    </cfRule>
  </conditionalFormatting>
  <conditionalFormatting sqref="Z13 AQ13 BI13 I13">
    <cfRule type="expression" dxfId="20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M77"/>
  <sheetViews>
    <sheetView workbookViewId="0">
      <pane xSplit="1" ySplit="5" topLeftCell="D3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I53" sqref="I53"/>
    </sheetView>
  </sheetViews>
  <sheetFormatPr defaultRowHeight="11.25"/>
  <cols>
    <col min="1" max="1" width="7.7109375" style="16" customWidth="1"/>
    <col min="2" max="3" width="5.7109375" style="8" customWidth="1"/>
    <col min="4" max="4" width="5.28515625" style="8" customWidth="1"/>
    <col min="5" max="5" width="5.5703125" style="8" customWidth="1"/>
    <col min="6" max="13" width="6" style="8" customWidth="1"/>
    <col min="14" max="14" width="8" style="16" customWidth="1"/>
    <col min="15" max="26" width="5.7109375" style="8" customWidth="1"/>
    <col min="27" max="27" width="7.85546875" style="16" customWidth="1"/>
    <col min="28" max="37" width="5.85546875" style="8" customWidth="1"/>
    <col min="38" max="38" width="5.5703125" style="8" customWidth="1"/>
    <col min="39" max="39" width="5.85546875" style="8" customWidth="1"/>
    <col min="40" max="16384" width="9.140625" style="8"/>
  </cols>
  <sheetData>
    <row r="1" spans="1:39" s="20" customFormat="1" ht="35.25" customHeight="1">
      <c r="B1" s="2512" t="s">
        <v>57</v>
      </c>
      <c r="C1" s="2512"/>
      <c r="D1" s="2512"/>
      <c r="E1" s="2512"/>
      <c r="F1" s="2512"/>
      <c r="G1" s="2512"/>
      <c r="H1" s="2512"/>
      <c r="I1" s="2512"/>
      <c r="J1" s="1564"/>
      <c r="K1" s="2521" t="s">
        <v>600</v>
      </c>
      <c r="L1" s="2521"/>
      <c r="M1" s="2521"/>
      <c r="O1" s="2512" t="s">
        <v>17</v>
      </c>
      <c r="P1" s="2512"/>
      <c r="Q1" s="2512"/>
      <c r="R1" s="2512"/>
      <c r="S1" s="2512"/>
      <c r="T1" s="2512"/>
      <c r="U1" s="2512"/>
      <c r="V1" s="2512"/>
      <c r="W1" s="1564"/>
      <c r="X1" s="2521" t="s">
        <v>600</v>
      </c>
      <c r="Y1" s="2521"/>
      <c r="Z1" s="2521"/>
      <c r="AB1" s="2512" t="s">
        <v>18</v>
      </c>
      <c r="AC1" s="2512"/>
      <c r="AD1" s="2512"/>
      <c r="AE1" s="2512"/>
      <c r="AF1" s="2512"/>
      <c r="AG1" s="2512"/>
      <c r="AH1" s="2512"/>
      <c r="AI1" s="2512"/>
      <c r="AJ1" s="1564"/>
      <c r="AK1" s="2521" t="s">
        <v>604</v>
      </c>
      <c r="AL1" s="2521"/>
      <c r="AM1" s="2521"/>
    </row>
    <row r="2" spans="1:39" s="20" customFormat="1" ht="12" customHeight="1">
      <c r="B2" s="92"/>
      <c r="C2" s="92"/>
      <c r="D2" s="92"/>
      <c r="E2" s="92"/>
      <c r="F2" s="92"/>
      <c r="G2" s="92"/>
      <c r="H2" s="92"/>
      <c r="I2" s="92"/>
      <c r="J2" s="92"/>
      <c r="K2" s="2333" t="s">
        <v>507</v>
      </c>
      <c r="L2" s="2333"/>
      <c r="M2" s="2333"/>
      <c r="N2" s="73"/>
      <c r="O2" s="73"/>
      <c r="P2" s="73"/>
      <c r="Q2" s="73"/>
      <c r="R2" s="73"/>
      <c r="S2" s="73"/>
      <c r="T2" s="73"/>
      <c r="U2" s="73"/>
      <c r="V2" s="73"/>
      <c r="W2" s="73"/>
      <c r="X2" s="2513" t="s">
        <v>507</v>
      </c>
      <c r="Y2" s="2513"/>
      <c r="Z2" s="2513"/>
      <c r="AK2" s="2513" t="s">
        <v>507</v>
      </c>
      <c r="AL2" s="2513"/>
      <c r="AM2" s="2513"/>
    </row>
    <row r="3" spans="1:39" ht="12.75" customHeight="1">
      <c r="A3" s="2514" t="s">
        <v>481</v>
      </c>
      <c r="B3" s="2278" t="s">
        <v>1819</v>
      </c>
      <c r="C3" s="2279"/>
      <c r="D3" s="2279"/>
      <c r="E3" s="2279"/>
      <c r="F3" s="2279"/>
      <c r="G3" s="2279"/>
      <c r="H3" s="2279"/>
      <c r="I3" s="2279"/>
      <c r="J3" s="2279"/>
      <c r="K3" s="2279"/>
      <c r="L3" s="2279"/>
      <c r="M3" s="2280"/>
      <c r="N3" s="2514" t="s">
        <v>481</v>
      </c>
      <c r="O3" s="2278" t="s">
        <v>508</v>
      </c>
      <c r="P3" s="2279"/>
      <c r="Q3" s="2279"/>
      <c r="R3" s="2279"/>
      <c r="S3" s="2279"/>
      <c r="T3" s="2279"/>
      <c r="U3" s="2279"/>
      <c r="V3" s="2279"/>
      <c r="W3" s="2279"/>
      <c r="X3" s="2279"/>
      <c r="Y3" s="2279"/>
      <c r="Z3" s="2280"/>
      <c r="AA3" s="2514" t="s">
        <v>481</v>
      </c>
      <c r="AB3" s="2278" t="s">
        <v>508</v>
      </c>
      <c r="AC3" s="2279"/>
      <c r="AD3" s="2279"/>
      <c r="AE3" s="2279"/>
      <c r="AF3" s="2279"/>
      <c r="AG3" s="2279"/>
      <c r="AH3" s="2279"/>
      <c r="AI3" s="2279"/>
      <c r="AJ3" s="2279"/>
      <c r="AK3" s="2279"/>
      <c r="AL3" s="2279"/>
      <c r="AM3" s="2280"/>
    </row>
    <row r="4" spans="1:39" s="17" customFormat="1" ht="12.6" customHeight="1">
      <c r="A4" s="2515"/>
      <c r="B4" s="2516" t="s">
        <v>78</v>
      </c>
      <c r="C4" s="2517"/>
      <c r="D4" s="2518"/>
      <c r="E4" s="2516" t="s">
        <v>625</v>
      </c>
      <c r="F4" s="2517"/>
      <c r="G4" s="2518"/>
      <c r="H4" s="2516" t="s">
        <v>623</v>
      </c>
      <c r="I4" s="2517"/>
      <c r="J4" s="2518"/>
      <c r="K4" s="2516" t="s">
        <v>79</v>
      </c>
      <c r="L4" s="2517"/>
      <c r="M4" s="2518"/>
      <c r="N4" s="2515"/>
      <c r="O4" s="2516" t="s">
        <v>78</v>
      </c>
      <c r="P4" s="2517"/>
      <c r="Q4" s="2518"/>
      <c r="R4" s="2516" t="s">
        <v>625</v>
      </c>
      <c r="S4" s="2517"/>
      <c r="T4" s="2518"/>
      <c r="U4" s="2516" t="s">
        <v>623</v>
      </c>
      <c r="V4" s="2517"/>
      <c r="W4" s="2518"/>
      <c r="X4" s="2516" t="s">
        <v>79</v>
      </c>
      <c r="Y4" s="2517"/>
      <c r="Z4" s="2518"/>
      <c r="AA4" s="2515"/>
      <c r="AB4" s="2516" t="s">
        <v>78</v>
      </c>
      <c r="AC4" s="2517"/>
      <c r="AD4" s="2518"/>
      <c r="AE4" s="2516" t="s">
        <v>625</v>
      </c>
      <c r="AF4" s="2517"/>
      <c r="AG4" s="2518"/>
      <c r="AH4" s="2516" t="s">
        <v>623</v>
      </c>
      <c r="AI4" s="2517"/>
      <c r="AJ4" s="2518"/>
      <c r="AK4" s="2516" t="s">
        <v>79</v>
      </c>
      <c r="AL4" s="2517"/>
      <c r="AM4" s="2518"/>
    </row>
    <row r="5" spans="1:39" s="17" customFormat="1" ht="24.75" customHeight="1">
      <c r="A5" s="2423"/>
      <c r="B5" s="1562" t="s">
        <v>534</v>
      </c>
      <c r="C5" s="960" t="s">
        <v>80</v>
      </c>
      <c r="D5" s="110" t="s">
        <v>632</v>
      </c>
      <c r="E5" s="1562" t="s">
        <v>534</v>
      </c>
      <c r="F5" s="1563" t="s">
        <v>80</v>
      </c>
      <c r="G5" s="110" t="s">
        <v>632</v>
      </c>
      <c r="H5" s="1562" t="s">
        <v>534</v>
      </c>
      <c r="I5" s="1563" t="s">
        <v>80</v>
      </c>
      <c r="J5" s="110" t="s">
        <v>632</v>
      </c>
      <c r="K5" s="1562" t="s">
        <v>534</v>
      </c>
      <c r="L5" s="1563" t="s">
        <v>80</v>
      </c>
      <c r="M5" s="110" t="s">
        <v>632</v>
      </c>
      <c r="N5" s="2423"/>
      <c r="O5" s="1562" t="s">
        <v>534</v>
      </c>
      <c r="P5" s="1563" t="s">
        <v>80</v>
      </c>
      <c r="Q5" s="110" t="s">
        <v>632</v>
      </c>
      <c r="R5" s="1562" t="s">
        <v>534</v>
      </c>
      <c r="S5" s="1563" t="s">
        <v>80</v>
      </c>
      <c r="T5" s="110" t="s">
        <v>632</v>
      </c>
      <c r="U5" s="1562" t="s">
        <v>534</v>
      </c>
      <c r="V5" s="1563" t="s">
        <v>80</v>
      </c>
      <c r="W5" s="110" t="s">
        <v>632</v>
      </c>
      <c r="X5" s="1562" t="s">
        <v>534</v>
      </c>
      <c r="Y5" s="1563" t="s">
        <v>80</v>
      </c>
      <c r="Z5" s="110" t="s">
        <v>632</v>
      </c>
      <c r="AA5" s="2423"/>
      <c r="AB5" s="1562" t="s">
        <v>534</v>
      </c>
      <c r="AC5" s="1563" t="s">
        <v>80</v>
      </c>
      <c r="AD5" s="110" t="s">
        <v>632</v>
      </c>
      <c r="AE5" s="1562" t="s">
        <v>534</v>
      </c>
      <c r="AF5" s="1563" t="s">
        <v>80</v>
      </c>
      <c r="AG5" s="110" t="s">
        <v>632</v>
      </c>
      <c r="AH5" s="1562" t="s">
        <v>534</v>
      </c>
      <c r="AI5" s="1563" t="s">
        <v>80</v>
      </c>
      <c r="AJ5" s="110" t="s">
        <v>632</v>
      </c>
      <c r="AK5" s="1562" t="s">
        <v>534</v>
      </c>
      <c r="AL5" s="1563" t="s">
        <v>80</v>
      </c>
      <c r="AM5" s="110" t="s">
        <v>632</v>
      </c>
    </row>
    <row r="6" spans="1:39" s="258" customFormat="1" ht="12" customHeight="1">
      <c r="A6" s="1093" t="s">
        <v>81</v>
      </c>
      <c r="B6" s="14">
        <v>0.16083333333333336</v>
      </c>
      <c r="C6" s="14">
        <v>0.2116666666666667</v>
      </c>
      <c r="D6" s="27">
        <v>0.13750000000000001</v>
      </c>
      <c r="E6" s="14">
        <v>0.33083333333333337</v>
      </c>
      <c r="F6" s="14">
        <v>0.33</v>
      </c>
      <c r="G6" s="27">
        <v>0.33916666666666667</v>
      </c>
      <c r="H6" s="14">
        <v>0.55583333333333329</v>
      </c>
      <c r="I6" s="14">
        <v>0.45</v>
      </c>
      <c r="J6" s="27">
        <v>0.6166666666666667</v>
      </c>
      <c r="K6" s="14">
        <v>0.89</v>
      </c>
      <c r="L6" s="14">
        <v>0.69666666666666666</v>
      </c>
      <c r="M6" s="27">
        <v>0.76916666666666655</v>
      </c>
      <c r="N6" s="1093" t="s">
        <v>81</v>
      </c>
      <c r="O6" s="14">
        <v>0.19583333333333333</v>
      </c>
      <c r="P6" s="14">
        <v>0.46083333333333337</v>
      </c>
      <c r="Q6" s="27">
        <v>0.27500000000000002</v>
      </c>
      <c r="R6" s="14">
        <v>0.25</v>
      </c>
      <c r="S6" s="14">
        <v>0.5575</v>
      </c>
      <c r="T6" s="27">
        <v>0.41833333333333328</v>
      </c>
      <c r="U6" s="14">
        <v>0.40416666666666673</v>
      </c>
      <c r="V6" s="14">
        <v>0.60250000000000015</v>
      </c>
      <c r="W6" s="27">
        <v>0.52750000000000019</v>
      </c>
      <c r="X6" s="14">
        <v>0.79083333333333339</v>
      </c>
      <c r="Y6" s="14">
        <v>0.78749999999999998</v>
      </c>
      <c r="Z6" s="27">
        <v>0.70083333333333331</v>
      </c>
      <c r="AA6" s="1093" t="s">
        <v>81</v>
      </c>
      <c r="AB6" s="14">
        <v>0.64916666666666656</v>
      </c>
      <c r="AC6" s="14">
        <v>0.12583333333333338</v>
      </c>
      <c r="AD6" s="27">
        <v>0.17166666666666666</v>
      </c>
      <c r="AE6" s="14">
        <v>0.80083333333333329</v>
      </c>
      <c r="AF6" s="14">
        <v>0.2383333333333334</v>
      </c>
      <c r="AG6" s="27">
        <v>0.30416666666666675</v>
      </c>
      <c r="AH6" s="14">
        <v>0.65083333333333337</v>
      </c>
      <c r="AI6" s="14">
        <v>0.34916666666666668</v>
      </c>
      <c r="AJ6" s="27">
        <v>0.44</v>
      </c>
      <c r="AK6" s="14">
        <v>0.81333333333333346</v>
      </c>
      <c r="AL6" s="14">
        <v>0.51416666666666677</v>
      </c>
      <c r="AM6" s="27">
        <v>0.57583333333333331</v>
      </c>
    </row>
    <row r="7" spans="1:39" s="258" customFormat="1" ht="12" customHeight="1">
      <c r="A7" s="304" t="s">
        <v>189</v>
      </c>
      <c r="B7" s="316">
        <v>0.16791666666666663</v>
      </c>
      <c r="C7" s="316">
        <v>0.24756944444444443</v>
      </c>
      <c r="D7" s="294">
        <v>0.43798611111111113</v>
      </c>
      <c r="E7" s="316">
        <v>0.33444444444444449</v>
      </c>
      <c r="F7" s="316">
        <v>0.39881944444444439</v>
      </c>
      <c r="G7" s="294">
        <v>0.64472222222222209</v>
      </c>
      <c r="H7" s="316">
        <v>0.50624999999999998</v>
      </c>
      <c r="I7" s="316">
        <v>0.66923611111111114</v>
      </c>
      <c r="J7" s="294">
        <v>0.94277777777777783</v>
      </c>
      <c r="K7" s="316">
        <v>0.73374999999999979</v>
      </c>
      <c r="L7" s="316">
        <v>0.93069444444444438</v>
      </c>
      <c r="M7" s="294">
        <v>1.0635416666666668</v>
      </c>
      <c r="N7" s="304" t="s">
        <v>189</v>
      </c>
      <c r="O7" s="316">
        <v>0.14000000000000004</v>
      </c>
      <c r="P7" s="316">
        <v>0.29643229166666668</v>
      </c>
      <c r="Q7" s="294">
        <v>0.40145833333333342</v>
      </c>
      <c r="R7" s="316">
        <v>0.19358333333333333</v>
      </c>
      <c r="S7" s="316">
        <v>0.41849999999999993</v>
      </c>
      <c r="T7" s="294">
        <v>0.53516666666666668</v>
      </c>
      <c r="U7" s="316">
        <v>0.28266666666666668</v>
      </c>
      <c r="V7" s="316">
        <v>0.55945833333333328</v>
      </c>
      <c r="W7" s="294">
        <v>0.64966666666666673</v>
      </c>
      <c r="X7" s="316">
        <v>0.5678333333333333</v>
      </c>
      <c r="Y7" s="316">
        <v>0.83166666666666655</v>
      </c>
      <c r="Z7" s="294">
        <v>0.87583333333333313</v>
      </c>
      <c r="AA7" s="304" t="s">
        <v>189</v>
      </c>
      <c r="AB7" s="316">
        <v>0.75583333333333336</v>
      </c>
      <c r="AC7" s="316">
        <v>0.28083333333333332</v>
      </c>
      <c r="AD7" s="294">
        <v>0.31277777777777777</v>
      </c>
      <c r="AE7" s="316">
        <v>1.0994444444444444</v>
      </c>
      <c r="AF7" s="316">
        <v>0.41625000000000001</v>
      </c>
      <c r="AG7" s="294">
        <v>0.53763888888888889</v>
      </c>
      <c r="AH7" s="316">
        <v>1.1913888888888888</v>
      </c>
      <c r="AI7" s="316">
        <v>0.5097222222222223</v>
      </c>
      <c r="AJ7" s="294">
        <v>0.62097222222222215</v>
      </c>
      <c r="AK7" s="316">
        <v>0.79916666666666647</v>
      </c>
      <c r="AL7" s="316">
        <v>0.54180555555555554</v>
      </c>
      <c r="AM7" s="294">
        <v>0.79249999999999998</v>
      </c>
    </row>
    <row r="8" spans="1:39" s="258" customFormat="1" ht="12" customHeight="1">
      <c r="A8" s="1093" t="s">
        <v>705</v>
      </c>
      <c r="B8" s="14">
        <v>0.16916666666666666</v>
      </c>
      <c r="C8" s="14">
        <v>0.33805555555555555</v>
      </c>
      <c r="D8" s="27">
        <v>0.63222222222222213</v>
      </c>
      <c r="E8" s="14">
        <v>0.36666666666666664</v>
      </c>
      <c r="F8" s="14">
        <v>0.63055555555555565</v>
      </c>
      <c r="G8" s="27">
        <v>0.89583333333333337</v>
      </c>
      <c r="H8" s="14">
        <v>0.62444444444444447</v>
      </c>
      <c r="I8" s="14">
        <v>0.93444444444444441</v>
      </c>
      <c r="J8" s="27">
        <v>1.141388888888889</v>
      </c>
      <c r="K8" s="14">
        <v>0.8783333333333333</v>
      </c>
      <c r="L8" s="14">
        <v>1.2255555555555555</v>
      </c>
      <c r="M8" s="27">
        <v>1.3674999999999999</v>
      </c>
      <c r="N8" s="1093" t="s">
        <v>705</v>
      </c>
      <c r="O8" s="14">
        <v>0.10250000000000002</v>
      </c>
      <c r="P8" s="14">
        <v>0.31416666666666665</v>
      </c>
      <c r="Q8" s="27">
        <v>0.57166666666666655</v>
      </c>
      <c r="R8" s="14">
        <v>0.21500000000000005</v>
      </c>
      <c r="S8" s="14">
        <v>0.50624999999999998</v>
      </c>
      <c r="T8" s="27">
        <v>0.72000000000000008</v>
      </c>
      <c r="U8" s="14">
        <v>0.34833333333333338</v>
      </c>
      <c r="V8" s="14">
        <v>0.65749999999999997</v>
      </c>
      <c r="W8" s="27">
        <v>0.81</v>
      </c>
      <c r="X8" s="14">
        <v>0.89416666666666655</v>
      </c>
      <c r="Y8" s="14">
        <v>0.95233333333333337</v>
      </c>
      <c r="Z8" s="27">
        <v>0.99500000000000011</v>
      </c>
      <c r="AA8" s="1093" t="s">
        <v>705</v>
      </c>
      <c r="AB8" s="14">
        <v>0.55875000000000019</v>
      </c>
      <c r="AC8" s="14">
        <v>0.42166666666666669</v>
      </c>
      <c r="AD8" s="27">
        <v>0.5</v>
      </c>
      <c r="AE8" s="14">
        <v>1.0566666666666666</v>
      </c>
      <c r="AF8" s="14">
        <v>0.65499999999999992</v>
      </c>
      <c r="AG8" s="27">
        <v>0.75</v>
      </c>
      <c r="AH8" s="14">
        <v>1.4295833333333332</v>
      </c>
      <c r="AI8" s="14">
        <v>0.99749999999999972</v>
      </c>
      <c r="AJ8" s="27">
        <v>0.9312499999999998</v>
      </c>
      <c r="AK8" s="14">
        <v>1.1666666666666667</v>
      </c>
      <c r="AL8" s="14">
        <v>0.94083333333333341</v>
      </c>
      <c r="AM8" s="27">
        <v>1.25</v>
      </c>
    </row>
    <row r="9" spans="1:39" s="258" customFormat="1" ht="12" customHeight="1">
      <c r="A9" s="304" t="s">
        <v>814</v>
      </c>
      <c r="B9" s="316">
        <v>0.16958333333333339</v>
      </c>
      <c r="C9" s="316">
        <v>0.21965277777777778</v>
      </c>
      <c r="D9" s="294">
        <v>3.6111111111111114E-3</v>
      </c>
      <c r="E9" s="316">
        <v>0.19888888888888887</v>
      </c>
      <c r="F9" s="316">
        <v>0.28486111111111112</v>
      </c>
      <c r="G9" s="294">
        <v>5.0833333333333341E-2</v>
      </c>
      <c r="H9" s="316">
        <v>0.35916666666666669</v>
      </c>
      <c r="I9" s="316">
        <v>0.44350694444444455</v>
      </c>
      <c r="J9" s="294">
        <v>0.12611111111111115</v>
      </c>
      <c r="K9" s="316">
        <v>0.59020833333333322</v>
      </c>
      <c r="L9" s="316">
        <v>0.70586805555555554</v>
      </c>
      <c r="M9" s="294">
        <v>0.26034722222222223</v>
      </c>
      <c r="N9" s="304" t="s">
        <v>814</v>
      </c>
      <c r="O9" s="316">
        <v>9.2082500000000012E-2</v>
      </c>
      <c r="P9" s="316">
        <v>0.24228124999999998</v>
      </c>
      <c r="Q9" s="294">
        <v>0.18372943333333333</v>
      </c>
      <c r="R9" s="316">
        <v>0.18142521929166663</v>
      </c>
      <c r="S9" s="316">
        <v>0.38397137278333332</v>
      </c>
      <c r="T9" s="294">
        <v>0.29373464912499997</v>
      </c>
      <c r="U9" s="316">
        <v>0.29680622806666668</v>
      </c>
      <c r="V9" s="316">
        <v>0.43682707018333344</v>
      </c>
      <c r="W9" s="294">
        <v>0.38601997368333335</v>
      </c>
      <c r="X9" s="316">
        <v>0.80951328947222212</v>
      </c>
      <c r="Y9" s="316">
        <v>0.69534501314999997</v>
      </c>
      <c r="Z9" s="294">
        <v>0.51850818421666667</v>
      </c>
      <c r="AA9" s="304" t="s">
        <v>814</v>
      </c>
      <c r="AB9" s="316">
        <v>0.55041666666666667</v>
      </c>
      <c r="AC9" s="316">
        <v>0.39874999999999999</v>
      </c>
      <c r="AD9" s="294">
        <v>0.5</v>
      </c>
      <c r="AE9" s="316">
        <v>1.4790416666666666</v>
      </c>
      <c r="AF9" s="316">
        <v>0.55916666666666681</v>
      </c>
      <c r="AG9" s="294">
        <v>0.75</v>
      </c>
      <c r="AH9" s="316">
        <v>1.4741041666666668</v>
      </c>
      <c r="AI9" s="316">
        <v>0.68750000000000011</v>
      </c>
      <c r="AJ9" s="294">
        <v>0.62416666666666665</v>
      </c>
      <c r="AK9" s="316">
        <v>1.2992333333333332</v>
      </c>
      <c r="AL9" s="316">
        <v>0.85916666666666675</v>
      </c>
      <c r="AM9" s="294">
        <v>1.25</v>
      </c>
    </row>
    <row r="10" spans="1:39" s="159" customFormat="1" ht="12" customHeight="1">
      <c r="A10" s="337" t="s">
        <v>991</v>
      </c>
      <c r="B10" s="27">
        <v>6.9166666666666696E-2</v>
      </c>
      <c r="C10" s="27">
        <v>0.21207052083333333</v>
      </c>
      <c r="D10" s="27">
        <v>5.3333333333333337E-2</v>
      </c>
      <c r="E10" s="27">
        <v>4.8898611111111108E-2</v>
      </c>
      <c r="F10" s="27">
        <v>0.24257020833333334</v>
      </c>
      <c r="G10" s="27">
        <v>5.9166666666666666E-2</v>
      </c>
      <c r="H10" s="27">
        <v>0.10368437500000001</v>
      </c>
      <c r="I10" s="27">
        <v>0.331078125</v>
      </c>
      <c r="J10" s="27">
        <v>9.8393750000000002E-2</v>
      </c>
      <c r="K10" s="27">
        <v>0.28775562500000001</v>
      </c>
      <c r="L10" s="27">
        <v>0.54730156250000006</v>
      </c>
      <c r="M10" s="27">
        <v>0.19117562500000004</v>
      </c>
      <c r="N10" s="337" t="s">
        <v>991</v>
      </c>
      <c r="O10" s="27">
        <v>0.23060208333333335</v>
      </c>
      <c r="P10" s="27">
        <v>0.28789062500000001</v>
      </c>
      <c r="Q10" s="27">
        <v>0.19963549999999999</v>
      </c>
      <c r="R10" s="27">
        <v>0.2548333333333333</v>
      </c>
      <c r="S10" s="27">
        <v>0.41539350876666664</v>
      </c>
      <c r="T10" s="27">
        <v>0.2763631944444444</v>
      </c>
      <c r="U10" s="27">
        <v>0.39922916666666658</v>
      </c>
      <c r="V10" s="27">
        <v>0.48461499999999996</v>
      </c>
      <c r="W10" s="27">
        <v>0.38448833333333332</v>
      </c>
      <c r="X10" s="27">
        <v>0.6540076388888888</v>
      </c>
      <c r="Y10" s="27">
        <v>0.80578854166666669</v>
      </c>
      <c r="Z10" s="27">
        <v>0.50327416666666669</v>
      </c>
      <c r="AA10" s="337" t="s">
        <v>991</v>
      </c>
      <c r="AB10" s="27">
        <v>0.90791666666666659</v>
      </c>
      <c r="AC10" s="27">
        <v>0.38708333333333339</v>
      </c>
      <c r="AD10" s="27">
        <v>0.45583333333333326</v>
      </c>
      <c r="AE10" s="27">
        <v>1.1558333333333335</v>
      </c>
      <c r="AF10" s="27">
        <v>0.53583333333333349</v>
      </c>
      <c r="AG10" s="27">
        <v>0.66000000000000014</v>
      </c>
      <c r="AH10" s="27">
        <v>1.1683333333333334</v>
      </c>
      <c r="AI10" s="27">
        <v>0.61583333333333323</v>
      </c>
      <c r="AJ10" s="27">
        <v>0.76750000000000007</v>
      </c>
      <c r="AK10" s="27">
        <v>1.1204166666666668</v>
      </c>
      <c r="AL10" s="27">
        <v>0.79604166666666665</v>
      </c>
      <c r="AM10" s="27">
        <v>1.1550000000000002</v>
      </c>
    </row>
    <row r="11" spans="1:39" s="249" customFormat="1" ht="12" customHeight="1">
      <c r="A11" s="1561" t="s">
        <v>1042</v>
      </c>
      <c r="B11" s="440">
        <v>6.0833333333333323E-2</v>
      </c>
      <c r="C11" s="440">
        <v>0.2014565555</v>
      </c>
      <c r="D11" s="440">
        <v>0</v>
      </c>
      <c r="E11" s="440">
        <v>3.8953055555555553E-2</v>
      </c>
      <c r="F11" s="440">
        <v>0.25167252783333338</v>
      </c>
      <c r="G11" s="440">
        <v>1.7500000000000002E-2</v>
      </c>
      <c r="H11" s="440">
        <v>8.435333333333335E-2</v>
      </c>
      <c r="I11" s="440">
        <v>0.36996055550000001</v>
      </c>
      <c r="J11" s="440">
        <v>1.0833333333333334E-2</v>
      </c>
      <c r="K11" s="440">
        <v>0.25765302783333327</v>
      </c>
      <c r="L11" s="440">
        <v>0.57783030549999992</v>
      </c>
      <c r="M11" s="440">
        <v>5.1990729166666673E-2</v>
      </c>
      <c r="N11" s="1561" t="s">
        <v>1042</v>
      </c>
      <c r="O11" s="440">
        <v>0.417658549951267</v>
      </c>
      <c r="P11" s="440">
        <v>0.42778127485021789</v>
      </c>
      <c r="Q11" s="440">
        <v>0.25705915530303031</v>
      </c>
      <c r="R11" s="440">
        <v>0.39406351697994985</v>
      </c>
      <c r="S11" s="440">
        <v>0.5138648752314815</v>
      </c>
      <c r="T11" s="440">
        <v>0.27559262629540598</v>
      </c>
      <c r="U11" s="440">
        <v>0.71116524939227155</v>
      </c>
      <c r="V11" s="440">
        <v>0.68667745396825397</v>
      </c>
      <c r="W11" s="440">
        <v>0.4250588182539683</v>
      </c>
      <c r="X11" s="440">
        <v>0.81893196351991071</v>
      </c>
      <c r="Y11" s="440">
        <v>1.0508996562908497</v>
      </c>
      <c r="Z11" s="440">
        <v>0.52704765201465198</v>
      </c>
      <c r="AA11" s="1561" t="s">
        <v>1042</v>
      </c>
      <c r="AB11" s="440">
        <v>1.0156928895833335</v>
      </c>
      <c r="AC11" s="440">
        <v>0.41749176666666665</v>
      </c>
      <c r="AD11" s="440">
        <v>0.46336752083333338</v>
      </c>
      <c r="AE11" s="440">
        <v>1.1542176916666664</v>
      </c>
      <c r="AF11" s="440">
        <v>0.57261966666666686</v>
      </c>
      <c r="AG11" s="440">
        <v>0.58483106666666662</v>
      </c>
      <c r="AH11" s="440">
        <v>0.76716723611111093</v>
      </c>
      <c r="AI11" s="440">
        <v>0.67324468055555553</v>
      </c>
      <c r="AJ11" s="440">
        <v>0.98999999999999988</v>
      </c>
      <c r="AK11" s="440">
        <v>0.94661391388888882</v>
      </c>
      <c r="AL11" s="440">
        <v>0.87057560555555547</v>
      </c>
      <c r="AM11" s="440">
        <v>1.0833333333333333</v>
      </c>
    </row>
    <row r="12" spans="1:39" s="249" customFormat="1" ht="12" customHeight="1">
      <c r="A12" s="1560" t="s">
        <v>1163</v>
      </c>
      <c r="B12" s="536">
        <v>0.13249999999999998</v>
      </c>
      <c r="C12" s="536">
        <v>0.18583333333333332</v>
      </c>
      <c r="D12" s="536">
        <v>0</v>
      </c>
      <c r="E12" s="536">
        <v>0.19583333333333333</v>
      </c>
      <c r="F12" s="536">
        <v>0.24333333333333332</v>
      </c>
      <c r="G12" s="536">
        <v>0</v>
      </c>
      <c r="H12" s="536">
        <v>0.34833333333333333</v>
      </c>
      <c r="I12" s="536">
        <v>0.36833333333333335</v>
      </c>
      <c r="J12" s="536">
        <v>0</v>
      </c>
      <c r="K12" s="536">
        <v>0.53416666666666668</v>
      </c>
      <c r="L12" s="536">
        <v>0.53833333333333333</v>
      </c>
      <c r="M12" s="536">
        <v>0</v>
      </c>
      <c r="N12" s="1560" t="s">
        <v>1163</v>
      </c>
      <c r="O12" s="536">
        <v>0.43916666666666665</v>
      </c>
      <c r="P12" s="536">
        <v>0.4283333333333334</v>
      </c>
      <c r="Q12" s="536">
        <v>0.29750000000000004</v>
      </c>
      <c r="R12" s="536">
        <v>0.47166666666666668</v>
      </c>
      <c r="S12" s="536">
        <v>0.50166666666666659</v>
      </c>
      <c r="T12" s="536">
        <v>0.3066666666666667</v>
      </c>
      <c r="U12" s="536">
        <v>1.1066666666666667</v>
      </c>
      <c r="V12" s="536">
        <v>0.70416666666666661</v>
      </c>
      <c r="W12" s="536">
        <v>0.48750000000000004</v>
      </c>
      <c r="X12" s="536">
        <v>1.1833333333333333</v>
      </c>
      <c r="Y12" s="536">
        <v>0.90083333333333326</v>
      </c>
      <c r="Z12" s="536">
        <v>0.51250000000000007</v>
      </c>
      <c r="AA12" s="1560" t="s">
        <v>1163</v>
      </c>
      <c r="AB12" s="536">
        <v>1.0274999999999999</v>
      </c>
      <c r="AC12" s="536">
        <v>0.43500000000000005</v>
      </c>
      <c r="AD12" s="536">
        <v>0.51666666666666672</v>
      </c>
      <c r="AE12" s="536">
        <v>1.1783333333333332</v>
      </c>
      <c r="AF12" s="536">
        <v>0.65</v>
      </c>
      <c r="AG12" s="536">
        <v>0.63166666666666671</v>
      </c>
      <c r="AH12" s="536">
        <v>0.83250000000000002</v>
      </c>
      <c r="AI12" s="536">
        <v>0.71166666666666656</v>
      </c>
      <c r="AJ12" s="536">
        <v>0.9</v>
      </c>
      <c r="AK12" s="536">
        <v>0.9558333333333332</v>
      </c>
      <c r="AL12" s="536">
        <v>0.89583333333333337</v>
      </c>
      <c r="AM12" s="536">
        <v>1.0983333333333334</v>
      </c>
    </row>
    <row r="13" spans="1:39" s="249" customFormat="1" ht="12" customHeight="1">
      <c r="A13" s="1561" t="s">
        <v>1187</v>
      </c>
      <c r="B13" s="440">
        <v>0.46749999999999997</v>
      </c>
      <c r="C13" s="440">
        <v>3.1666666666666676E-2</v>
      </c>
      <c r="D13" s="440">
        <v>0</v>
      </c>
      <c r="E13" s="440">
        <v>0.56916666666666671</v>
      </c>
      <c r="F13" s="440">
        <v>0.2525</v>
      </c>
      <c r="G13" s="440">
        <v>0</v>
      </c>
      <c r="H13" s="440">
        <v>0.86916666666666675</v>
      </c>
      <c r="I13" s="440">
        <v>0.21083333333333334</v>
      </c>
      <c r="J13" s="440">
        <v>0</v>
      </c>
      <c r="K13" s="440">
        <v>1.095</v>
      </c>
      <c r="L13" s="440">
        <v>0.36166666666666664</v>
      </c>
      <c r="M13" s="440">
        <v>0</v>
      </c>
      <c r="N13" s="1561" t="s">
        <v>1187</v>
      </c>
      <c r="O13" s="440">
        <v>0.48500000000000004</v>
      </c>
      <c r="P13" s="440">
        <v>0.30583333333333335</v>
      </c>
      <c r="Q13" s="440">
        <v>0.32083333333333336</v>
      </c>
      <c r="R13" s="440">
        <v>0.85083333333333344</v>
      </c>
      <c r="S13" s="440">
        <v>0.37666666666666665</v>
      </c>
      <c r="T13" s="440">
        <v>0.25500000000000006</v>
      </c>
      <c r="U13" s="440">
        <v>0.90499999999999992</v>
      </c>
      <c r="V13" s="440">
        <v>0.50666666666666671</v>
      </c>
      <c r="W13" s="440">
        <v>0.38333333333333336</v>
      </c>
      <c r="X13" s="440">
        <v>1.0366666666666666</v>
      </c>
      <c r="Y13" s="440">
        <v>0.62916666666666676</v>
      </c>
      <c r="Z13" s="440">
        <v>0.46416666666666662</v>
      </c>
      <c r="AA13" s="1561" t="s">
        <v>1187</v>
      </c>
      <c r="AB13" s="440">
        <v>1.01</v>
      </c>
      <c r="AC13" s="440">
        <v>0.44416666666666665</v>
      </c>
      <c r="AD13" s="440">
        <v>0.49166666666666664</v>
      </c>
      <c r="AE13" s="440">
        <v>1.1283333333333334</v>
      </c>
      <c r="AF13" s="440">
        <v>0.58333333333333337</v>
      </c>
      <c r="AG13" s="440">
        <v>0.47666666666666657</v>
      </c>
      <c r="AH13" s="440">
        <v>0.86666666666666659</v>
      </c>
      <c r="AI13" s="440">
        <v>0.67249999999999999</v>
      </c>
      <c r="AJ13" s="440">
        <v>0.72916666666666663</v>
      </c>
      <c r="AK13" s="440">
        <v>1.0458333333333332</v>
      </c>
      <c r="AL13" s="440">
        <v>0.80000000000000016</v>
      </c>
      <c r="AM13" s="440">
        <v>0.9291666666666667</v>
      </c>
    </row>
    <row r="14" spans="1:39" s="249" customFormat="1" ht="12" customHeight="1">
      <c r="A14" s="1560" t="s">
        <v>1311</v>
      </c>
      <c r="B14" s="536">
        <v>1.0958333333333334</v>
      </c>
      <c r="C14" s="536">
        <v>0.17250000000000001</v>
      </c>
      <c r="D14" s="536">
        <v>0</v>
      </c>
      <c r="E14" s="536">
        <v>1.2591666666666668</v>
      </c>
      <c r="F14" s="536">
        <v>0.23833333333333337</v>
      </c>
      <c r="G14" s="536">
        <v>0</v>
      </c>
      <c r="H14" s="536">
        <v>1.7641666666666664</v>
      </c>
      <c r="I14" s="536">
        <v>0.40750000000000003</v>
      </c>
      <c r="J14" s="536">
        <v>0</v>
      </c>
      <c r="K14" s="536">
        <v>1.9741666666666668</v>
      </c>
      <c r="L14" s="536">
        <v>0.56000000000000005</v>
      </c>
      <c r="M14" s="536">
        <v>0</v>
      </c>
      <c r="N14" s="1560" t="s">
        <v>1311</v>
      </c>
      <c r="O14" s="536">
        <v>0.77499999999999991</v>
      </c>
      <c r="P14" s="536">
        <v>0.30499999999999999</v>
      </c>
      <c r="Q14" s="536">
        <v>0.16999999999999996</v>
      </c>
      <c r="R14" s="536">
        <v>1.6150000000000002</v>
      </c>
      <c r="S14" s="536">
        <v>0.38666666666666671</v>
      </c>
      <c r="T14" s="536">
        <v>0.17833333333333332</v>
      </c>
      <c r="U14" s="536">
        <v>0.98749999999999993</v>
      </c>
      <c r="V14" s="536">
        <v>0.5083333333333333</v>
      </c>
      <c r="W14" s="536">
        <v>0.24583333333333335</v>
      </c>
      <c r="X14" s="536">
        <v>1.0891666666666666</v>
      </c>
      <c r="Y14" s="536">
        <v>0.57500000000000007</v>
      </c>
      <c r="Z14" s="536">
        <v>0.31749999999999995</v>
      </c>
      <c r="AA14" s="1560" t="s">
        <v>1311</v>
      </c>
      <c r="AB14" s="536">
        <v>0.87833333333333341</v>
      </c>
      <c r="AC14" s="536">
        <v>0.53999999999999992</v>
      </c>
      <c r="AD14" s="536">
        <v>0.52083333333333337</v>
      </c>
      <c r="AE14" s="536">
        <v>0.79499999999999993</v>
      </c>
      <c r="AF14" s="536">
        <v>0.58083333333333342</v>
      </c>
      <c r="AG14" s="536">
        <v>0.38999999999999996</v>
      </c>
      <c r="AH14" s="536">
        <v>0.85083333333333322</v>
      </c>
      <c r="AI14" s="536">
        <v>0.66500000000000004</v>
      </c>
      <c r="AJ14" s="536">
        <v>0.57250000000000012</v>
      </c>
      <c r="AK14" s="536">
        <v>1.1216666666666666</v>
      </c>
      <c r="AL14" s="536">
        <v>0.76499999999999979</v>
      </c>
      <c r="AM14" s="536">
        <v>0.72166666666666668</v>
      </c>
    </row>
    <row r="15" spans="1:39" s="249" customFormat="1" ht="12" customHeight="1">
      <c r="A15" s="1561" t="s">
        <v>1420</v>
      </c>
      <c r="B15" s="440">
        <v>1.7266666666666666</v>
      </c>
      <c r="C15" s="440">
        <v>0.41750000000000004</v>
      </c>
      <c r="D15" s="440">
        <v>0</v>
      </c>
      <c r="E15" s="440">
        <v>1.8933333333333333</v>
      </c>
      <c r="F15" s="440">
        <v>0.51500000000000001</v>
      </c>
      <c r="G15" s="440">
        <v>0</v>
      </c>
      <c r="H15" s="440">
        <v>2.4766666666666661</v>
      </c>
      <c r="I15" s="440">
        <v>0.75499999999999989</v>
      </c>
      <c r="J15" s="440">
        <v>0</v>
      </c>
      <c r="K15" s="440">
        <v>2.6724999999999999</v>
      </c>
      <c r="L15" s="440">
        <v>0.89916666666666678</v>
      </c>
      <c r="M15" s="440">
        <v>0</v>
      </c>
      <c r="N15" s="1561" t="s">
        <v>1420</v>
      </c>
      <c r="O15" s="440">
        <v>1.3325</v>
      </c>
      <c r="P15" s="440">
        <v>0.35666666666666669</v>
      </c>
      <c r="Q15" s="440">
        <v>0.16249999999999998</v>
      </c>
      <c r="R15" s="440">
        <v>1.6400000000000003</v>
      </c>
      <c r="S15" s="440">
        <v>0.52083333333333337</v>
      </c>
      <c r="T15" s="440">
        <v>0.16749999999999998</v>
      </c>
      <c r="U15" s="440">
        <v>1.5008333333333335</v>
      </c>
      <c r="V15" s="440">
        <v>0.56500000000000006</v>
      </c>
      <c r="W15" s="440">
        <v>0.23916666666666667</v>
      </c>
      <c r="X15" s="440">
        <v>1.6074999999999999</v>
      </c>
      <c r="Y15" s="440">
        <v>0.69249999999999989</v>
      </c>
      <c r="Z15" s="440">
        <v>0.3116666666666667</v>
      </c>
      <c r="AA15" s="1561" t="s">
        <v>1420</v>
      </c>
      <c r="AB15" s="440">
        <v>1.0008333333333332</v>
      </c>
      <c r="AC15" s="440">
        <v>0.60750000000000004</v>
      </c>
      <c r="AD15" s="440">
        <v>0.54666666666666675</v>
      </c>
      <c r="AE15" s="440">
        <v>0.80083333333333329</v>
      </c>
      <c r="AF15" s="440">
        <v>0.63749999999999996</v>
      </c>
      <c r="AG15" s="440">
        <v>0.36333333333333334</v>
      </c>
      <c r="AH15" s="440">
        <v>1.0150000000000001</v>
      </c>
      <c r="AI15" s="440">
        <v>0.76250000000000007</v>
      </c>
      <c r="AJ15" s="440">
        <v>0.53000000000000014</v>
      </c>
      <c r="AK15" s="440">
        <v>1.280833333333333</v>
      </c>
      <c r="AL15" s="440">
        <v>0.83916666666666673</v>
      </c>
      <c r="AM15" s="440">
        <v>0.70000000000000007</v>
      </c>
    </row>
    <row r="16" spans="1:39" s="249" customFormat="1" ht="12" customHeight="1">
      <c r="A16" s="523" t="s">
        <v>1502</v>
      </c>
      <c r="B16" s="536">
        <v>1.2866666666666668</v>
      </c>
      <c r="C16" s="536">
        <v>0.34249999999999997</v>
      </c>
      <c r="D16" s="536">
        <v>0</v>
      </c>
      <c r="E16" s="536">
        <v>1.1883333333333332</v>
      </c>
      <c r="F16" s="536">
        <v>0.41916666666666669</v>
      </c>
      <c r="G16" s="536">
        <v>0</v>
      </c>
      <c r="H16" s="536">
        <v>1.4416666666666667</v>
      </c>
      <c r="I16" s="536">
        <v>0.5675</v>
      </c>
      <c r="J16" s="536">
        <v>0</v>
      </c>
      <c r="K16" s="536">
        <v>1.47</v>
      </c>
      <c r="L16" s="536">
        <v>0.66416666666666668</v>
      </c>
      <c r="M16" s="536">
        <v>0</v>
      </c>
      <c r="N16" s="523" t="s">
        <v>1502</v>
      </c>
      <c r="O16" s="536">
        <v>1.0566666666666669</v>
      </c>
      <c r="P16" s="536">
        <v>0.40333333333333338</v>
      </c>
      <c r="Q16" s="536">
        <v>0.22333333333333336</v>
      </c>
      <c r="R16" s="536">
        <v>1.1266666666666667</v>
      </c>
      <c r="S16" s="536">
        <v>0.55666666666666675</v>
      </c>
      <c r="T16" s="536">
        <v>0.19249999999999998</v>
      </c>
      <c r="U16" s="536">
        <v>1.1741666666666668</v>
      </c>
      <c r="V16" s="536">
        <v>0.53500000000000003</v>
      </c>
      <c r="W16" s="536">
        <v>0.255</v>
      </c>
      <c r="X16" s="536">
        <v>1.3241666666666667</v>
      </c>
      <c r="Y16" s="536">
        <v>0.6991666666666666</v>
      </c>
      <c r="Z16" s="536">
        <v>0.32</v>
      </c>
      <c r="AA16" s="523" t="s">
        <v>1502</v>
      </c>
      <c r="AB16" s="536">
        <v>0.82250000000000012</v>
      </c>
      <c r="AC16" s="536">
        <v>0.4941666666666667</v>
      </c>
      <c r="AD16" s="536">
        <v>0.52750000000000008</v>
      </c>
      <c r="AE16" s="536">
        <v>0.93583333333333352</v>
      </c>
      <c r="AF16" s="536">
        <v>0.6349999999999999</v>
      </c>
      <c r="AG16" s="536">
        <v>0.37916666666666671</v>
      </c>
      <c r="AH16" s="536">
        <v>0.9291666666666667</v>
      </c>
      <c r="AI16" s="536">
        <v>0.80750000000000011</v>
      </c>
      <c r="AJ16" s="536">
        <v>0.56666666666666676</v>
      </c>
      <c r="AK16" s="536">
        <v>1.1291666666666667</v>
      </c>
      <c r="AL16" s="536">
        <v>0.81083333333333341</v>
      </c>
      <c r="AM16" s="536">
        <v>0.75</v>
      </c>
    </row>
    <row r="17" spans="1:39" s="249" customFormat="1" ht="12" customHeight="1">
      <c r="A17" s="563" t="s">
        <v>1555</v>
      </c>
      <c r="B17" s="440">
        <v>0.13500000000000004</v>
      </c>
      <c r="C17" s="440">
        <v>5.2500000000000012E-2</v>
      </c>
      <c r="D17" s="440">
        <v>0</v>
      </c>
      <c r="E17" s="440">
        <v>0.18333333333333332</v>
      </c>
      <c r="F17" s="440">
        <v>7.4166666666666672E-2</v>
      </c>
      <c r="G17" s="440">
        <v>0</v>
      </c>
      <c r="H17" s="440">
        <v>0.18833333333333332</v>
      </c>
      <c r="I17" s="440">
        <v>0.10000000000000002</v>
      </c>
      <c r="J17" s="440">
        <v>0</v>
      </c>
      <c r="K17" s="440">
        <v>0.22583333333333333</v>
      </c>
      <c r="L17" s="440">
        <v>0.15250000000000002</v>
      </c>
      <c r="M17" s="440">
        <v>0</v>
      </c>
      <c r="N17" s="563" t="s">
        <v>1555</v>
      </c>
      <c r="O17" s="440">
        <v>0.27916666666666662</v>
      </c>
      <c r="P17" s="440">
        <v>0.12083333333333336</v>
      </c>
      <c r="Q17" s="440">
        <v>8.2500000000000018E-2</v>
      </c>
      <c r="R17" s="440">
        <v>0.46666666666666673</v>
      </c>
      <c r="S17" s="440">
        <v>0.27333333333333337</v>
      </c>
      <c r="T17" s="440">
        <v>0.14833333333333332</v>
      </c>
      <c r="U17" s="440">
        <v>0.46333333333333321</v>
      </c>
      <c r="V17" s="440">
        <v>0.31583333333333335</v>
      </c>
      <c r="W17" s="440">
        <v>0.22916666666666663</v>
      </c>
      <c r="X17" s="440">
        <v>0.69916666666666671</v>
      </c>
      <c r="Y17" s="440">
        <v>0.49</v>
      </c>
      <c r="Z17" s="440">
        <v>0.32</v>
      </c>
      <c r="AA17" s="563" t="s">
        <v>1555</v>
      </c>
      <c r="AB17" s="440">
        <v>0.48583333333333334</v>
      </c>
      <c r="AC17" s="440">
        <v>0.38250000000000001</v>
      </c>
      <c r="AD17" s="440">
        <v>0.54333333333333333</v>
      </c>
      <c r="AE17" s="440">
        <v>0.75083333333333346</v>
      </c>
      <c r="AF17" s="440">
        <v>0.46249999999999997</v>
      </c>
      <c r="AG17" s="440">
        <v>0.46249999999999997</v>
      </c>
      <c r="AH17" s="440">
        <v>0.57999999999999996</v>
      </c>
      <c r="AI17" s="440">
        <v>0.71999999999999986</v>
      </c>
      <c r="AJ17" s="440">
        <v>0.69499999999999995</v>
      </c>
      <c r="AK17" s="440">
        <v>0.6758333333333334</v>
      </c>
      <c r="AL17" s="440">
        <v>0.69750000000000012</v>
      </c>
      <c r="AM17" s="440">
        <v>0.92499999999999993</v>
      </c>
    </row>
    <row r="18" spans="1:39" s="249" customFormat="1" ht="12" customHeight="1">
      <c r="A18" s="523" t="s">
        <v>1836</v>
      </c>
      <c r="B18" s="536">
        <v>0.22071041666666669</v>
      </c>
      <c r="C18" s="536">
        <v>0.26952083333333332</v>
      </c>
      <c r="D18" s="536">
        <v>0</v>
      </c>
      <c r="E18" s="536">
        <v>0.38450166666666669</v>
      </c>
      <c r="F18" s="536">
        <v>0.39549374999999998</v>
      </c>
      <c r="G18" s="536">
        <v>0</v>
      </c>
      <c r="H18" s="536">
        <v>0.63203125000000004</v>
      </c>
      <c r="I18" s="536">
        <v>0.67972916666666672</v>
      </c>
      <c r="J18" s="536">
        <v>0</v>
      </c>
      <c r="K18" s="536">
        <v>0.89655624999999983</v>
      </c>
      <c r="L18" s="536">
        <v>0.42794375000000001</v>
      </c>
      <c r="M18" s="536">
        <v>0</v>
      </c>
      <c r="N18" s="523" t="s">
        <v>1836</v>
      </c>
      <c r="O18" s="536">
        <v>0.31532734749455343</v>
      </c>
      <c r="P18" s="536">
        <v>0.20017037878787883</v>
      </c>
      <c r="Q18" s="536">
        <v>3.4999999999999996E-2</v>
      </c>
      <c r="R18" s="536">
        <v>0.53182662782364398</v>
      </c>
      <c r="S18" s="536">
        <v>0.31519323717948705</v>
      </c>
      <c r="T18" s="536">
        <v>0.11994444444444451</v>
      </c>
      <c r="U18" s="536">
        <v>0.57585807870370376</v>
      </c>
      <c r="V18" s="536">
        <v>0.43620674464424458</v>
      </c>
      <c r="W18" s="536">
        <v>0.18409722222222216</v>
      </c>
      <c r="X18" s="536">
        <v>0.79956950202815014</v>
      </c>
      <c r="Y18" s="536">
        <v>0.44954711182336188</v>
      </c>
      <c r="Z18" s="536">
        <v>0.255</v>
      </c>
      <c r="AA18" s="523" t="s">
        <v>1836</v>
      </c>
      <c r="AB18" s="536">
        <v>0.42428055555555561</v>
      </c>
      <c r="AC18" s="536">
        <v>0.38284583333333333</v>
      </c>
      <c r="AD18" s="536">
        <v>0.53999999999999992</v>
      </c>
      <c r="AE18" s="536">
        <v>0.53083791666666669</v>
      </c>
      <c r="AF18" s="536">
        <v>0.47707499999999992</v>
      </c>
      <c r="AG18" s="536">
        <v>0.5</v>
      </c>
      <c r="AH18" s="536">
        <v>0.51206458333333338</v>
      </c>
      <c r="AI18" s="536">
        <v>0.64387083333333328</v>
      </c>
      <c r="AJ18" s="536">
        <v>0.75</v>
      </c>
      <c r="AK18" s="536">
        <v>0.57374375000000011</v>
      </c>
      <c r="AL18" s="536">
        <v>0.71373333333333344</v>
      </c>
      <c r="AM18" s="536">
        <v>1</v>
      </c>
    </row>
    <row r="19" spans="1:39" s="249" customFormat="1" ht="12" customHeight="1">
      <c r="A19" s="598" t="s">
        <v>2088</v>
      </c>
      <c r="B19" s="599">
        <v>2.81717254901961</v>
      </c>
      <c r="C19" s="599">
        <v>1.8811113636363599</v>
      </c>
      <c r="D19" s="599">
        <v>0</v>
      </c>
      <c r="E19" s="599">
        <v>3.15982352941176</v>
      </c>
      <c r="F19" s="599">
        <v>2.5495000000000001</v>
      </c>
      <c r="G19" s="599">
        <v>0</v>
      </c>
      <c r="H19" s="599">
        <v>3.9451955555555598</v>
      </c>
      <c r="I19" s="599">
        <v>3.0833078947368402</v>
      </c>
      <c r="J19" s="599">
        <v>0</v>
      </c>
      <c r="K19" s="599">
        <v>4.2595311111111096</v>
      </c>
      <c r="L19" s="599">
        <v>2.4236363636363598</v>
      </c>
      <c r="M19" s="599">
        <v>0</v>
      </c>
      <c r="N19" s="598" t="s">
        <v>2088</v>
      </c>
      <c r="O19" s="599">
        <v>2.0001386243386201</v>
      </c>
      <c r="P19" s="599">
        <v>1.5466645669291299</v>
      </c>
      <c r="Q19" s="599">
        <v>0.75281818181818205</v>
      </c>
      <c r="R19" s="599">
        <v>2.5074815789473699</v>
      </c>
      <c r="S19" s="599">
        <v>1.68806285714286</v>
      </c>
      <c r="T19" s="599">
        <v>0.79199350649350597</v>
      </c>
      <c r="U19" s="599">
        <v>2.7318236180904498</v>
      </c>
      <c r="V19" s="599">
        <v>1.9837176056338</v>
      </c>
      <c r="W19" s="599">
        <v>0.86837777777777803</v>
      </c>
      <c r="X19" s="599">
        <v>2.8690920212765998</v>
      </c>
      <c r="Y19" s="599">
        <v>1.9108186915887899</v>
      </c>
      <c r="Z19" s="599">
        <v>0.91788947368421003</v>
      </c>
      <c r="AA19" s="598" t="s">
        <v>2088</v>
      </c>
      <c r="AB19" s="599">
        <v>1.4918097560975601</v>
      </c>
      <c r="AC19" s="599">
        <v>1.0596965517241399</v>
      </c>
      <c r="AD19" s="599">
        <v>0.58391304347826101</v>
      </c>
      <c r="AE19" s="599">
        <v>1.78563157894737</v>
      </c>
      <c r="AF19" s="599">
        <v>1.1464483870967701</v>
      </c>
      <c r="AG19" s="599">
        <v>0.54166666666666696</v>
      </c>
      <c r="AH19" s="599">
        <v>1.8759152173913001</v>
      </c>
      <c r="AI19" s="599">
        <v>0.72546500000000003</v>
      </c>
      <c r="AJ19" s="599">
        <v>0.77083333333333304</v>
      </c>
      <c r="AK19" s="599">
        <v>1.76011956521739</v>
      </c>
      <c r="AL19" s="599">
        <v>0.70540000000000003</v>
      </c>
      <c r="AM19" s="599">
        <v>1</v>
      </c>
    </row>
    <row r="20" spans="1:39" s="249" customFormat="1" ht="12" customHeight="1">
      <c r="A20" s="548" t="s">
        <v>2228</v>
      </c>
      <c r="B20" s="1434">
        <v>3.7974085106383</v>
      </c>
      <c r="C20" s="1434">
        <v>3.7165897435897399</v>
      </c>
      <c r="D20" s="1434">
        <v>3.53978235294118</v>
      </c>
      <c r="E20" s="1434">
        <v>3.94682244897959</v>
      </c>
      <c r="F20" s="1434">
        <v>3.84361632653061</v>
      </c>
      <c r="G20" s="1434">
        <v>3.6967823529411801</v>
      </c>
      <c r="H20" s="1434">
        <v>4.0155583333333302</v>
      </c>
      <c r="I20" s="1434">
        <v>3.9551219512195099</v>
      </c>
      <c r="J20" s="1434">
        <v>3.62389411764706</v>
      </c>
      <c r="K20" s="1434">
        <v>3.9332937499999998</v>
      </c>
      <c r="L20" s="1434">
        <v>3.9066609756097601</v>
      </c>
      <c r="M20" s="1434">
        <v>3.1575470588235302</v>
      </c>
      <c r="N20" s="548" t="s">
        <v>2228</v>
      </c>
      <c r="O20" s="1434">
        <v>3.2881108695652199</v>
      </c>
      <c r="P20" s="1434">
        <v>2.9787982142857099</v>
      </c>
      <c r="Q20" s="1434">
        <v>2.2351999999999999</v>
      </c>
      <c r="R20" s="1434">
        <v>3.5833588888888901</v>
      </c>
      <c r="S20" s="1434">
        <v>3.12049787234043</v>
      </c>
      <c r="T20" s="1434">
        <v>2.33375825242718</v>
      </c>
      <c r="U20" s="1434">
        <v>3.70896354166667</v>
      </c>
      <c r="V20" s="1434">
        <v>3.0183157894736801</v>
      </c>
      <c r="W20" s="1434">
        <v>2.3466427184466001</v>
      </c>
      <c r="X20" s="1434">
        <v>3.9650945454545501</v>
      </c>
      <c r="Y20" s="1434">
        <v>3.2050150442477898</v>
      </c>
      <c r="Z20" s="1434">
        <v>2.2416427184466001</v>
      </c>
      <c r="AA20" s="548" t="s">
        <v>2228</v>
      </c>
      <c r="AB20" s="1434">
        <v>2.4610363636363601</v>
      </c>
      <c r="AC20" s="1434">
        <v>1.6897392857142901</v>
      </c>
      <c r="AD20" s="1434">
        <v>0.25</v>
      </c>
      <c r="AE20" s="1434">
        <v>2.7432280000000002</v>
      </c>
      <c r="AF20" s="1434">
        <v>1.91643928571429</v>
      </c>
      <c r="AG20" s="1434">
        <v>0.83589166666666703</v>
      </c>
      <c r="AH20" s="1434">
        <v>3.208682</v>
      </c>
      <c r="AI20" s="1434">
        <v>1.3811111111111101</v>
      </c>
      <c r="AJ20" s="1434">
        <v>0.991475</v>
      </c>
      <c r="AK20" s="1434">
        <v>3.4845280000000001</v>
      </c>
      <c r="AL20" s="1434">
        <v>1.7021052631578899</v>
      </c>
      <c r="AM20" s="1434">
        <v>1</v>
      </c>
    </row>
    <row r="21" spans="1:39" s="249" customFormat="1" ht="12" customHeight="1">
      <c r="A21" s="563" t="s">
        <v>559</v>
      </c>
      <c r="B21" s="1231">
        <v>3.1545000000000001</v>
      </c>
      <c r="C21" s="1231">
        <v>2.0283333333333302</v>
      </c>
      <c r="D21" s="1231">
        <v>1.55</v>
      </c>
      <c r="E21" s="1231">
        <v>3.3336199999999998</v>
      </c>
      <c r="F21" s="1231">
        <v>3.1493799999999998</v>
      </c>
      <c r="G21" s="1231">
        <v>1.45</v>
      </c>
      <c r="H21" s="1231">
        <v>4.2918000000000003</v>
      </c>
      <c r="I21" s="1231">
        <v>2.4516666666666702</v>
      </c>
      <c r="J21" s="1231">
        <v>1.27</v>
      </c>
      <c r="K21" s="1231">
        <v>4.4103500000000002</v>
      </c>
      <c r="L21" s="1231">
        <v>2.5716666666666699</v>
      </c>
      <c r="M21" s="1231">
        <v>0.76</v>
      </c>
      <c r="N21" s="563" t="s">
        <v>559</v>
      </c>
      <c r="O21" s="1231">
        <v>2.5941000000000001</v>
      </c>
      <c r="P21" s="1231">
        <v>2.1323727272727302</v>
      </c>
      <c r="Q21" s="1231">
        <v>1.5689249999999999</v>
      </c>
      <c r="R21" s="1231">
        <v>2.8828999999999998</v>
      </c>
      <c r="S21" s="1231">
        <v>2.1694384615384599</v>
      </c>
      <c r="T21" s="1231">
        <v>1.5008555555555601</v>
      </c>
      <c r="U21" s="1231">
        <v>3.1669055555555601</v>
      </c>
      <c r="V21" s="1231">
        <v>2.18428461538462</v>
      </c>
      <c r="W21" s="1231">
        <v>1.58056666666667</v>
      </c>
      <c r="X21" s="1231">
        <v>3.2953066666666699</v>
      </c>
      <c r="Y21" s="1231">
        <v>2.4331800000000001</v>
      </c>
      <c r="Z21" s="1231">
        <v>1.5437111111111099</v>
      </c>
      <c r="AA21" s="563" t="s">
        <v>559</v>
      </c>
      <c r="AB21" s="1231">
        <v>2.5284666666666702</v>
      </c>
      <c r="AC21" s="1231">
        <v>1.665</v>
      </c>
      <c r="AD21" s="1231">
        <v>0.25</v>
      </c>
      <c r="AE21" s="1231">
        <v>2.8730000000000002</v>
      </c>
      <c r="AF21" s="1231">
        <v>1.72</v>
      </c>
      <c r="AG21" s="1231">
        <v>0.5</v>
      </c>
      <c r="AH21" s="1231">
        <v>3.3585750000000001</v>
      </c>
      <c r="AI21" s="1231">
        <v>0.85</v>
      </c>
      <c r="AJ21" s="1231">
        <v>0.75</v>
      </c>
      <c r="AK21" s="1231">
        <v>3.4300999999999999</v>
      </c>
      <c r="AL21" s="1231">
        <v>1</v>
      </c>
      <c r="AM21" s="1231">
        <v>1</v>
      </c>
    </row>
    <row r="22" spans="1:39" s="249" customFormat="1" ht="12" customHeight="1">
      <c r="A22" s="523" t="s">
        <v>560</v>
      </c>
      <c r="B22" s="1236">
        <v>4.0119249999999997</v>
      </c>
      <c r="C22" s="1236">
        <v>3.57833333333333</v>
      </c>
      <c r="D22" s="1236">
        <v>3.21</v>
      </c>
      <c r="E22" s="1236">
        <v>4.1475999999999997</v>
      </c>
      <c r="F22" s="1236">
        <v>4.1350249999999997</v>
      </c>
      <c r="G22" s="1236">
        <v>3.05</v>
      </c>
      <c r="H22" s="1236">
        <v>4.2555500000000004</v>
      </c>
      <c r="I22" s="1236">
        <v>4.0650000000000004</v>
      </c>
      <c r="J22" s="1236">
        <v>2.74</v>
      </c>
      <c r="K22" s="1236">
        <v>4.2915999999999999</v>
      </c>
      <c r="L22" s="1236">
        <v>4.2149999999999999</v>
      </c>
      <c r="M22" s="1236">
        <v>1.77</v>
      </c>
      <c r="N22" s="523" t="s">
        <v>560</v>
      </c>
      <c r="O22" s="1236">
        <v>2.8407562500000001</v>
      </c>
      <c r="P22" s="1236">
        <v>2.4148499999999999</v>
      </c>
      <c r="Q22" s="1236">
        <v>1.6093999999999999</v>
      </c>
      <c r="R22" s="1236">
        <v>3.1495812500000002</v>
      </c>
      <c r="S22" s="1236">
        <v>2.3789250000000002</v>
      </c>
      <c r="T22" s="1236">
        <v>1.54056666666667</v>
      </c>
      <c r="U22" s="1236">
        <v>3.3771235294117599</v>
      </c>
      <c r="V22" s="1236">
        <v>2.3694583333333301</v>
      </c>
      <c r="W22" s="1236">
        <v>1.61194444444444</v>
      </c>
      <c r="X22" s="1236">
        <v>3.5563714285714298</v>
      </c>
      <c r="Y22" s="1236">
        <v>2.6325777777777799</v>
      </c>
      <c r="Z22" s="1236">
        <v>1.57694444444444</v>
      </c>
      <c r="AA22" s="523" t="s">
        <v>560</v>
      </c>
      <c r="AB22" s="1236">
        <v>2.1420499999999998</v>
      </c>
      <c r="AC22" s="1236">
        <v>1.45363333333333</v>
      </c>
      <c r="AD22" s="1236">
        <v>0.25</v>
      </c>
      <c r="AE22" s="1236">
        <v>2.3032249999999999</v>
      </c>
      <c r="AF22" s="1236">
        <v>1.8254999999999999</v>
      </c>
      <c r="AG22" s="1236">
        <v>0.5</v>
      </c>
      <c r="AH22" s="1236">
        <v>2.1575500000000001</v>
      </c>
      <c r="AI22" s="1236">
        <v>0.55500000000000005</v>
      </c>
      <c r="AJ22" s="1236">
        <v>0.75</v>
      </c>
      <c r="AK22" s="1236">
        <v>3.0726499999999999</v>
      </c>
      <c r="AL22" s="1236">
        <v>1</v>
      </c>
      <c r="AM22" s="1236">
        <v>1</v>
      </c>
    </row>
    <row r="23" spans="1:39" s="249" customFormat="1" ht="12" customHeight="1">
      <c r="A23" s="563" t="s">
        <v>554</v>
      </c>
      <c r="B23" s="1231">
        <v>3.5</v>
      </c>
      <c r="C23" s="1231">
        <v>3.6666666666666701</v>
      </c>
      <c r="D23" s="1231">
        <v>3</v>
      </c>
      <c r="E23" s="1231">
        <v>3.5</v>
      </c>
      <c r="F23" s="1231">
        <v>3.5</v>
      </c>
      <c r="G23" s="1231">
        <v>3</v>
      </c>
      <c r="H23" s="1231">
        <v>3.5</v>
      </c>
      <c r="I23" s="1231">
        <v>4</v>
      </c>
      <c r="J23" s="1231">
        <v>3</v>
      </c>
      <c r="K23" s="1231">
        <v>3.5</v>
      </c>
      <c r="L23" s="1231">
        <v>4</v>
      </c>
      <c r="M23" s="1231">
        <v>2</v>
      </c>
      <c r="N23" s="563" t="s">
        <v>554</v>
      </c>
      <c r="O23" s="1231">
        <v>3</v>
      </c>
      <c r="P23" s="1231">
        <v>2.7777777777777799</v>
      </c>
      <c r="Q23" s="1231">
        <v>2.8</v>
      </c>
      <c r="R23" s="1231">
        <v>3.5333333333333301</v>
      </c>
      <c r="S23" s="1231">
        <v>2.7</v>
      </c>
      <c r="T23" s="1231">
        <v>3</v>
      </c>
      <c r="U23" s="1231">
        <v>3.8125</v>
      </c>
      <c r="V23" s="1231">
        <v>2.8</v>
      </c>
      <c r="W23" s="1231">
        <v>2.8</v>
      </c>
      <c r="X23" s="1231">
        <v>3.78571428571429</v>
      </c>
      <c r="Y23" s="1231">
        <v>2.7777777777777799</v>
      </c>
      <c r="Z23" s="1231">
        <v>2.6</v>
      </c>
      <c r="AA23" s="563" t="s">
        <v>554</v>
      </c>
      <c r="AB23" s="1231">
        <v>2.25</v>
      </c>
      <c r="AC23" s="1231">
        <v>2</v>
      </c>
      <c r="AD23" s="1231">
        <v>0</v>
      </c>
      <c r="AE23" s="1231">
        <v>2.4</v>
      </c>
      <c r="AF23" s="1231">
        <v>2</v>
      </c>
      <c r="AG23" s="1231">
        <v>1</v>
      </c>
      <c r="AH23" s="1231">
        <v>3</v>
      </c>
      <c r="AI23" s="1231">
        <v>1.5</v>
      </c>
      <c r="AJ23" s="1231">
        <v>1</v>
      </c>
      <c r="AK23" s="1231">
        <v>3.8</v>
      </c>
      <c r="AL23" s="1231">
        <v>2</v>
      </c>
      <c r="AM23" s="1231">
        <v>1</v>
      </c>
    </row>
    <row r="24" spans="1:39" s="249" customFormat="1" ht="12" customHeight="1">
      <c r="A24" s="523" t="s">
        <v>561</v>
      </c>
      <c r="B24" s="1236">
        <v>3.5122749999999998</v>
      </c>
      <c r="C24" s="1236">
        <v>3.66333333333333</v>
      </c>
      <c r="D24" s="1236">
        <v>3.54</v>
      </c>
      <c r="E24" s="1236">
        <v>3.5832999999999999</v>
      </c>
      <c r="F24" s="1236">
        <v>3.51125</v>
      </c>
      <c r="G24" s="1236">
        <v>3.39</v>
      </c>
      <c r="H24" s="1236">
        <v>3.6463999999999999</v>
      </c>
      <c r="I24" s="1236">
        <v>3.8583333333333298</v>
      </c>
      <c r="J24" s="1236">
        <v>3.14</v>
      </c>
      <c r="K24" s="1236">
        <v>3.6182249999999998</v>
      </c>
      <c r="L24" s="1236">
        <v>3.8916666666666702</v>
      </c>
      <c r="M24" s="1236">
        <v>2.36</v>
      </c>
      <c r="N24" s="523" t="s">
        <v>561</v>
      </c>
      <c r="O24" s="1236">
        <v>2.9888294117647098</v>
      </c>
      <c r="P24" s="1236">
        <v>2.0522300000000002</v>
      </c>
      <c r="Q24" s="1236">
        <v>1.7444375000000001</v>
      </c>
      <c r="R24" s="1236">
        <v>3.1415250000000001</v>
      </c>
      <c r="S24" s="1236">
        <v>2.3578999999999999</v>
      </c>
      <c r="T24" s="1236">
        <v>1.6451111111111101</v>
      </c>
      <c r="U24" s="1236">
        <v>3.2763411764705901</v>
      </c>
      <c r="V24" s="1236">
        <v>2.3225250000000002</v>
      </c>
      <c r="W24" s="1236">
        <v>1.7189333333333301</v>
      </c>
      <c r="X24" s="1236">
        <v>3.5350666666666699</v>
      </c>
      <c r="Y24" s="1236">
        <v>2.3209399999999998</v>
      </c>
      <c r="Z24" s="1236">
        <v>1.6741222222222201</v>
      </c>
      <c r="AA24" s="523" t="s">
        <v>561</v>
      </c>
      <c r="AB24" s="1236">
        <v>2.1652</v>
      </c>
      <c r="AC24" s="1236">
        <v>1.71393333333333</v>
      </c>
      <c r="AD24" s="1236">
        <v>0.25</v>
      </c>
      <c r="AE24" s="1236">
        <v>2.4309599999999998</v>
      </c>
      <c r="AF24" s="1236">
        <v>1.4140333333333299</v>
      </c>
      <c r="AG24" s="1236">
        <v>0.5</v>
      </c>
      <c r="AH24" s="1236">
        <v>3.5136799999999999</v>
      </c>
      <c r="AI24" s="1236">
        <v>1.7350000000000001</v>
      </c>
      <c r="AJ24" s="1236">
        <v>0.75</v>
      </c>
      <c r="AK24" s="1236">
        <v>3.5808200000000001</v>
      </c>
      <c r="AL24" s="1236">
        <v>1.81</v>
      </c>
      <c r="AM24" s="1236">
        <v>1</v>
      </c>
    </row>
    <row r="25" spans="1:39" s="249" customFormat="1" ht="12" customHeight="1">
      <c r="A25" s="563" t="s">
        <v>562</v>
      </c>
      <c r="B25" s="1231">
        <v>3.5225</v>
      </c>
      <c r="C25" s="1231">
        <v>3.62666666666667</v>
      </c>
      <c r="D25" s="1231">
        <v>3.66</v>
      </c>
      <c r="E25" s="1231">
        <v>3.5775000000000001</v>
      </c>
      <c r="F25" s="1231">
        <v>3.44</v>
      </c>
      <c r="G25" s="1231">
        <v>3.55</v>
      </c>
      <c r="H25" s="1231">
        <v>3.6124999999999998</v>
      </c>
      <c r="I25" s="1231">
        <v>3.73</v>
      </c>
      <c r="J25" s="1231">
        <v>3.31</v>
      </c>
      <c r="K25" s="1231">
        <v>3.5325000000000002</v>
      </c>
      <c r="L25" s="1231">
        <v>3.70333333333333</v>
      </c>
      <c r="M25" s="1231">
        <v>2.64</v>
      </c>
      <c r="N25" s="563" t="s">
        <v>562</v>
      </c>
      <c r="O25" s="1231">
        <v>2.7716666666666701</v>
      </c>
      <c r="P25" s="1231">
        <v>2.0459999999999998</v>
      </c>
      <c r="Q25" s="1231">
        <v>1.74875</v>
      </c>
      <c r="R25" s="1231">
        <v>3.0882352941176499</v>
      </c>
      <c r="S25" s="1231">
        <v>2.23428571428571</v>
      </c>
      <c r="T25" s="1231">
        <v>1.66333333333333</v>
      </c>
      <c r="U25" s="1231">
        <v>3.3477777777777802</v>
      </c>
      <c r="V25" s="1231">
        <v>2.14846153846154</v>
      </c>
      <c r="W25" s="1231">
        <v>1.7222222222222201</v>
      </c>
      <c r="X25" s="1231">
        <v>3.6326666666666698</v>
      </c>
      <c r="Y25" s="1231">
        <v>2.2879999999999998</v>
      </c>
      <c r="Z25" s="1231">
        <v>1.6855555555555599</v>
      </c>
      <c r="AA25" s="563" t="s">
        <v>562</v>
      </c>
      <c r="AB25" s="1231">
        <v>2.2974999999999999</v>
      </c>
      <c r="AC25" s="1231">
        <v>1.2933333333333299</v>
      </c>
      <c r="AD25" s="1231">
        <v>0.25</v>
      </c>
      <c r="AE25" s="1231">
        <v>2.6659999999999999</v>
      </c>
      <c r="AF25" s="1231">
        <v>2.1533333333333302</v>
      </c>
      <c r="AG25" s="1231">
        <v>0.5</v>
      </c>
      <c r="AH25" s="1231">
        <v>3.5</v>
      </c>
      <c r="AI25" s="1231">
        <v>1.7350000000000001</v>
      </c>
      <c r="AJ25" s="1231">
        <v>0.75</v>
      </c>
      <c r="AK25" s="1231">
        <v>3.66</v>
      </c>
      <c r="AL25" s="1231">
        <v>1.81</v>
      </c>
      <c r="AM25" s="1231">
        <v>1</v>
      </c>
    </row>
    <row r="26" spans="1:39" s="249" customFormat="1" ht="12" customHeight="1">
      <c r="A26" s="523" t="s">
        <v>555</v>
      </c>
      <c r="B26" s="1236">
        <v>3.5354749999999999</v>
      </c>
      <c r="C26" s="1236">
        <v>3.6166666666666698</v>
      </c>
      <c r="D26" s="1236">
        <v>3.66</v>
      </c>
      <c r="E26" s="1236">
        <v>3.5557249999999998</v>
      </c>
      <c r="F26" s="1236">
        <v>3.4160499999999998</v>
      </c>
      <c r="G26" s="1236">
        <v>3.64</v>
      </c>
      <c r="H26" s="1236">
        <v>3.4929250000000001</v>
      </c>
      <c r="I26" s="1236">
        <v>3.6616666666666702</v>
      </c>
      <c r="J26" s="1236">
        <v>3.45</v>
      </c>
      <c r="K26" s="1236">
        <v>3.271525</v>
      </c>
      <c r="L26" s="1236">
        <v>3.56666666666667</v>
      </c>
      <c r="M26" s="1236">
        <v>2.86</v>
      </c>
      <c r="N26" s="523" t="s">
        <v>555</v>
      </c>
      <c r="O26" s="1236">
        <v>3.1166499999999999</v>
      </c>
      <c r="P26" s="1236">
        <v>2.8119999999999998</v>
      </c>
      <c r="Q26" s="1236">
        <v>2.0775000000000001</v>
      </c>
      <c r="R26" s="1236">
        <v>3.3787294117647102</v>
      </c>
      <c r="S26" s="1236">
        <v>2.7477642857142901</v>
      </c>
      <c r="T26" s="1236">
        <v>1.8825000000000001</v>
      </c>
      <c r="U26" s="1236">
        <v>3.5469277777777801</v>
      </c>
      <c r="V26" s="1236">
        <v>2.6159461538461501</v>
      </c>
      <c r="W26" s="1236">
        <v>1.8662333333333301</v>
      </c>
      <c r="X26" s="1236">
        <v>3.7933866666666698</v>
      </c>
      <c r="Y26" s="1236">
        <v>2.7233200000000002</v>
      </c>
      <c r="Z26" s="1236">
        <v>1.6875</v>
      </c>
      <c r="AA26" s="523" t="s">
        <v>555</v>
      </c>
      <c r="AB26" s="1236">
        <v>2.31</v>
      </c>
      <c r="AC26" s="1236">
        <v>1.2933333333333299</v>
      </c>
      <c r="AD26" s="1236">
        <v>0.25</v>
      </c>
      <c r="AE26" s="1236">
        <v>2.5361750000000001</v>
      </c>
      <c r="AF26" s="1236">
        <v>2.1545666666666698</v>
      </c>
      <c r="AG26" s="1236">
        <v>0.5</v>
      </c>
      <c r="AH26" s="1236">
        <v>3.0008249999999999</v>
      </c>
      <c r="AI26" s="1236">
        <v>1.7350000000000001</v>
      </c>
      <c r="AJ26" s="1236">
        <v>0.75</v>
      </c>
      <c r="AK26" s="1236">
        <v>3.2059000000000002</v>
      </c>
      <c r="AL26" s="1236">
        <v>1.81</v>
      </c>
      <c r="AM26" s="1236">
        <v>1</v>
      </c>
    </row>
    <row r="27" spans="1:39" s="249" customFormat="1" ht="12" customHeight="1">
      <c r="A27" s="563" t="s">
        <v>563</v>
      </c>
      <c r="B27" s="1231">
        <v>3.53565</v>
      </c>
      <c r="C27" s="1231">
        <v>3.6333333333333302</v>
      </c>
      <c r="D27" s="1231">
        <v>3.66</v>
      </c>
      <c r="E27" s="1231">
        <v>3.5268999999999999</v>
      </c>
      <c r="F27" s="1231">
        <v>3.395025</v>
      </c>
      <c r="G27" s="1231">
        <v>3.67</v>
      </c>
      <c r="H27" s="1231">
        <v>3.38565</v>
      </c>
      <c r="I27" s="1231">
        <v>3.57</v>
      </c>
      <c r="J27" s="1231">
        <v>3.55</v>
      </c>
      <c r="K27" s="1231">
        <v>3.1135000000000002</v>
      </c>
      <c r="L27" s="1231">
        <v>3.3333333333333299</v>
      </c>
      <c r="M27" s="1231">
        <v>3.04</v>
      </c>
      <c r="N27" s="563" t="s">
        <v>563</v>
      </c>
      <c r="O27" s="1231">
        <v>3.2963800000000001</v>
      </c>
      <c r="P27" s="1231">
        <v>2.9447777777777802</v>
      </c>
      <c r="Q27" s="1231">
        <v>2.3694285714285699</v>
      </c>
      <c r="R27" s="1231">
        <v>3.2654214285714298</v>
      </c>
      <c r="S27" s="1231">
        <v>3.0038909090909098</v>
      </c>
      <c r="T27" s="1231">
        <v>2.1142500000000002</v>
      </c>
      <c r="U27" s="1231">
        <v>3.4226533333333302</v>
      </c>
      <c r="V27" s="1231">
        <v>2.6766100000000002</v>
      </c>
      <c r="W27" s="1231">
        <v>2.1027499999999999</v>
      </c>
      <c r="X27" s="1231">
        <v>3.5869307692307699</v>
      </c>
      <c r="Y27" s="1231">
        <v>2.6008624999999999</v>
      </c>
      <c r="Z27" s="1231">
        <v>1.921125</v>
      </c>
      <c r="AA27" s="563" t="s">
        <v>563</v>
      </c>
      <c r="AB27" s="1231">
        <v>2.4811749999999999</v>
      </c>
      <c r="AC27" s="1231">
        <v>2.08</v>
      </c>
      <c r="AD27" s="1231">
        <v>0.25</v>
      </c>
      <c r="AE27" s="1231">
        <v>3.0851000000000002</v>
      </c>
      <c r="AF27" s="1231">
        <v>2.1896666666666702</v>
      </c>
      <c r="AG27" s="1231">
        <v>0.5</v>
      </c>
      <c r="AH27" s="1231">
        <v>3.5211800000000002</v>
      </c>
      <c r="AI27" s="1231">
        <v>0.85</v>
      </c>
      <c r="AJ27" s="1231">
        <v>0.75</v>
      </c>
      <c r="AK27" s="1231">
        <v>3.62568</v>
      </c>
      <c r="AL27" s="1231">
        <v>1.81</v>
      </c>
      <c r="AM27" s="1231">
        <v>1</v>
      </c>
    </row>
    <row r="28" spans="1:39" s="249" customFormat="1" ht="12" customHeight="1">
      <c r="A28" s="523" t="s">
        <v>564</v>
      </c>
      <c r="B28" s="1220">
        <v>4.144075</v>
      </c>
      <c r="C28" s="1220">
        <v>4.010675</v>
      </c>
      <c r="D28" s="1220">
        <v>3.78695</v>
      </c>
      <c r="E28" s="1220">
        <v>4.1357999999999997</v>
      </c>
      <c r="F28" s="1220">
        <v>4.01755</v>
      </c>
      <c r="G28" s="1220">
        <v>3.7963499999999999</v>
      </c>
      <c r="H28" s="1220">
        <v>4.015625</v>
      </c>
      <c r="I28" s="1220">
        <v>3.9727749999999999</v>
      </c>
      <c r="J28" s="1220">
        <v>3.7696499999999999</v>
      </c>
      <c r="K28" s="1220">
        <v>3.8071999999999999</v>
      </c>
      <c r="L28" s="1220">
        <v>3.8144999999999998</v>
      </c>
      <c r="M28" s="1220">
        <v>3.37575</v>
      </c>
      <c r="N28" s="523" t="s">
        <v>564</v>
      </c>
      <c r="O28" s="1220">
        <v>3.2136499999999999</v>
      </c>
      <c r="P28" s="1220">
        <v>2.6407400000000001</v>
      </c>
      <c r="Q28" s="1220">
        <v>2.0750000000000002</v>
      </c>
      <c r="R28" s="1220">
        <v>3.18515333333333</v>
      </c>
      <c r="S28" s="1220">
        <v>2.7571333333333299</v>
      </c>
      <c r="T28" s="1220">
        <v>1.88933333333333</v>
      </c>
      <c r="U28" s="1220">
        <v>3.4005937500000001</v>
      </c>
      <c r="V28" s="1220">
        <v>2.44227272727273</v>
      </c>
      <c r="W28" s="1220">
        <v>1.8899888888888901</v>
      </c>
      <c r="X28" s="1220">
        <v>3.7177785714285698</v>
      </c>
      <c r="Y28" s="1220">
        <v>2.3523777777777801</v>
      </c>
      <c r="Z28" s="1220">
        <v>1.7612000000000001</v>
      </c>
      <c r="AA28" s="523" t="s">
        <v>564</v>
      </c>
      <c r="AB28" s="1220">
        <v>2.948</v>
      </c>
      <c r="AC28" s="1220">
        <v>2.08</v>
      </c>
      <c r="AD28" s="1220">
        <v>0.25</v>
      </c>
      <c r="AE28" s="1220">
        <v>3.0007000000000001</v>
      </c>
      <c r="AF28" s="1220">
        <v>2.1896666666666702</v>
      </c>
      <c r="AG28" s="1220">
        <v>0.5</v>
      </c>
      <c r="AH28" s="1220">
        <v>3.6165600000000002</v>
      </c>
      <c r="AI28" s="1220">
        <v>0.85</v>
      </c>
      <c r="AJ28" s="1220">
        <v>0.75</v>
      </c>
      <c r="AK28" s="1220">
        <v>3.5756800000000002</v>
      </c>
      <c r="AL28" s="1220">
        <v>1.81</v>
      </c>
      <c r="AM28" s="1220">
        <v>1</v>
      </c>
    </row>
    <row r="29" spans="1:39" s="249" customFormat="1" ht="12" customHeight="1">
      <c r="A29" s="563" t="s">
        <v>556</v>
      </c>
      <c r="B29" s="1231">
        <v>4.1530750000000003</v>
      </c>
      <c r="C29" s="1231">
        <v>4.0124500000000003</v>
      </c>
      <c r="D29" s="1231">
        <v>3.7860499999999999</v>
      </c>
      <c r="E29" s="1231">
        <v>4.1292249999999999</v>
      </c>
      <c r="F29" s="1231">
        <v>4.0162000000000004</v>
      </c>
      <c r="G29" s="1231">
        <v>3.7969499999999998</v>
      </c>
      <c r="H29" s="1231">
        <v>4.0510000000000002</v>
      </c>
      <c r="I29" s="1231">
        <v>3.9606249999999998</v>
      </c>
      <c r="J29" s="1231">
        <v>3.8056999999999999</v>
      </c>
      <c r="K29" s="1231">
        <v>3.8905249999999998</v>
      </c>
      <c r="L29" s="1231">
        <v>3.8213750000000002</v>
      </c>
      <c r="M29" s="1231">
        <v>3.5118999999999998</v>
      </c>
      <c r="N29" s="563" t="s">
        <v>556</v>
      </c>
      <c r="O29" s="1231">
        <v>3.93942666666667</v>
      </c>
      <c r="P29" s="1231">
        <v>4.0812249999999999</v>
      </c>
      <c r="Q29" s="1231">
        <v>2.9871428571428602</v>
      </c>
      <c r="R29" s="1231">
        <v>3.91436428571429</v>
      </c>
      <c r="S29" s="1231">
        <v>4.0035454545454501</v>
      </c>
      <c r="T29" s="1231">
        <v>2.6517499999999998</v>
      </c>
      <c r="U29" s="1231">
        <v>3.96728666666667</v>
      </c>
      <c r="V29" s="1231">
        <v>3.8244888888888902</v>
      </c>
      <c r="W29" s="1231">
        <v>2.6389374999999999</v>
      </c>
      <c r="X29" s="1231">
        <v>4.2985153846153796</v>
      </c>
      <c r="Y29" s="1231">
        <v>3.8828624999999999</v>
      </c>
      <c r="Z29" s="1231">
        <v>2.4712000000000001</v>
      </c>
      <c r="AA29" s="563" t="s">
        <v>556</v>
      </c>
      <c r="AB29" s="1231">
        <v>1.9695</v>
      </c>
      <c r="AC29" s="1231">
        <v>0.5</v>
      </c>
      <c r="AD29" s="1231">
        <v>0.25</v>
      </c>
      <c r="AE29" s="1231">
        <v>2.15756666666667</v>
      </c>
      <c r="AF29" s="1231">
        <v>0.75</v>
      </c>
      <c r="AG29" s="1231">
        <v>0.5</v>
      </c>
      <c r="AH29" s="1231">
        <v>2.9148000000000001</v>
      </c>
      <c r="AI29" s="1231">
        <v>1.7350000000000001</v>
      </c>
      <c r="AJ29" s="1231">
        <v>0.75</v>
      </c>
      <c r="AK29" s="1231">
        <v>2.9414333333333298</v>
      </c>
      <c r="AL29" s="1231">
        <v>1.81</v>
      </c>
      <c r="AM29" s="1231">
        <v>1</v>
      </c>
    </row>
    <row r="30" spans="1:39" s="249" customFormat="1" ht="12" customHeight="1">
      <c r="A30" s="523" t="s">
        <v>565</v>
      </c>
      <c r="B30" s="1236">
        <v>4.1369499999999997</v>
      </c>
      <c r="C30" s="1236">
        <v>4.0743999999999998</v>
      </c>
      <c r="D30" s="1236">
        <v>3.7867000000000002</v>
      </c>
      <c r="E30" s="1236">
        <v>4.1327249999999998</v>
      </c>
      <c r="F30" s="1236">
        <v>3.9923999999999999</v>
      </c>
      <c r="G30" s="1236">
        <v>3.8029000000000002</v>
      </c>
      <c r="H30" s="1236">
        <v>4.0808749999999998</v>
      </c>
      <c r="I30" s="1236">
        <v>3.9215</v>
      </c>
      <c r="J30" s="1236">
        <v>3.8163999999999998</v>
      </c>
      <c r="K30" s="1236">
        <v>3.9781</v>
      </c>
      <c r="L30" s="1236">
        <v>3.8005</v>
      </c>
      <c r="M30" s="1236">
        <v>3.6133500000000001</v>
      </c>
      <c r="N30" s="523" t="s">
        <v>565</v>
      </c>
      <c r="O30" s="1236">
        <v>3.68054666666667</v>
      </c>
      <c r="P30" s="1236">
        <v>3.4938375000000002</v>
      </c>
      <c r="Q30" s="1236">
        <v>2.3679999999999999</v>
      </c>
      <c r="R30" s="1236">
        <v>3.6530214285714302</v>
      </c>
      <c r="S30" s="1236">
        <v>3.4101699999999999</v>
      </c>
      <c r="T30" s="1236">
        <v>2.1033374999999999</v>
      </c>
      <c r="U30" s="1236">
        <v>3.74060666666667</v>
      </c>
      <c r="V30" s="1236">
        <v>3.3287888888888899</v>
      </c>
      <c r="W30" s="1236">
        <v>2.11</v>
      </c>
      <c r="X30" s="1236">
        <v>4.0721846153846197</v>
      </c>
      <c r="Y30" s="1236">
        <v>3.3860250000000001</v>
      </c>
      <c r="Z30" s="1236">
        <v>2.0050249999999998</v>
      </c>
      <c r="AA30" s="523" t="s">
        <v>565</v>
      </c>
      <c r="AB30" s="1236">
        <v>2.656075</v>
      </c>
      <c r="AC30" s="1236">
        <v>2.08</v>
      </c>
      <c r="AD30" s="1236">
        <v>0.25</v>
      </c>
      <c r="AE30" s="1236">
        <v>3.271525</v>
      </c>
      <c r="AF30" s="1236">
        <v>1.97</v>
      </c>
      <c r="AG30" s="1236">
        <v>2.2653500000000002</v>
      </c>
      <c r="AH30" s="1236">
        <v>2.7681749999999998</v>
      </c>
      <c r="AI30" s="1236">
        <v>0.85</v>
      </c>
      <c r="AJ30" s="1236">
        <v>2.0738500000000002</v>
      </c>
      <c r="AK30" s="1236">
        <v>2.98245</v>
      </c>
      <c r="AL30" s="1236">
        <v>1</v>
      </c>
      <c r="AM30" s="1236">
        <v>1</v>
      </c>
    </row>
    <row r="31" spans="1:39" s="249" customFormat="1" ht="12" customHeight="1">
      <c r="A31" s="563" t="s">
        <v>566</v>
      </c>
      <c r="B31" s="1231">
        <v>3.6666666666666701</v>
      </c>
      <c r="C31" s="1231">
        <v>3.3333333333333299</v>
      </c>
      <c r="D31" s="1231">
        <v>3</v>
      </c>
      <c r="E31" s="1231">
        <v>4.75</v>
      </c>
      <c r="F31" s="1231">
        <v>4.75</v>
      </c>
      <c r="G31" s="1231">
        <v>4.5</v>
      </c>
      <c r="H31" s="1231">
        <v>4.75</v>
      </c>
      <c r="I31" s="1231">
        <v>4.75</v>
      </c>
      <c r="J31" s="1231">
        <v>4.5</v>
      </c>
      <c r="K31" s="1231">
        <v>4.75</v>
      </c>
      <c r="L31" s="1231">
        <v>4.75</v>
      </c>
      <c r="M31" s="1231">
        <v>4</v>
      </c>
      <c r="N31" s="563" t="s">
        <v>566</v>
      </c>
      <c r="O31" s="1231">
        <v>4.2222222222222197</v>
      </c>
      <c r="P31" s="1231">
        <v>4</v>
      </c>
      <c r="Q31" s="1231">
        <v>3</v>
      </c>
      <c r="R31" s="1231">
        <v>5.4545454545454497</v>
      </c>
      <c r="S31" s="1231">
        <v>5.2</v>
      </c>
      <c r="T31" s="1231">
        <v>4.1111111111111098</v>
      </c>
      <c r="U31" s="1231">
        <v>5.0833333333333304</v>
      </c>
      <c r="V31" s="1231">
        <v>5.2222222222222197</v>
      </c>
      <c r="W31" s="1231">
        <v>4.1111111111111098</v>
      </c>
      <c r="X31" s="1231">
        <v>5.9</v>
      </c>
      <c r="Y31" s="1231">
        <v>5.5555555555555598</v>
      </c>
      <c r="Z31" s="1231">
        <v>4</v>
      </c>
      <c r="AA31" s="563" t="s">
        <v>566</v>
      </c>
      <c r="AB31" s="1231">
        <v>4</v>
      </c>
      <c r="AC31" s="1231">
        <v>3</v>
      </c>
      <c r="AD31" s="1231">
        <v>0</v>
      </c>
      <c r="AE31" s="1231">
        <v>3.6666666666666701</v>
      </c>
      <c r="AF31" s="1231">
        <v>3</v>
      </c>
      <c r="AG31" s="1231">
        <v>0</v>
      </c>
      <c r="AH31" s="1231">
        <v>4</v>
      </c>
      <c r="AI31" s="1231">
        <v>0</v>
      </c>
      <c r="AJ31" s="1231">
        <v>0</v>
      </c>
      <c r="AK31" s="1231">
        <v>4.6666666666666696</v>
      </c>
      <c r="AL31" s="1231">
        <v>0</v>
      </c>
      <c r="AM31" s="1231">
        <v>0</v>
      </c>
    </row>
    <row r="32" spans="1:39" s="249" customFormat="1" ht="12" customHeight="1">
      <c r="A32" s="523" t="s">
        <v>557</v>
      </c>
      <c r="B32" s="1236">
        <v>5.1660000000000004</v>
      </c>
      <c r="C32" s="1236">
        <v>5.0389666666666697</v>
      </c>
      <c r="D32" s="1236">
        <v>4.5884499999999999</v>
      </c>
      <c r="E32" s="1236">
        <v>5.1427750000000003</v>
      </c>
      <c r="F32" s="1236">
        <v>4.974075</v>
      </c>
      <c r="G32" s="1236">
        <v>4.6514499999999996</v>
      </c>
      <c r="H32" s="1236">
        <v>5.1043750000000001</v>
      </c>
      <c r="I32" s="1236">
        <v>4.9325999999999999</v>
      </c>
      <c r="J32" s="1236">
        <v>4.6813500000000001</v>
      </c>
      <c r="K32" s="1236">
        <v>5.0359999999999996</v>
      </c>
      <c r="L32" s="1236">
        <v>4.8956499999999998</v>
      </c>
      <c r="M32" s="1236">
        <v>4.6231499999999999</v>
      </c>
      <c r="N32" s="523" t="s">
        <v>557</v>
      </c>
      <c r="O32" s="1236">
        <v>4.95428181818182</v>
      </c>
      <c r="P32" s="1236">
        <v>5.1563999999999997</v>
      </c>
      <c r="Q32" s="1236">
        <v>3.2605166666666698</v>
      </c>
      <c r="R32" s="1236">
        <v>5.2116142857142904</v>
      </c>
      <c r="S32" s="1236">
        <v>5.1606500000000004</v>
      </c>
      <c r="T32" s="1236">
        <v>3.84791818181818</v>
      </c>
      <c r="U32" s="1236">
        <v>4.9690266666666698</v>
      </c>
      <c r="V32" s="1236">
        <v>5.1490499999999999</v>
      </c>
      <c r="W32" s="1236">
        <v>3.8528818181818201</v>
      </c>
      <c r="X32" s="1236">
        <v>5.0790642857142902</v>
      </c>
      <c r="Y32" s="1236">
        <v>5.0530538461538503</v>
      </c>
      <c r="Z32" s="1236">
        <v>3.7590090909090899</v>
      </c>
      <c r="AA32" s="523" t="s">
        <v>557</v>
      </c>
      <c r="AB32" s="1236">
        <v>2.2812333333333301</v>
      </c>
      <c r="AC32" s="1236">
        <v>0.5</v>
      </c>
      <c r="AD32" s="1236">
        <v>0.25</v>
      </c>
      <c r="AE32" s="1236">
        <v>2.6130666666666702</v>
      </c>
      <c r="AF32" s="1236">
        <v>0.75</v>
      </c>
      <c r="AG32" s="1236">
        <v>0.5</v>
      </c>
      <c r="AH32" s="1236">
        <v>2.9306999999999999</v>
      </c>
      <c r="AI32" s="1236">
        <v>1.7350000000000001</v>
      </c>
      <c r="AJ32" s="1236">
        <v>0.75</v>
      </c>
      <c r="AK32" s="1236">
        <v>3.1422666666666701</v>
      </c>
      <c r="AL32" s="1236">
        <v>1.81</v>
      </c>
      <c r="AM32" s="1236">
        <v>1</v>
      </c>
    </row>
    <row r="33" spans="1:39" s="481" customFormat="1" ht="12" customHeight="1">
      <c r="A33" s="598" t="s">
        <v>2501</v>
      </c>
      <c r="B33" s="1594">
        <v>4.6889823529411796</v>
      </c>
      <c r="C33" s="1594">
        <v>4.6610647058823496</v>
      </c>
      <c r="D33" s="1594">
        <v>3.4026617647058801</v>
      </c>
      <c r="E33" s="1594">
        <v>4.3006456521739098</v>
      </c>
      <c r="F33" s="1594">
        <v>4.3884586956521696</v>
      </c>
      <c r="G33" s="1594">
        <v>3.2737088235294101</v>
      </c>
      <c r="H33" s="1594">
        <v>4.2263108695652196</v>
      </c>
      <c r="I33" s="1594">
        <v>4.28617826086957</v>
      </c>
      <c r="J33" s="1594">
        <v>3.15313529411765</v>
      </c>
      <c r="K33" s="1594">
        <v>3.9599652173913</v>
      </c>
      <c r="L33" s="1594">
        <v>4.0984934782608704</v>
      </c>
      <c r="M33" s="1594">
        <v>3.46591764705882</v>
      </c>
      <c r="N33" s="598" t="s">
        <v>2501</v>
      </c>
      <c r="O33" s="1594">
        <v>4.1319513888888899</v>
      </c>
      <c r="P33" s="1594">
        <v>4.1595259615384599</v>
      </c>
      <c r="Q33" s="1594">
        <v>2.4767383561643799</v>
      </c>
      <c r="R33" s="1594">
        <v>4.5173430232558101</v>
      </c>
      <c r="S33" s="1594">
        <v>4.34054459459459</v>
      </c>
      <c r="T33" s="1594">
        <v>3.14790161290323</v>
      </c>
      <c r="U33" s="1594">
        <v>4.4053385869565203</v>
      </c>
      <c r="V33" s="1594">
        <v>4.5919911764705903</v>
      </c>
      <c r="W33" s="1594">
        <v>3.1491637096774201</v>
      </c>
      <c r="X33" s="1594">
        <v>4.7592541436464098</v>
      </c>
      <c r="Y33" s="1594">
        <v>4.7499682432432397</v>
      </c>
      <c r="Z33" s="1594">
        <v>3.0814185483870999</v>
      </c>
      <c r="AA33" s="598" t="s">
        <v>2501</v>
      </c>
      <c r="AB33" s="1594">
        <v>2.68625111111111</v>
      </c>
      <c r="AC33" s="1594">
        <v>2.0951515151515201</v>
      </c>
      <c r="AD33" s="1594">
        <v>0.25</v>
      </c>
      <c r="AE33" s="1594">
        <v>3.1389595744680898</v>
      </c>
      <c r="AF33" s="1594">
        <v>1.9054038461538501</v>
      </c>
      <c r="AG33" s="1594">
        <v>1.04126428571429</v>
      </c>
      <c r="AH33" s="1594">
        <v>2.9709191489361699</v>
      </c>
      <c r="AI33" s="1594">
        <v>1.59526315789474</v>
      </c>
      <c r="AJ33" s="1594">
        <v>1.01005384615385</v>
      </c>
      <c r="AK33" s="1594">
        <v>3.2416456521739101</v>
      </c>
      <c r="AL33" s="1594">
        <v>1.7290000000000001</v>
      </c>
      <c r="AM33" s="1594">
        <v>1</v>
      </c>
    </row>
    <row r="34" spans="1:39" s="249" customFormat="1" ht="12" customHeight="1">
      <c r="A34" s="523" t="s">
        <v>559</v>
      </c>
      <c r="B34" s="1236">
        <v>5.16956666666667</v>
      </c>
      <c r="C34" s="1236">
        <v>4.9915333333333303</v>
      </c>
      <c r="D34" s="1236">
        <v>3.6126</v>
      </c>
      <c r="E34" s="1236">
        <v>5.0343749999999998</v>
      </c>
      <c r="F34" s="1236">
        <v>4.8780749999999999</v>
      </c>
      <c r="G34" s="1236">
        <v>3.6784333333333299</v>
      </c>
      <c r="H34" s="1236">
        <v>4.947025</v>
      </c>
      <c r="I34" s="1236">
        <v>4.8137749999999997</v>
      </c>
      <c r="J34" s="1236">
        <v>3.7364666666666699</v>
      </c>
      <c r="K34" s="1236">
        <v>4.8026999999999997</v>
      </c>
      <c r="L34" s="1236">
        <v>4.73325</v>
      </c>
      <c r="M34" s="1236">
        <v>3.7309666666666699</v>
      </c>
      <c r="N34" s="523" t="s">
        <v>559</v>
      </c>
      <c r="O34" s="1236">
        <v>4.8118916666666696</v>
      </c>
      <c r="P34" s="1236">
        <v>4.6291250000000002</v>
      </c>
      <c r="Q34" s="1236">
        <v>2.9321666666666699</v>
      </c>
      <c r="R34" s="1236">
        <v>5.4172857142857103</v>
      </c>
      <c r="S34" s="1236">
        <v>5.1455083333333302</v>
      </c>
      <c r="T34" s="1236">
        <v>3.96678</v>
      </c>
      <c r="U34" s="1236">
        <v>5.0134800000000004</v>
      </c>
      <c r="V34" s="1236">
        <v>5.0865818181818199</v>
      </c>
      <c r="W34" s="1236">
        <v>3.9213800000000001</v>
      </c>
      <c r="X34" s="1236">
        <v>5.0996499999999996</v>
      </c>
      <c r="Y34" s="1236">
        <v>4.9876583333333304</v>
      </c>
      <c r="Z34" s="1236">
        <v>3.7301199999999999</v>
      </c>
      <c r="AA34" s="523" t="s">
        <v>559</v>
      </c>
      <c r="AB34" s="1236">
        <v>2.93333333333333</v>
      </c>
      <c r="AC34" s="1236">
        <v>1.81</v>
      </c>
      <c r="AD34" s="1236">
        <v>0.25</v>
      </c>
      <c r="AE34" s="1236">
        <v>3.1428333333333298</v>
      </c>
      <c r="AF34" s="1236">
        <v>1.89605</v>
      </c>
      <c r="AG34" s="1236">
        <v>0.5</v>
      </c>
      <c r="AH34" s="1236">
        <v>2.7901333333333298</v>
      </c>
      <c r="AI34" s="1236">
        <v>0.85</v>
      </c>
      <c r="AJ34" s="1236">
        <v>0.75</v>
      </c>
      <c r="AK34" s="1236">
        <v>3.10896666666667</v>
      </c>
      <c r="AL34" s="1236">
        <v>1</v>
      </c>
      <c r="AM34" s="1236">
        <v>1</v>
      </c>
    </row>
    <row r="35" spans="1:39" s="249" customFormat="1" ht="12" customHeight="1">
      <c r="A35" s="563" t="s">
        <v>560</v>
      </c>
      <c r="B35" s="1231">
        <v>5.1390333333333302</v>
      </c>
      <c r="C35" s="1231">
        <v>4.8946333333333296</v>
      </c>
      <c r="D35" s="1231">
        <v>3.5764</v>
      </c>
      <c r="E35" s="1231">
        <v>4.7999000000000001</v>
      </c>
      <c r="F35" s="1231">
        <v>4.7067500000000004</v>
      </c>
      <c r="G35" s="1231">
        <v>3.59663333333333</v>
      </c>
      <c r="H35" s="1231">
        <v>4.6074999999999999</v>
      </c>
      <c r="I35" s="1231">
        <v>4.6124000000000001</v>
      </c>
      <c r="J35" s="1231">
        <v>3.6966000000000001</v>
      </c>
      <c r="K35" s="1231">
        <v>4.3525499999999999</v>
      </c>
      <c r="L35" s="1231">
        <v>4.4867499999999998</v>
      </c>
      <c r="M35" s="1231">
        <v>3.7426333333333299</v>
      </c>
      <c r="N35" s="563" t="s">
        <v>560</v>
      </c>
      <c r="O35" s="1231">
        <v>4.7751083333333302</v>
      </c>
      <c r="P35" s="1231">
        <v>4.6199888888888898</v>
      </c>
      <c r="Q35" s="1231">
        <v>2.9812857142857099</v>
      </c>
      <c r="R35" s="1231">
        <v>4.9425800000000004</v>
      </c>
      <c r="S35" s="1231">
        <v>4.7024307692307703</v>
      </c>
      <c r="T35" s="1231">
        <v>3.5796999999999999</v>
      </c>
      <c r="U35" s="1231">
        <v>4.6037812499999999</v>
      </c>
      <c r="V35" s="1231">
        <v>4.6600666666666699</v>
      </c>
      <c r="W35" s="1231">
        <v>3.5547090909090899</v>
      </c>
      <c r="X35" s="1231">
        <v>4.6447333333333303</v>
      </c>
      <c r="Y35" s="1231">
        <v>4.5978384615384602</v>
      </c>
      <c r="Z35" s="1231">
        <v>3.3920909090909102</v>
      </c>
      <c r="AA35" s="563" t="s">
        <v>560</v>
      </c>
      <c r="AB35" s="1231">
        <v>2.562875</v>
      </c>
      <c r="AC35" s="1231">
        <v>2.08</v>
      </c>
      <c r="AD35" s="1231">
        <v>0.25</v>
      </c>
      <c r="AE35" s="1231">
        <v>3.6611199999999999</v>
      </c>
      <c r="AF35" s="1231">
        <v>1.89605</v>
      </c>
      <c r="AG35" s="1231">
        <v>2.1688499999999999</v>
      </c>
      <c r="AH35" s="1231">
        <v>3.2853599999999998</v>
      </c>
      <c r="AI35" s="1231">
        <v>0.85</v>
      </c>
      <c r="AJ35" s="1231">
        <v>2.4653499999999999</v>
      </c>
      <c r="AK35" s="1231">
        <v>3.9967000000000001</v>
      </c>
      <c r="AL35" s="1231">
        <v>1</v>
      </c>
      <c r="AM35" s="1231">
        <v>1</v>
      </c>
    </row>
    <row r="36" spans="1:39" s="249" customFormat="1" ht="12" customHeight="1">
      <c r="A36" s="523" t="s">
        <v>554</v>
      </c>
      <c r="B36" s="1236">
        <v>4.9666666666666703</v>
      </c>
      <c r="C36" s="1236">
        <v>4.8666666666666698</v>
      </c>
      <c r="D36" s="1236">
        <v>3.5533333333333301</v>
      </c>
      <c r="E36" s="1236">
        <v>4.4524999999999997</v>
      </c>
      <c r="F36" s="1236">
        <v>4.58</v>
      </c>
      <c r="G36" s="1236">
        <v>3.5233333333333299</v>
      </c>
      <c r="H36" s="1236">
        <v>4.2</v>
      </c>
      <c r="I36" s="1236">
        <v>4.46</v>
      </c>
      <c r="J36" s="1236">
        <v>3.6533333333333302</v>
      </c>
      <c r="K36" s="1236">
        <v>3.875</v>
      </c>
      <c r="L36" s="1236">
        <v>4.2699999999999996</v>
      </c>
      <c r="M36" s="1236">
        <v>3.74</v>
      </c>
      <c r="N36" s="523" t="s">
        <v>554</v>
      </c>
      <c r="O36" s="1236">
        <v>4.7300000000000004</v>
      </c>
      <c r="P36" s="1236">
        <v>4.8122222222222204</v>
      </c>
      <c r="Q36" s="1236">
        <v>3.1614285714285701</v>
      </c>
      <c r="R36" s="1236">
        <v>4.8706250000000004</v>
      </c>
      <c r="S36" s="1236">
        <v>4.70571428571429</v>
      </c>
      <c r="T36" s="1236">
        <v>3.6416666666666702</v>
      </c>
      <c r="U36" s="1236">
        <v>4.52764705882353</v>
      </c>
      <c r="V36" s="1236">
        <v>4.7676923076923101</v>
      </c>
      <c r="W36" s="1236">
        <v>3.5883333333333298</v>
      </c>
      <c r="X36" s="1236">
        <v>4.5575000000000001</v>
      </c>
      <c r="Y36" s="1236">
        <v>4.6285714285714299</v>
      </c>
      <c r="Z36" s="1236">
        <v>3.3849999999999998</v>
      </c>
      <c r="AA36" s="523" t="s">
        <v>554</v>
      </c>
      <c r="AB36" s="1236">
        <v>3.05</v>
      </c>
      <c r="AC36" s="1236">
        <v>2.08</v>
      </c>
      <c r="AD36" s="1236">
        <v>0.25</v>
      </c>
      <c r="AE36" s="1236">
        <v>3.89</v>
      </c>
      <c r="AF36" s="1236">
        <v>1.895</v>
      </c>
      <c r="AG36" s="1236">
        <v>0.5</v>
      </c>
      <c r="AH36" s="1236">
        <v>3.56</v>
      </c>
      <c r="AI36" s="1236">
        <v>1.7350000000000001</v>
      </c>
      <c r="AJ36" s="1236">
        <v>0.75</v>
      </c>
      <c r="AK36" s="1236">
        <v>4.0599999999999996</v>
      </c>
      <c r="AL36" s="1236">
        <v>1.81</v>
      </c>
      <c r="AM36" s="1236">
        <v>1</v>
      </c>
    </row>
    <row r="37" spans="1:39" s="249" customFormat="1" ht="12" customHeight="1">
      <c r="A37" s="563" t="s">
        <v>561</v>
      </c>
      <c r="B37" s="1231">
        <v>4.7967000000000004</v>
      </c>
      <c r="C37" s="1231">
        <v>4.8071666666666699</v>
      </c>
      <c r="D37" s="1231">
        <v>3.4466666666666699</v>
      </c>
      <c r="E37" s="1231">
        <v>4.3926999999999996</v>
      </c>
      <c r="F37" s="1231">
        <v>4.4880500000000003</v>
      </c>
      <c r="G37" s="1231">
        <v>3.44363333333333</v>
      </c>
      <c r="H37" s="1231">
        <v>4.2055749999999996</v>
      </c>
      <c r="I37" s="1231">
        <v>4.3808249999999997</v>
      </c>
      <c r="J37" s="1231">
        <v>3.5790000000000002</v>
      </c>
      <c r="K37" s="1231">
        <v>3.9902250000000001</v>
      </c>
      <c r="L37" s="1231">
        <v>4.2134</v>
      </c>
      <c r="M37" s="1231">
        <v>3.71396666666667</v>
      </c>
      <c r="N37" s="563" t="s">
        <v>561</v>
      </c>
      <c r="O37" s="1231">
        <v>4.1333166666666701</v>
      </c>
      <c r="P37" s="1231">
        <v>3.9248500000000002</v>
      </c>
      <c r="Q37" s="1231">
        <v>2.7008999999999999</v>
      </c>
      <c r="R37" s="1231">
        <v>4.6265266666666696</v>
      </c>
      <c r="S37" s="1231">
        <v>4.35826153846154</v>
      </c>
      <c r="T37" s="1231">
        <v>3.3367181818181799</v>
      </c>
      <c r="U37" s="1231">
        <v>4.51268125</v>
      </c>
      <c r="V37" s="1231">
        <v>4.62845</v>
      </c>
      <c r="W37" s="1231">
        <v>3.2988272727272698</v>
      </c>
      <c r="X37" s="1231">
        <v>4.8381375000000002</v>
      </c>
      <c r="Y37" s="1231">
        <v>4.7903307692307697</v>
      </c>
      <c r="Z37" s="1231">
        <v>3.14236363636364</v>
      </c>
      <c r="AA37" s="563" t="s">
        <v>561</v>
      </c>
      <c r="AB37" s="1231">
        <v>3.4010333333333298</v>
      </c>
      <c r="AC37" s="1231">
        <v>2.87</v>
      </c>
      <c r="AD37" s="1231">
        <v>0</v>
      </c>
      <c r="AE37" s="1231">
        <v>3.8405999999999998</v>
      </c>
      <c r="AF37" s="1231">
        <v>2.8220999999999998</v>
      </c>
      <c r="AG37" s="1231">
        <v>0</v>
      </c>
      <c r="AH37" s="1231">
        <v>3.4137</v>
      </c>
      <c r="AI37" s="1231">
        <v>2.62</v>
      </c>
      <c r="AJ37" s="1231">
        <v>0</v>
      </c>
      <c r="AK37" s="1231">
        <v>3.8274333333333299</v>
      </c>
      <c r="AL37" s="1231">
        <v>2.62</v>
      </c>
      <c r="AM37" s="1231">
        <v>0</v>
      </c>
    </row>
    <row r="38" spans="1:39" s="249" customFormat="1" ht="12" customHeight="1">
      <c r="A38" s="523" t="s">
        <v>562</v>
      </c>
      <c r="B38" s="1236">
        <v>4.69586666666667</v>
      </c>
      <c r="C38" s="1236">
        <v>4.7277333333333296</v>
      </c>
      <c r="D38" s="1236">
        <v>3.3045666666666702</v>
      </c>
      <c r="E38" s="1236">
        <v>4.3407499999999999</v>
      </c>
      <c r="F38" s="1236">
        <v>4.4904000000000002</v>
      </c>
      <c r="G38" s="1236">
        <v>3.3125666666666702</v>
      </c>
      <c r="H38" s="1236">
        <v>4.2642499999999997</v>
      </c>
      <c r="I38" s="1236">
        <v>4.4045249999999996</v>
      </c>
      <c r="J38" s="1236">
        <v>3.4712666666666698</v>
      </c>
      <c r="K38" s="1236">
        <v>4.1870500000000002</v>
      </c>
      <c r="L38" s="1236">
        <v>4.3330000000000002</v>
      </c>
      <c r="M38" s="1236">
        <v>3.6627666666666698</v>
      </c>
      <c r="N38" s="523" t="s">
        <v>562</v>
      </c>
      <c r="O38" s="1236">
        <v>4.0729583333333297</v>
      </c>
      <c r="P38" s="1236">
        <v>5.4267555555555598</v>
      </c>
      <c r="Q38" s="1236">
        <v>2.6264166666666702</v>
      </c>
      <c r="R38" s="1236">
        <v>4.4883866666666696</v>
      </c>
      <c r="S38" s="1236">
        <v>4.4543307692307703</v>
      </c>
      <c r="T38" s="1236">
        <v>3.1280000000000001</v>
      </c>
      <c r="U38" s="1236">
        <v>4.4474562500000001</v>
      </c>
      <c r="V38" s="1236">
        <v>4.76525833333333</v>
      </c>
      <c r="W38" s="1236">
        <v>3.077</v>
      </c>
      <c r="X38" s="1236">
        <v>4.9042750000000002</v>
      </c>
      <c r="Y38" s="1236">
        <v>4.9519076923076897</v>
      </c>
      <c r="Z38" s="1236">
        <v>2.9280909090909102</v>
      </c>
      <c r="AA38" s="523" t="s">
        <v>562</v>
      </c>
      <c r="AB38" s="1236">
        <v>2.8154499999999998</v>
      </c>
      <c r="AC38" s="1236">
        <v>2.08</v>
      </c>
      <c r="AD38" s="1236">
        <v>0.25</v>
      </c>
      <c r="AE38" s="1236">
        <v>2.9290500000000002</v>
      </c>
      <c r="AF38" s="1236">
        <v>1.7860499999999999</v>
      </c>
      <c r="AG38" s="1236">
        <v>0.5</v>
      </c>
      <c r="AH38" s="1236">
        <v>2.9327000000000001</v>
      </c>
      <c r="AI38" s="1236">
        <v>1.7350000000000001</v>
      </c>
      <c r="AJ38" s="1236">
        <v>0.75</v>
      </c>
      <c r="AK38" s="1236">
        <v>3.2932250000000001</v>
      </c>
      <c r="AL38" s="1236">
        <v>1.81</v>
      </c>
      <c r="AM38" s="1236">
        <v>1</v>
      </c>
    </row>
    <row r="39" spans="1:39" s="249" customFormat="1" ht="12" customHeight="1">
      <c r="A39" s="563" t="s">
        <v>555</v>
      </c>
      <c r="B39" s="1231">
        <v>5.5872999999999999</v>
      </c>
      <c r="C39" s="1231">
        <v>5.7050000000000001</v>
      </c>
      <c r="D39" s="1231">
        <v>4.2415000000000003</v>
      </c>
      <c r="E39" s="1231">
        <v>4.82466666666667</v>
      </c>
      <c r="F39" s="1231">
        <v>5.0868000000000002</v>
      </c>
      <c r="G39" s="1231">
        <v>4.0268499999999996</v>
      </c>
      <c r="H39" s="1231">
        <v>4.7838000000000003</v>
      </c>
      <c r="I39" s="1231">
        <v>5.0344666666666704</v>
      </c>
      <c r="J39" s="1231">
        <v>4.2477</v>
      </c>
      <c r="K39" s="1231">
        <v>4.8132000000000001</v>
      </c>
      <c r="L39" s="1231">
        <v>5.0307333333333304</v>
      </c>
      <c r="M39" s="1231">
        <v>4.4970999999999997</v>
      </c>
      <c r="N39" s="563" t="s">
        <v>555</v>
      </c>
      <c r="O39" s="1231">
        <v>3.9750416666666699</v>
      </c>
      <c r="P39" s="1231">
        <v>3.9260125000000001</v>
      </c>
      <c r="Q39" s="1231">
        <v>2.5684999999999998</v>
      </c>
      <c r="R39" s="1231">
        <v>4.5892384615384598</v>
      </c>
      <c r="S39" s="1231">
        <v>4.5416090909090903</v>
      </c>
      <c r="T39" s="1231">
        <v>3.39333333333333</v>
      </c>
      <c r="U39" s="1231">
        <v>4.5474214285714298</v>
      </c>
      <c r="V39" s="1231">
        <v>4.9363000000000001</v>
      </c>
      <c r="W39" s="1231">
        <v>3.3611111111111098</v>
      </c>
      <c r="X39" s="1231">
        <v>5.1140214285714301</v>
      </c>
      <c r="Y39" s="1231">
        <v>5.1727909090909101</v>
      </c>
      <c r="Z39" s="1231">
        <v>3.2686666666666699</v>
      </c>
      <c r="AA39" s="563" t="s">
        <v>555</v>
      </c>
      <c r="AB39" s="1231">
        <v>2.5163250000000001</v>
      </c>
      <c r="AC39" s="1231">
        <v>2.08</v>
      </c>
      <c r="AD39" s="1231">
        <v>0.25</v>
      </c>
      <c r="AE39" s="1231">
        <v>2.899775</v>
      </c>
      <c r="AF39" s="1231">
        <v>2.0640333333333301</v>
      </c>
      <c r="AG39" s="1231">
        <v>0.5</v>
      </c>
      <c r="AH39" s="1231">
        <v>2.9028749999999999</v>
      </c>
      <c r="AI39" s="1231">
        <v>0.85</v>
      </c>
      <c r="AJ39" s="1231">
        <v>0.75</v>
      </c>
      <c r="AK39" s="1231">
        <v>3.2528999999999999</v>
      </c>
      <c r="AL39" s="1231">
        <v>1.81</v>
      </c>
      <c r="AM39" s="1231">
        <v>1</v>
      </c>
    </row>
    <row r="40" spans="1:39" s="249" customFormat="1" ht="12" customHeight="1">
      <c r="A40" s="523" t="s">
        <v>563</v>
      </c>
      <c r="B40" s="1236">
        <v>4.4917666666666696</v>
      </c>
      <c r="C40" s="1236">
        <v>4.6459000000000001</v>
      </c>
      <c r="D40" s="1236">
        <v>3.1322666666666699</v>
      </c>
      <c r="E40" s="1236">
        <v>4.1377249999999997</v>
      </c>
      <c r="F40" s="1236">
        <v>4.3699750000000002</v>
      </c>
      <c r="G40" s="1236">
        <v>2.9827333333333299</v>
      </c>
      <c r="H40" s="1236">
        <v>4.0996499999999996</v>
      </c>
      <c r="I40" s="1236">
        <v>4.3178999999999998</v>
      </c>
      <c r="J40" s="1236">
        <v>3.2287333333333299</v>
      </c>
      <c r="K40" s="1236">
        <v>4.1094999999999997</v>
      </c>
      <c r="L40" s="1236">
        <v>4.3078500000000002</v>
      </c>
      <c r="M40" s="1236">
        <v>3.411</v>
      </c>
      <c r="N40" s="523" t="s">
        <v>563</v>
      </c>
      <c r="O40" s="1236">
        <v>3.9446416666666702</v>
      </c>
      <c r="P40" s="1236">
        <v>3.94854444444444</v>
      </c>
      <c r="Q40" s="1236">
        <v>2.4821666666666702</v>
      </c>
      <c r="R40" s="1236">
        <v>4.3626800000000001</v>
      </c>
      <c r="S40" s="1236">
        <v>4.2859538461538502</v>
      </c>
      <c r="T40" s="1236">
        <v>3.1098727272727298</v>
      </c>
      <c r="U40" s="1236">
        <v>4.3372687499999998</v>
      </c>
      <c r="V40" s="1236">
        <v>4.5917500000000002</v>
      </c>
      <c r="W40" s="1236">
        <v>3.1208454545454498</v>
      </c>
      <c r="X40" s="1236">
        <v>4.8390062499999997</v>
      </c>
      <c r="Y40" s="1236">
        <v>4.81477692307692</v>
      </c>
      <c r="Z40" s="1236">
        <v>3.0703181818181799</v>
      </c>
      <c r="AA40" s="523" t="s">
        <v>563</v>
      </c>
      <c r="AB40" s="1236">
        <v>2.5326</v>
      </c>
      <c r="AC40" s="1236">
        <v>1.81</v>
      </c>
      <c r="AD40" s="1236">
        <v>0.25</v>
      </c>
      <c r="AE40" s="1236">
        <v>2.8116333333333299</v>
      </c>
      <c r="AF40" s="1236">
        <v>1.72655</v>
      </c>
      <c r="AG40" s="1236">
        <v>0.5</v>
      </c>
      <c r="AH40" s="1236">
        <v>2.6269999999999998</v>
      </c>
      <c r="AI40" s="1236">
        <v>0.85</v>
      </c>
      <c r="AJ40" s="1236">
        <v>0.75</v>
      </c>
      <c r="AK40" s="1236">
        <v>3.0471333333333299</v>
      </c>
      <c r="AL40" s="1236">
        <v>1</v>
      </c>
      <c r="AM40" s="1236">
        <v>1</v>
      </c>
    </row>
    <row r="41" spans="1:39" s="249" customFormat="1" ht="12" customHeight="1">
      <c r="A41" s="563" t="s">
        <v>564</v>
      </c>
      <c r="B41" s="1231">
        <v>4.48783333333333</v>
      </c>
      <c r="C41" s="1231">
        <v>4.5194999999999999</v>
      </c>
      <c r="D41" s="1231">
        <v>3.5251333333333301</v>
      </c>
      <c r="E41" s="1231">
        <v>4.11355</v>
      </c>
      <c r="F41" s="1231">
        <v>4.2717999999999998</v>
      </c>
      <c r="G41" s="1231">
        <v>3.3393333333333302</v>
      </c>
      <c r="H41" s="1231">
        <v>4.1348500000000001</v>
      </c>
      <c r="I41" s="1231">
        <v>4.15665</v>
      </c>
      <c r="J41" s="1231">
        <v>2.95366666666667</v>
      </c>
      <c r="K41" s="1231">
        <v>3.8154249999999998</v>
      </c>
      <c r="L41" s="1231">
        <v>3.9024749999999999</v>
      </c>
      <c r="M41" s="1231">
        <v>3.4262666666666699</v>
      </c>
      <c r="N41" s="563" t="s">
        <v>564</v>
      </c>
      <c r="O41" s="1231">
        <v>3.8255499999999998</v>
      </c>
      <c r="P41" s="1231">
        <v>3.80904444444444</v>
      </c>
      <c r="Q41" s="1231">
        <v>2.1671666666666698</v>
      </c>
      <c r="R41" s="1231">
        <v>4.2266285714285701</v>
      </c>
      <c r="S41" s="1231">
        <v>4.0450583333333299</v>
      </c>
      <c r="T41" s="1231">
        <v>2.8180999999999998</v>
      </c>
      <c r="U41" s="1231">
        <v>4.2045133333333302</v>
      </c>
      <c r="V41" s="1231">
        <v>4.4046272727272697</v>
      </c>
      <c r="W41" s="1231">
        <v>2.8316499999999998</v>
      </c>
      <c r="X41" s="1231">
        <v>4.7423599999999997</v>
      </c>
      <c r="Y41" s="1231">
        <v>4.6980083333333296</v>
      </c>
      <c r="Z41" s="1231">
        <v>2.8566500000000001</v>
      </c>
      <c r="AA41" s="563" t="s">
        <v>564</v>
      </c>
      <c r="AB41" s="1231">
        <v>2.4417</v>
      </c>
      <c r="AC41" s="1231">
        <v>2.08</v>
      </c>
      <c r="AD41" s="1231">
        <v>0.25</v>
      </c>
      <c r="AE41" s="1231">
        <v>2.9494250000000002</v>
      </c>
      <c r="AF41" s="1231">
        <v>1.72655</v>
      </c>
      <c r="AG41" s="1231">
        <v>1.56</v>
      </c>
      <c r="AH41" s="1231">
        <v>2.8395250000000001</v>
      </c>
      <c r="AI41" s="1231">
        <v>1.7350000000000001</v>
      </c>
      <c r="AJ41" s="1231">
        <v>0.75</v>
      </c>
      <c r="AK41" s="1231">
        <v>3.0522499999999999</v>
      </c>
      <c r="AL41" s="1231">
        <v>1.81</v>
      </c>
      <c r="AM41" s="1231">
        <v>1</v>
      </c>
    </row>
    <row r="42" spans="1:39" s="249" customFormat="1" ht="12" customHeight="1">
      <c r="A42" s="523" t="s">
        <v>556</v>
      </c>
      <c r="B42" s="1236">
        <v>4.4905333333333299</v>
      </c>
      <c r="C42" s="1236">
        <v>4.4875999999999996</v>
      </c>
      <c r="D42" s="1236">
        <v>3.4519000000000002</v>
      </c>
      <c r="E42" s="1236">
        <v>4.0581500000000004</v>
      </c>
      <c r="F42" s="1236">
        <v>4.2551249999999996</v>
      </c>
      <c r="G42" s="1236">
        <v>3.2294999999999998</v>
      </c>
      <c r="H42" s="1236">
        <v>4.0883250000000002</v>
      </c>
      <c r="I42" s="1236">
        <v>4.1486999999999998</v>
      </c>
      <c r="J42" s="1236">
        <v>2.7806999999999999</v>
      </c>
      <c r="K42" s="1236">
        <v>3.6951749999999999</v>
      </c>
      <c r="L42" s="1236">
        <v>3.8405749999999999</v>
      </c>
      <c r="M42" s="1236">
        <v>3.3246333333333302</v>
      </c>
      <c r="N42" s="523" t="s">
        <v>556</v>
      </c>
      <c r="O42" s="1236">
        <v>3.825075</v>
      </c>
      <c r="P42" s="1236">
        <v>3.7993777777777802</v>
      </c>
      <c r="Q42" s="1236">
        <v>2.0781666666666698</v>
      </c>
      <c r="R42" s="1236">
        <v>4.2203499999999998</v>
      </c>
      <c r="S42" s="1236">
        <v>4.0314416666666704</v>
      </c>
      <c r="T42" s="1236">
        <v>2.7435499999999999</v>
      </c>
      <c r="U42" s="1236">
        <v>4.1868600000000002</v>
      </c>
      <c r="V42" s="1236">
        <v>4.38983636363636</v>
      </c>
      <c r="W42" s="1236">
        <v>2.7829799999999998</v>
      </c>
      <c r="X42" s="1236">
        <v>4.7019133333333301</v>
      </c>
      <c r="Y42" s="1236">
        <v>4.6705583333333296</v>
      </c>
      <c r="Z42" s="1236">
        <v>2.8223799999999999</v>
      </c>
      <c r="AA42" s="523" t="s">
        <v>556</v>
      </c>
      <c r="AB42" s="1236">
        <v>2.6023749999999999</v>
      </c>
      <c r="AC42" s="1236">
        <v>2.08</v>
      </c>
      <c r="AD42" s="1236">
        <v>0.25</v>
      </c>
      <c r="AE42" s="1236">
        <v>2.9453</v>
      </c>
      <c r="AF42" s="1236">
        <v>1.72655</v>
      </c>
      <c r="AG42" s="1236">
        <v>1.56</v>
      </c>
      <c r="AH42" s="1236">
        <v>2.9932750000000001</v>
      </c>
      <c r="AI42" s="1236">
        <v>1.7350000000000001</v>
      </c>
      <c r="AJ42" s="1236">
        <v>0.75</v>
      </c>
      <c r="AK42" s="1236">
        <v>2.8603999999999998</v>
      </c>
      <c r="AL42" s="1236">
        <v>1.81</v>
      </c>
      <c r="AM42" s="1236">
        <v>1</v>
      </c>
    </row>
    <row r="43" spans="1:39" s="249" customFormat="1" ht="12" customHeight="1">
      <c r="A43" s="563" t="s">
        <v>565</v>
      </c>
      <c r="B43" s="1231">
        <v>3.3182999999999998</v>
      </c>
      <c r="C43" s="1231">
        <v>3.3648500000000001</v>
      </c>
      <c r="D43" s="1231">
        <v>2.33</v>
      </c>
      <c r="E43" s="1231">
        <v>3.3267333333333302</v>
      </c>
      <c r="F43" s="1231">
        <v>3.4805999999999999</v>
      </c>
      <c r="G43" s="1231">
        <v>2.46075</v>
      </c>
      <c r="H43" s="1231">
        <v>3.3444333333333298</v>
      </c>
      <c r="I43" s="1231">
        <v>3.2917333333333301</v>
      </c>
      <c r="J43" s="1231">
        <v>1.6835</v>
      </c>
      <c r="K43" s="1231">
        <v>2.8611</v>
      </c>
      <c r="L43" s="1231">
        <v>2.99033333333333</v>
      </c>
      <c r="M43" s="1231">
        <v>2.3505500000000001</v>
      </c>
      <c r="N43" s="563" t="s">
        <v>565</v>
      </c>
      <c r="O43" s="1231">
        <v>3.7728636363636401</v>
      </c>
      <c r="P43" s="1231">
        <v>3.6548875000000001</v>
      </c>
      <c r="Q43" s="1231">
        <v>1.9510000000000001</v>
      </c>
      <c r="R43" s="1231">
        <v>4.1551153846153799</v>
      </c>
      <c r="S43" s="1231">
        <v>3.9460636363636401</v>
      </c>
      <c r="T43" s="1231">
        <v>2.69082222222222</v>
      </c>
      <c r="U43" s="1231">
        <v>4.1100214285714296</v>
      </c>
      <c r="V43" s="1231">
        <v>4.3078700000000003</v>
      </c>
      <c r="W43" s="1231">
        <v>2.7236333333333298</v>
      </c>
      <c r="X43" s="1231">
        <v>4.5516285714285702</v>
      </c>
      <c r="Y43" s="1231">
        <v>4.5732999999999997</v>
      </c>
      <c r="Z43" s="1231">
        <v>2.76976666666667</v>
      </c>
      <c r="AA43" s="563" t="s">
        <v>565</v>
      </c>
      <c r="AB43" s="1231">
        <v>2.6230500000000001</v>
      </c>
      <c r="AC43" s="1231">
        <v>2.08</v>
      </c>
      <c r="AD43" s="1231">
        <v>0.25</v>
      </c>
      <c r="AE43" s="1231">
        <v>2.7846000000000002</v>
      </c>
      <c r="AF43" s="1231">
        <v>1.7172499999999999</v>
      </c>
      <c r="AG43" s="1231">
        <v>0.5</v>
      </c>
      <c r="AH43" s="1231">
        <v>2.7126749999999999</v>
      </c>
      <c r="AI43" s="1231">
        <v>1.7350000000000001</v>
      </c>
      <c r="AJ43" s="1231">
        <v>0.75</v>
      </c>
      <c r="AK43" s="1231">
        <v>2.6412249999999999</v>
      </c>
      <c r="AL43" s="1231">
        <v>1.81</v>
      </c>
      <c r="AM43" s="1231">
        <v>1</v>
      </c>
    </row>
    <row r="44" spans="1:39" s="249" customFormat="1" ht="12" customHeight="1">
      <c r="A44" s="523" t="s">
        <v>566</v>
      </c>
      <c r="B44" s="1236">
        <v>4.4744999999999999</v>
      </c>
      <c r="C44" s="1236">
        <v>4.4362333333333304</v>
      </c>
      <c r="D44" s="1236">
        <v>3.3376333333333301</v>
      </c>
      <c r="E44" s="1236">
        <v>3.9732249999999998</v>
      </c>
      <c r="F44" s="1236">
        <v>3.97865</v>
      </c>
      <c r="G44" s="1236">
        <v>2.90683333333333</v>
      </c>
      <c r="H44" s="1236">
        <v>3.9324750000000002</v>
      </c>
      <c r="I44" s="1236">
        <v>3.865675</v>
      </c>
      <c r="J44" s="1236">
        <v>2.41686666666667</v>
      </c>
      <c r="K44" s="1236">
        <v>3.419025</v>
      </c>
      <c r="L44" s="1236">
        <v>3.4878499999999999</v>
      </c>
      <c r="M44" s="1236">
        <v>3.0528666666666702</v>
      </c>
      <c r="N44" s="523" t="s">
        <v>566</v>
      </c>
      <c r="O44" s="1236">
        <v>3.8201499999999999</v>
      </c>
      <c r="P44" s="1236">
        <v>3.6708777777777799</v>
      </c>
      <c r="Q44" s="1236">
        <v>1.92116666666667</v>
      </c>
      <c r="R44" s="1236">
        <v>4.11042857142857</v>
      </c>
      <c r="S44" s="1236">
        <v>3.8958666666666701</v>
      </c>
      <c r="T44" s="1236">
        <v>2.6109</v>
      </c>
      <c r="U44" s="1236">
        <v>4.1452999999999998</v>
      </c>
      <c r="V44" s="1236">
        <v>4.2801272727272703</v>
      </c>
      <c r="W44" s="1236">
        <v>2.6978399999999998</v>
      </c>
      <c r="X44" s="1236">
        <v>4.5964866666666699</v>
      </c>
      <c r="Y44" s="1236">
        <v>4.5987083333333301</v>
      </c>
      <c r="Z44" s="1236">
        <v>2.7630499999999998</v>
      </c>
      <c r="AA44" s="523" t="s">
        <v>566</v>
      </c>
      <c r="AB44" s="1236">
        <v>2.51085</v>
      </c>
      <c r="AC44" s="1236">
        <v>2.08</v>
      </c>
      <c r="AD44" s="1236">
        <v>0.25</v>
      </c>
      <c r="AE44" s="1236">
        <v>2.807175</v>
      </c>
      <c r="AF44" s="1236">
        <v>1.9643666666666699</v>
      </c>
      <c r="AG44" s="1236">
        <v>0.5</v>
      </c>
      <c r="AH44" s="1236">
        <v>2.6908750000000001</v>
      </c>
      <c r="AI44" s="1236">
        <v>1.7350000000000001</v>
      </c>
      <c r="AJ44" s="1236">
        <v>0.75</v>
      </c>
      <c r="AK44" s="1236">
        <v>2.812875</v>
      </c>
      <c r="AL44" s="1236">
        <v>1.81</v>
      </c>
      <c r="AM44" s="1236">
        <v>1</v>
      </c>
    </row>
    <row r="45" spans="1:39" s="249" customFormat="1" ht="12" customHeight="1">
      <c r="A45" s="563" t="s">
        <v>557</v>
      </c>
      <c r="B45" s="1231">
        <v>4.4922666666666702</v>
      </c>
      <c r="C45" s="1231">
        <v>4.4018666666666704</v>
      </c>
      <c r="D45" s="1231">
        <v>3.242</v>
      </c>
      <c r="E45" s="1231">
        <v>4.0410000000000004</v>
      </c>
      <c r="F45" s="1231">
        <v>4.0228999999999999</v>
      </c>
      <c r="G45" s="1231">
        <v>2.7639666666666698</v>
      </c>
      <c r="H45" s="1231">
        <v>4.0267499999999998</v>
      </c>
      <c r="I45" s="1231">
        <v>3.8859499999999998</v>
      </c>
      <c r="J45" s="1231">
        <v>2.2647666666666701</v>
      </c>
      <c r="K45" s="1231">
        <v>3.5372249999999998</v>
      </c>
      <c r="L45" s="1231">
        <v>3.541725</v>
      </c>
      <c r="M45" s="1231">
        <v>2.9102000000000001</v>
      </c>
      <c r="N45" s="563" t="s">
        <v>557</v>
      </c>
      <c r="O45" s="1231">
        <v>3.8170583333333301</v>
      </c>
      <c r="P45" s="1231">
        <v>3.6367111111111101</v>
      </c>
      <c r="Q45" s="1231">
        <v>1.86466666666667</v>
      </c>
      <c r="R45" s="1231">
        <v>4.1020071428571399</v>
      </c>
      <c r="S45" s="1231">
        <v>3.8607499999999999</v>
      </c>
      <c r="T45" s="1231">
        <v>2.5791900000000001</v>
      </c>
      <c r="U45" s="1231">
        <v>4.1824533333333296</v>
      </c>
      <c r="V45" s="1231">
        <v>4.2336272727272704</v>
      </c>
      <c r="W45" s="1231">
        <v>2.67699</v>
      </c>
      <c r="X45" s="1231">
        <v>4.5470466666666702</v>
      </c>
      <c r="Y45" s="1231">
        <v>4.5430000000000001</v>
      </c>
      <c r="Z45" s="1231">
        <v>2.7546499999999998</v>
      </c>
      <c r="AA45" s="563" t="s">
        <v>557</v>
      </c>
      <c r="AB45" s="1231">
        <v>2.4474749999999998</v>
      </c>
      <c r="AC45" s="1231">
        <v>2.08</v>
      </c>
      <c r="AD45" s="1231">
        <v>0.25</v>
      </c>
      <c r="AE45" s="1231">
        <v>2.7822499999999999</v>
      </c>
      <c r="AF45" s="1231">
        <v>1.9643666666666699</v>
      </c>
      <c r="AG45" s="1231">
        <v>0.5</v>
      </c>
      <c r="AH45" s="1231">
        <v>2.6565500000000002</v>
      </c>
      <c r="AI45" s="1231">
        <v>1.7350000000000001</v>
      </c>
      <c r="AJ45" s="1231">
        <v>0.72499999999999998</v>
      </c>
      <c r="AK45" s="1231">
        <v>2.8067000000000002</v>
      </c>
      <c r="AL45" s="1231">
        <v>1.81</v>
      </c>
      <c r="AM45" s="1231">
        <v>1</v>
      </c>
    </row>
    <row r="46" spans="1:39" s="249" customFormat="1" ht="12" customHeight="1">
      <c r="A46" s="548" t="s">
        <v>2755</v>
      </c>
      <c r="B46" s="1236"/>
      <c r="C46" s="1236"/>
      <c r="D46" s="1236"/>
      <c r="E46" s="1236"/>
      <c r="F46" s="1236"/>
      <c r="G46" s="1236"/>
      <c r="H46" s="1236"/>
      <c r="I46" s="1236"/>
      <c r="J46" s="1236"/>
      <c r="K46" s="1236"/>
      <c r="L46" s="1236"/>
      <c r="M46" s="1236"/>
      <c r="N46" s="548" t="s">
        <v>2755</v>
      </c>
      <c r="O46" s="1236"/>
      <c r="P46" s="1236"/>
      <c r="Q46" s="1236"/>
      <c r="R46" s="1236"/>
      <c r="S46" s="1236"/>
      <c r="T46" s="1236"/>
      <c r="U46" s="1236"/>
      <c r="V46" s="1236"/>
      <c r="W46" s="1236"/>
      <c r="X46" s="1236"/>
      <c r="Y46" s="1236"/>
      <c r="Z46" s="1236"/>
      <c r="AA46" s="548" t="s">
        <v>2755</v>
      </c>
      <c r="AB46" s="1236"/>
      <c r="AC46" s="1236"/>
      <c r="AD46" s="1236"/>
      <c r="AE46" s="1236"/>
      <c r="AF46" s="1236"/>
      <c r="AG46" s="1236"/>
      <c r="AH46" s="1236"/>
      <c r="AI46" s="1236"/>
      <c r="AJ46" s="1236"/>
      <c r="AK46" s="1236"/>
      <c r="AL46" s="1236"/>
      <c r="AM46" s="1236"/>
    </row>
    <row r="47" spans="1:39" s="249" customFormat="1" ht="12" customHeight="1">
      <c r="A47" s="563" t="s">
        <v>559</v>
      </c>
      <c r="B47" s="1231">
        <v>4.5040666666666702</v>
      </c>
      <c r="C47" s="1231">
        <v>4.4084666666666701</v>
      </c>
      <c r="D47" s="1231">
        <v>3.2128000000000001</v>
      </c>
      <c r="E47" s="1231">
        <v>3.3925999999999998</v>
      </c>
      <c r="F47" s="1231">
        <v>3.3682750000000001</v>
      </c>
      <c r="G47" s="1231">
        <v>2.7522333333333302</v>
      </c>
      <c r="H47" s="1231">
        <v>4.0016499999999997</v>
      </c>
      <c r="I47" s="1231">
        <v>3.890625</v>
      </c>
      <c r="J47" s="1231">
        <v>2.6184333333333298</v>
      </c>
      <c r="K47" s="1231">
        <v>3.9269250000000002</v>
      </c>
      <c r="L47" s="1231">
        <v>3.7744249999999999</v>
      </c>
      <c r="M47" s="1231">
        <v>2.1063000000000001</v>
      </c>
      <c r="N47" s="563" t="s">
        <v>559</v>
      </c>
      <c r="O47" s="1231">
        <v>3.5448692307692302</v>
      </c>
      <c r="P47" s="1231">
        <v>3.2452100000000002</v>
      </c>
      <c r="Q47" s="1231">
        <v>1.61918571428571</v>
      </c>
      <c r="R47" s="1231">
        <v>4.5489533333333299</v>
      </c>
      <c r="S47" s="1231">
        <v>4.5184499999999996</v>
      </c>
      <c r="T47" s="1231">
        <v>2.7360099999999998</v>
      </c>
      <c r="U47" s="1231">
        <v>4.0887428571428597</v>
      </c>
      <c r="V47" s="1231">
        <v>3.8192833333333298</v>
      </c>
      <c r="W47" s="1231">
        <v>2.55403</v>
      </c>
      <c r="X47" s="1231">
        <v>4.1743666666666703</v>
      </c>
      <c r="Y47" s="1231">
        <v>4.1916454545454496</v>
      </c>
      <c r="Z47" s="1231">
        <v>2.6513499999999999</v>
      </c>
      <c r="AA47" s="563" t="s">
        <v>559</v>
      </c>
      <c r="AB47" s="1231">
        <v>2.599475</v>
      </c>
      <c r="AC47" s="1231">
        <v>2.08</v>
      </c>
      <c r="AD47" s="1231">
        <v>0.25</v>
      </c>
      <c r="AE47" s="1231">
        <v>2.5686249999999999</v>
      </c>
      <c r="AF47" s="1231">
        <v>1.81</v>
      </c>
      <c r="AG47" s="1231">
        <v>1</v>
      </c>
      <c r="AH47" s="1231">
        <v>2.5667</v>
      </c>
      <c r="AI47" s="1231">
        <v>1.92736666666667</v>
      </c>
      <c r="AJ47" s="1231">
        <v>0.5</v>
      </c>
      <c r="AK47" s="1231">
        <v>2.3647749999999998</v>
      </c>
      <c r="AL47" s="1231">
        <v>1.7350000000000001</v>
      </c>
      <c r="AM47" s="1231">
        <v>0.72499999999999998</v>
      </c>
    </row>
    <row r="48" spans="1:39" s="249" customFormat="1" ht="12" customHeight="1">
      <c r="A48" s="523" t="s">
        <v>560</v>
      </c>
      <c r="B48" s="1236">
        <v>4.4843000000000002</v>
      </c>
      <c r="C48" s="1236">
        <v>4.2844333333333298</v>
      </c>
      <c r="D48" s="1236">
        <v>3.1105</v>
      </c>
      <c r="E48" s="1236">
        <v>3.3622749999999999</v>
      </c>
      <c r="F48" s="1236">
        <v>3.3470249999999999</v>
      </c>
      <c r="G48" s="1236">
        <v>2.5756000000000001</v>
      </c>
      <c r="H48" s="1236">
        <v>3.9290250000000002</v>
      </c>
      <c r="I48" s="1236">
        <v>3.7645749999999998</v>
      </c>
      <c r="J48" s="1236">
        <v>2.46153333333333</v>
      </c>
      <c r="K48" s="1236">
        <v>3.9060250000000001</v>
      </c>
      <c r="L48" s="1236">
        <v>3.759125</v>
      </c>
      <c r="M48" s="1236">
        <v>1.92523333333333</v>
      </c>
      <c r="N48" s="523" t="s">
        <v>560</v>
      </c>
      <c r="O48" s="1236">
        <v>3.5732923076923102</v>
      </c>
      <c r="P48" s="1236">
        <v>3.3301400000000001</v>
      </c>
      <c r="Q48" s="1236">
        <v>1.6248571428571399</v>
      </c>
      <c r="R48" s="1236">
        <v>4.3481666666666703</v>
      </c>
      <c r="S48" s="1236">
        <v>4.4475818181818196</v>
      </c>
      <c r="T48" s="1236">
        <v>2.7138</v>
      </c>
      <c r="U48" s="1236">
        <v>4.0841399999999997</v>
      </c>
      <c r="V48" s="1236">
        <v>3.8154076923076898</v>
      </c>
      <c r="W48" s="1236">
        <v>2.5374500000000002</v>
      </c>
      <c r="X48" s="1236">
        <v>4.2406187500000003</v>
      </c>
      <c r="Y48" s="1236">
        <v>4.1865909090909099</v>
      </c>
      <c r="Z48" s="1236">
        <v>2.6271499999999999</v>
      </c>
      <c r="AA48" s="523" t="s">
        <v>560</v>
      </c>
      <c r="AB48" s="1236">
        <v>2.3208500000000001</v>
      </c>
      <c r="AC48" s="1236">
        <v>2.08</v>
      </c>
      <c r="AD48" s="1236">
        <v>0.25</v>
      </c>
      <c r="AE48" s="1236">
        <v>2.5451999999999999</v>
      </c>
      <c r="AF48" s="1236">
        <v>1</v>
      </c>
      <c r="AG48" s="1236">
        <v>1</v>
      </c>
      <c r="AH48" s="1236">
        <v>2.60405</v>
      </c>
      <c r="AI48" s="1236">
        <v>1.92736666666667</v>
      </c>
      <c r="AJ48" s="1236">
        <v>0.5</v>
      </c>
      <c r="AK48" s="1236">
        <v>2.34165</v>
      </c>
      <c r="AL48" s="1236">
        <v>1.7350000000000001</v>
      </c>
      <c r="AM48" s="1236">
        <v>0.72499999999999998</v>
      </c>
    </row>
    <row r="49" spans="1:39" s="249" customFormat="1" ht="12" customHeight="1">
      <c r="A49" s="563" t="s">
        <v>554</v>
      </c>
      <c r="B49" s="1231">
        <v>4.3474333333333304</v>
      </c>
      <c r="C49" s="1231">
        <v>4.2247666666666701</v>
      </c>
      <c r="D49" s="1231">
        <v>3.0774666666666701</v>
      </c>
      <c r="E49" s="1231">
        <v>3.2338749999999998</v>
      </c>
      <c r="F49" s="1231">
        <v>3.3762750000000001</v>
      </c>
      <c r="G49" s="1231">
        <v>2.4319000000000002</v>
      </c>
      <c r="H49" s="1231">
        <v>3.8108249999999999</v>
      </c>
      <c r="I49" s="1231">
        <v>3.8472499999999998</v>
      </c>
      <c r="J49" s="1231">
        <v>2.4535</v>
      </c>
      <c r="K49" s="1231">
        <v>3.7962750000000001</v>
      </c>
      <c r="L49" s="1231">
        <v>3.8040500000000002</v>
      </c>
      <c r="M49" s="1231">
        <v>1.89346666666667</v>
      </c>
      <c r="N49" s="563" t="s">
        <v>554</v>
      </c>
      <c r="O49" s="1231">
        <v>3.5155923076923101</v>
      </c>
      <c r="P49" s="1231">
        <v>3.3241200000000002</v>
      </c>
      <c r="Q49" s="1231">
        <v>1.63414285714286</v>
      </c>
      <c r="R49" s="1231">
        <v>4.3564466666666704</v>
      </c>
      <c r="S49" s="1231">
        <v>4.4503454545454497</v>
      </c>
      <c r="T49" s="1231">
        <v>2.7195299999999998</v>
      </c>
      <c r="U49" s="1231">
        <v>4.0202066666666703</v>
      </c>
      <c r="V49" s="1231">
        <v>3.8139076923076898</v>
      </c>
      <c r="W49" s="1231">
        <v>2.52874</v>
      </c>
      <c r="X49" s="1231">
        <v>4.20034375</v>
      </c>
      <c r="Y49" s="1231">
        <v>4.1843545454545499</v>
      </c>
      <c r="Z49" s="1231">
        <v>2.6289799999999999</v>
      </c>
      <c r="AA49" s="563" t="s">
        <v>554</v>
      </c>
      <c r="AB49" s="1231">
        <v>2.126125</v>
      </c>
      <c r="AC49" s="1231">
        <v>2.08</v>
      </c>
      <c r="AD49" s="1231">
        <v>0.25</v>
      </c>
      <c r="AE49" s="1231">
        <v>2.26715</v>
      </c>
      <c r="AF49" s="1231">
        <v>1.81</v>
      </c>
      <c r="AG49" s="1231">
        <v>1</v>
      </c>
      <c r="AH49" s="1231">
        <v>2.3014999999999999</v>
      </c>
      <c r="AI49" s="1231">
        <v>1.92736666666667</v>
      </c>
      <c r="AJ49" s="1231">
        <v>0.6</v>
      </c>
      <c r="AK49" s="1231">
        <v>1.990575</v>
      </c>
      <c r="AL49" s="1231">
        <v>1.7350000000000001</v>
      </c>
      <c r="AM49" s="1231">
        <v>0.75</v>
      </c>
    </row>
    <row r="50" spans="1:39" s="249" customFormat="1" ht="12" customHeight="1">
      <c r="A50" s="523" t="s">
        <v>561</v>
      </c>
      <c r="B50" s="1236">
        <v>4.2787333333333297</v>
      </c>
      <c r="C50" s="1236">
        <v>4.1664666666666701</v>
      </c>
      <c r="D50" s="1236">
        <v>3.0034000000000001</v>
      </c>
      <c r="E50" s="1236">
        <v>3.1541250000000001</v>
      </c>
      <c r="F50" s="1236">
        <v>3.2967</v>
      </c>
      <c r="G50" s="1236">
        <v>2.2946</v>
      </c>
      <c r="H50" s="1236">
        <v>3.6712250000000002</v>
      </c>
      <c r="I50" s="1236">
        <v>3.7915000000000001</v>
      </c>
      <c r="J50" s="1236">
        <v>2.4111333333333298</v>
      </c>
      <c r="K50" s="1236">
        <v>3.6659999999999999</v>
      </c>
      <c r="L50" s="1236">
        <v>3.695875</v>
      </c>
      <c r="M50" s="1236">
        <v>1.83046666666667</v>
      </c>
      <c r="N50" s="523" t="s">
        <v>561</v>
      </c>
      <c r="O50" s="1236">
        <v>3.3894153846153801</v>
      </c>
      <c r="P50" s="1236">
        <v>2.96915</v>
      </c>
      <c r="Q50" s="1236">
        <v>1.4277142857142899</v>
      </c>
      <c r="R50" s="1236">
        <v>4.26209333333333</v>
      </c>
      <c r="S50" s="1236">
        <v>4.1618727272727298</v>
      </c>
      <c r="T50" s="1236">
        <v>2.51674</v>
      </c>
      <c r="U50" s="1236">
        <v>3.9758466666666701</v>
      </c>
      <c r="V50" s="1236">
        <v>3.4840307692307699</v>
      </c>
      <c r="W50" s="1236">
        <v>2.3917000000000002</v>
      </c>
      <c r="X50" s="1236">
        <v>4.0242666666666702</v>
      </c>
      <c r="Y50" s="1236">
        <v>3.8350363636363598</v>
      </c>
      <c r="Z50" s="1236">
        <v>2.4522499999999998</v>
      </c>
      <c r="AA50" s="523" t="s">
        <v>561</v>
      </c>
      <c r="AB50" s="1236">
        <v>2.0984250000000002</v>
      </c>
      <c r="AC50" s="1236">
        <v>2.08</v>
      </c>
      <c r="AD50" s="1236">
        <v>0.25</v>
      </c>
      <c r="AE50" s="1236">
        <v>2.2621000000000002</v>
      </c>
      <c r="AF50" s="1236">
        <v>1.81</v>
      </c>
      <c r="AG50" s="1236">
        <v>1</v>
      </c>
      <c r="AH50" s="1236">
        <v>2.2047750000000002</v>
      </c>
      <c r="AI50" s="1236">
        <v>1.9040333333333299</v>
      </c>
      <c r="AJ50" s="1236">
        <v>0.6</v>
      </c>
      <c r="AK50" s="1236">
        <v>1.909475</v>
      </c>
      <c r="AL50" s="1236">
        <v>1.7350000000000001</v>
      </c>
      <c r="AM50" s="1236">
        <v>0.75</v>
      </c>
    </row>
    <row r="51" spans="1:39" s="249" customFormat="1" ht="12" customHeight="1">
      <c r="A51" s="563" t="s">
        <v>562</v>
      </c>
      <c r="B51" s="1231">
        <v>2.9163000000000001</v>
      </c>
      <c r="C51" s="1231">
        <v>2.8694999999999999</v>
      </c>
      <c r="D51" s="1231">
        <v>1.6550499999999999</v>
      </c>
      <c r="E51" s="1231">
        <v>3.1600999999999999</v>
      </c>
      <c r="F51" s="1231">
        <v>3.2136749999999998</v>
      </c>
      <c r="G51" s="1231">
        <v>2.1897333333333302</v>
      </c>
      <c r="H51" s="1231">
        <v>3.65625</v>
      </c>
      <c r="I51" s="1231">
        <v>3.7462</v>
      </c>
      <c r="J51" s="1231">
        <v>2.3836666666666702</v>
      </c>
      <c r="K51" s="1231">
        <v>3.645775</v>
      </c>
      <c r="L51" s="1231">
        <v>3.6246999999999998</v>
      </c>
      <c r="M51" s="1231">
        <v>1.79433333333333</v>
      </c>
      <c r="N51" s="563" t="s">
        <v>562</v>
      </c>
      <c r="O51" s="1231">
        <v>3.30770769230769</v>
      </c>
      <c r="P51" s="1231">
        <v>2.8839899999999998</v>
      </c>
      <c r="Q51" s="1231">
        <v>1.4170125</v>
      </c>
      <c r="R51" s="1231">
        <v>4.1343800000000002</v>
      </c>
      <c r="S51" s="1231">
        <v>4.09924545454545</v>
      </c>
      <c r="T51" s="1231">
        <v>2.2658800000000001</v>
      </c>
      <c r="U51" s="1231">
        <v>3.8159133333333299</v>
      </c>
      <c r="V51" s="1231">
        <v>3.3136538461538501</v>
      </c>
      <c r="W51" s="1231">
        <v>2.1556000000000002</v>
      </c>
      <c r="X51" s="1231">
        <v>3.8805066666666699</v>
      </c>
      <c r="Y51" s="1231">
        <v>3.5813000000000001</v>
      </c>
      <c r="Z51" s="1231">
        <v>2.1956899999999999</v>
      </c>
      <c r="AA51" s="563" t="s">
        <v>562</v>
      </c>
      <c r="AB51" s="1231">
        <v>2.0651000000000002</v>
      </c>
      <c r="AC51" s="1231">
        <v>1.52</v>
      </c>
      <c r="AD51" s="1231">
        <v>0.25</v>
      </c>
      <c r="AE51" s="1231">
        <v>2.0731999999999999</v>
      </c>
      <c r="AF51" s="1231">
        <v>2</v>
      </c>
      <c r="AG51" s="1231">
        <v>1</v>
      </c>
      <c r="AH51" s="1231">
        <v>1.9056249999999999</v>
      </c>
      <c r="AI51" s="1231">
        <v>1.5460499999999999</v>
      </c>
      <c r="AJ51" s="1231">
        <v>1.75</v>
      </c>
      <c r="AK51" s="1231">
        <v>1.568025</v>
      </c>
      <c r="AL51" s="1231">
        <v>0.85</v>
      </c>
      <c r="AM51" s="1231">
        <v>0.75</v>
      </c>
    </row>
    <row r="52" spans="1:39" s="249" customFormat="1" ht="12" customHeight="1" thickBot="1">
      <c r="A52" s="1704" t="s">
        <v>555</v>
      </c>
      <c r="B52" s="1705">
        <v>2.7969499999999998</v>
      </c>
      <c r="C52" s="1705">
        <v>2.7921999999999998</v>
      </c>
      <c r="D52" s="1705">
        <v>3.6150000000000002</v>
      </c>
      <c r="E52" s="1705">
        <v>3.1212249999999999</v>
      </c>
      <c r="F52" s="1705">
        <v>3.1196250000000001</v>
      </c>
      <c r="G52" s="1705">
        <v>2.1045333333333298</v>
      </c>
      <c r="H52" s="1705">
        <v>3.6060249999999998</v>
      </c>
      <c r="I52" s="1705">
        <v>3.600425</v>
      </c>
      <c r="J52" s="1705">
        <v>3.5786500000000001</v>
      </c>
      <c r="K52" s="1705">
        <v>3.5949</v>
      </c>
      <c r="L52" s="1705">
        <v>3.3803999999999998</v>
      </c>
      <c r="M52" s="1705">
        <v>2.6852499999999999</v>
      </c>
      <c r="N52" s="1704" t="s">
        <v>555</v>
      </c>
      <c r="O52" s="1705">
        <v>3.43994615384615</v>
      </c>
      <c r="P52" s="1705">
        <v>3.1817500000000001</v>
      </c>
      <c r="Q52" s="1705">
        <v>1.7152624999999999</v>
      </c>
      <c r="R52" s="1705">
        <v>4.1580733333333297</v>
      </c>
      <c r="S52" s="1705">
        <v>4.1448999999999998</v>
      </c>
      <c r="T52" s="1705">
        <v>2.5114999999999998</v>
      </c>
      <c r="U52" s="1705">
        <v>3.97278666666667</v>
      </c>
      <c r="V52" s="1705">
        <v>3.5340384615384601</v>
      </c>
      <c r="W52" s="1705">
        <v>2.38727</v>
      </c>
      <c r="X52" s="1705">
        <v>3.92794</v>
      </c>
      <c r="Y52" s="1705">
        <v>3.76260833333333</v>
      </c>
      <c r="Z52" s="1705">
        <v>2.4190700000000001</v>
      </c>
      <c r="AA52" s="1704" t="s">
        <v>555</v>
      </c>
      <c r="AB52" s="1705">
        <v>1.5653999999999999</v>
      </c>
      <c r="AC52" s="1705">
        <v>1.56</v>
      </c>
      <c r="AD52" s="1705">
        <v>0.25</v>
      </c>
      <c r="AE52" s="1705">
        <v>2.13015</v>
      </c>
      <c r="AF52" s="1705">
        <v>1.81</v>
      </c>
      <c r="AG52" s="1705">
        <v>1</v>
      </c>
      <c r="AH52" s="1705">
        <v>2.178375</v>
      </c>
      <c r="AI52" s="1705">
        <v>1.9040333333333299</v>
      </c>
      <c r="AJ52" s="1705">
        <v>0.5</v>
      </c>
      <c r="AK52" s="1705">
        <v>1.496575</v>
      </c>
      <c r="AL52" s="1705">
        <v>0.85</v>
      </c>
      <c r="AM52" s="1705">
        <v>0.72499999999999998</v>
      </c>
    </row>
    <row r="53" spans="1:39" ht="12" customHeight="1">
      <c r="A53" s="114" t="s">
        <v>368</v>
      </c>
      <c r="B53" s="2350" t="s">
        <v>1221</v>
      </c>
      <c r="C53" s="2350"/>
      <c r="D53" s="2350"/>
      <c r="E53" s="2350"/>
      <c r="F53" s="2350"/>
      <c r="G53" s="885"/>
      <c r="H53" s="863"/>
      <c r="I53" s="863"/>
      <c r="J53" s="863"/>
      <c r="K53" s="863"/>
      <c r="L53" s="863"/>
      <c r="M53" s="863"/>
      <c r="N53" s="114" t="s">
        <v>368</v>
      </c>
      <c r="O53" s="2350" t="s">
        <v>1221</v>
      </c>
      <c r="P53" s="2350"/>
      <c r="Q53" s="2350"/>
      <c r="R53" s="2350"/>
      <c r="S53" s="2350"/>
      <c r="T53" s="2350"/>
      <c r="AA53" s="114" t="s">
        <v>367</v>
      </c>
      <c r="AB53" s="2511" t="s">
        <v>1221</v>
      </c>
      <c r="AC53" s="2511"/>
      <c r="AD53" s="2511"/>
      <c r="AE53" s="2511"/>
      <c r="AF53" s="2511"/>
      <c r="AG53" s="25"/>
      <c r="AH53" s="25"/>
      <c r="AI53" s="25"/>
      <c r="AJ53" s="25"/>
      <c r="AK53" s="25"/>
      <c r="AL53" s="25"/>
    </row>
    <row r="54" spans="1:39" ht="12.6" customHeight="1">
      <c r="A54" s="41" t="s">
        <v>369</v>
      </c>
      <c r="B54" s="2511"/>
      <c r="C54" s="2511"/>
      <c r="D54" s="2511"/>
      <c r="E54" s="52"/>
      <c r="F54" s="52"/>
      <c r="G54" s="52"/>
      <c r="H54" s="863"/>
      <c r="I54" s="863"/>
      <c r="J54" s="863"/>
      <c r="K54" s="863"/>
      <c r="L54" s="863"/>
      <c r="M54" s="863"/>
      <c r="N54" s="111" t="s">
        <v>224</v>
      </c>
      <c r="O54" s="2519"/>
      <c r="P54" s="2519"/>
      <c r="Q54" s="2519"/>
      <c r="R54" s="746"/>
      <c r="S54" s="746"/>
      <c r="T54" s="115"/>
      <c r="U54" s="113"/>
      <c r="V54" s="113"/>
      <c r="W54" s="113"/>
      <c r="X54" s="113"/>
      <c r="Y54" s="113"/>
      <c r="Z54" s="113"/>
      <c r="AA54" s="16" t="s">
        <v>365</v>
      </c>
      <c r="AB54" s="2520"/>
      <c r="AC54" s="2520"/>
      <c r="AD54" s="2520"/>
      <c r="AE54" s="82"/>
      <c r="AF54" s="82"/>
      <c r="AG54" s="25"/>
      <c r="AH54" s="25"/>
      <c r="AI54" s="25"/>
      <c r="AJ54" s="25"/>
      <c r="AK54" s="25"/>
      <c r="AL54" s="25"/>
    </row>
    <row r="55" spans="1:39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</row>
    <row r="56" spans="1:39">
      <c r="A56" s="84"/>
      <c r="B56" s="84"/>
      <c r="C56" s="84"/>
      <c r="D56" s="84"/>
      <c r="N56" s="8"/>
      <c r="AA56" s="8"/>
    </row>
    <row r="57" spans="1:39" ht="15" customHeight="1">
      <c r="A57" s="84"/>
      <c r="B57" s="84"/>
      <c r="C57" s="84"/>
      <c r="D57" s="84"/>
      <c r="N57" s="8"/>
      <c r="AA57" s="8"/>
    </row>
    <row r="58" spans="1:39">
      <c r="A58" s="84"/>
      <c r="B58" s="84"/>
      <c r="C58" s="84"/>
      <c r="D58" s="84"/>
      <c r="N58" s="8"/>
      <c r="AA58" s="8"/>
    </row>
    <row r="59" spans="1:39">
      <c r="A59" s="84"/>
      <c r="B59" s="84"/>
      <c r="N59" s="8"/>
      <c r="AA59" s="8"/>
    </row>
    <row r="60" spans="1:39">
      <c r="A60" s="84"/>
      <c r="B60" s="84"/>
      <c r="C60" s="84"/>
      <c r="D60" s="84"/>
      <c r="E60" s="84"/>
      <c r="N60" s="8"/>
      <c r="AA60" s="8"/>
    </row>
    <row r="61" spans="1:39">
      <c r="A61" s="84"/>
      <c r="B61" s="84"/>
      <c r="C61" s="84"/>
      <c r="N61" s="8"/>
      <c r="AA61" s="8"/>
    </row>
    <row r="62" spans="1:39">
      <c r="A62" s="84"/>
      <c r="B62" s="84"/>
      <c r="C62" s="84"/>
      <c r="D62" s="84"/>
      <c r="N62" s="8"/>
      <c r="AA62" s="8"/>
    </row>
    <row r="63" spans="1:39">
      <c r="A63" s="84"/>
      <c r="B63" s="84"/>
      <c r="C63" s="84"/>
      <c r="N63" s="8"/>
      <c r="AA63" s="8"/>
    </row>
    <row r="64" spans="1:39">
      <c r="A64" s="84"/>
      <c r="B64" s="84"/>
      <c r="C64" s="84"/>
      <c r="N64" s="8"/>
      <c r="AA64" s="8"/>
    </row>
    <row r="65" spans="1:37">
      <c r="A65" s="84"/>
      <c r="B65" s="84"/>
      <c r="C65" s="84"/>
      <c r="N65" s="8"/>
      <c r="AA65" s="8"/>
    </row>
    <row r="66" spans="1:37">
      <c r="A66" s="84"/>
      <c r="B66" s="84"/>
      <c r="C66" s="84"/>
      <c r="N66" s="8"/>
      <c r="AA66" s="8"/>
    </row>
    <row r="67" spans="1:37">
      <c r="A67" s="8"/>
      <c r="N67" s="8"/>
      <c r="AA67" s="8"/>
    </row>
    <row r="68" spans="1:37">
      <c r="A68" s="8"/>
      <c r="N68" s="8"/>
      <c r="AA68" s="8"/>
    </row>
    <row r="69" spans="1:37">
      <c r="A69" s="8"/>
      <c r="N69" s="8"/>
      <c r="AA69" s="8"/>
    </row>
    <row r="70" spans="1:37">
      <c r="A70" s="8"/>
      <c r="N70" s="8"/>
      <c r="AA70" s="8"/>
    </row>
    <row r="71" spans="1:37">
      <c r="A71" s="8"/>
      <c r="N71" s="8"/>
      <c r="AA71" s="8"/>
    </row>
    <row r="72" spans="1:37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1237"/>
      <c r="O72" s="1237"/>
      <c r="P72" s="1237"/>
      <c r="Q72" s="1237"/>
      <c r="R72" s="1237"/>
      <c r="S72" s="1237"/>
      <c r="T72" s="1237"/>
      <c r="U72" s="1237"/>
      <c r="V72" s="1237"/>
      <c r="W72" s="1237"/>
      <c r="X72" s="1237"/>
      <c r="Y72" s="1237"/>
      <c r="Z72" s="1237"/>
      <c r="AA72" s="1237"/>
      <c r="AB72" s="1237"/>
      <c r="AC72" s="1237"/>
      <c r="AD72" s="1237"/>
      <c r="AE72" s="1237"/>
      <c r="AF72" s="1237"/>
      <c r="AG72" s="1237"/>
      <c r="AH72" s="1237"/>
      <c r="AI72" s="1237"/>
      <c r="AJ72" s="1237"/>
      <c r="AK72" s="1237"/>
    </row>
    <row r="73" spans="1:37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1237"/>
      <c r="O73" s="1237"/>
      <c r="P73" s="1237"/>
      <c r="Q73" s="1237"/>
      <c r="R73" s="1237"/>
      <c r="S73" s="1237"/>
      <c r="T73" s="1237"/>
      <c r="U73" s="1237"/>
      <c r="V73" s="1237"/>
      <c r="W73" s="1237"/>
      <c r="X73" s="1237"/>
      <c r="Y73" s="1237"/>
      <c r="Z73" s="1237"/>
      <c r="AA73" s="1237"/>
      <c r="AB73" s="1237"/>
      <c r="AC73" s="1237"/>
      <c r="AD73" s="1237"/>
      <c r="AE73" s="1237"/>
      <c r="AF73" s="1237"/>
      <c r="AG73" s="1237"/>
      <c r="AH73" s="1237"/>
      <c r="AI73" s="1237"/>
      <c r="AJ73" s="1237"/>
      <c r="AK73" s="1237"/>
    </row>
    <row r="74" spans="1:37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1237"/>
      <c r="O74" s="1237"/>
      <c r="P74" s="1237"/>
      <c r="Q74" s="1237"/>
      <c r="R74" s="1237"/>
      <c r="S74" s="1237"/>
      <c r="T74" s="1237"/>
      <c r="U74" s="1237"/>
      <c r="V74" s="1237"/>
      <c r="W74" s="1237"/>
      <c r="X74" s="1237"/>
      <c r="Y74" s="1237"/>
      <c r="Z74" s="1237"/>
      <c r="AA74" s="1237"/>
      <c r="AB74" s="1237"/>
      <c r="AC74" s="1237"/>
      <c r="AD74" s="1237"/>
      <c r="AE74" s="1237"/>
      <c r="AF74" s="1237"/>
      <c r="AG74" s="1237"/>
      <c r="AH74" s="1237"/>
      <c r="AI74" s="1237"/>
      <c r="AJ74" s="1237"/>
      <c r="AK74" s="1237"/>
    </row>
    <row r="75" spans="1:37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1237"/>
      <c r="O75" s="1237"/>
      <c r="P75" s="1237"/>
      <c r="Q75" s="1237"/>
      <c r="R75" s="1237"/>
      <c r="S75" s="1237"/>
      <c r="T75" s="1237"/>
      <c r="U75" s="1237"/>
      <c r="V75" s="1237"/>
      <c r="W75" s="1237"/>
      <c r="X75" s="1237"/>
      <c r="Y75" s="1237"/>
      <c r="Z75" s="1237"/>
      <c r="AA75" s="1237"/>
      <c r="AB75" s="1237"/>
      <c r="AC75" s="1237"/>
      <c r="AD75" s="1237"/>
      <c r="AE75" s="1237"/>
      <c r="AF75" s="1237"/>
      <c r="AG75" s="1237"/>
      <c r="AH75" s="1237"/>
      <c r="AI75" s="1237"/>
      <c r="AJ75" s="1237"/>
      <c r="AK75" s="1237"/>
    </row>
    <row r="76" spans="1:37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</row>
    <row r="77" spans="1:37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4:D54"/>
    <mergeCell ref="O54:Q54"/>
    <mergeCell ref="AB54:AD54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3:F53"/>
    <mergeCell ref="O53:T53"/>
    <mergeCell ref="AB53:AF53"/>
    <mergeCell ref="B1:I1"/>
    <mergeCell ref="O1:V1"/>
    <mergeCell ref="AB1:AI1"/>
    <mergeCell ref="K2:M2"/>
    <mergeCell ref="X2:Z2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71"/>
  <sheetViews>
    <sheetView showWhiteSpace="0" topLeftCell="A43" zoomScale="130" zoomScaleNormal="130" workbookViewId="0">
      <selection activeCell="A58" sqref="A5:XFD58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2" customFormat="1" ht="30.75" customHeight="1">
      <c r="B1" s="2522" t="s">
        <v>1366</v>
      </c>
      <c r="C1" s="2522"/>
      <c r="D1" s="2522"/>
      <c r="E1" s="2522"/>
      <c r="F1" s="2523" t="s">
        <v>344</v>
      </c>
      <c r="G1" s="2523"/>
    </row>
    <row r="2" spans="1:15" ht="11.25" customHeight="1">
      <c r="A2" s="2524"/>
      <c r="B2" s="2524"/>
      <c r="C2" s="2524"/>
      <c r="D2" s="2524"/>
      <c r="E2" s="2524"/>
      <c r="F2" s="2525" t="s">
        <v>507</v>
      </c>
      <c r="G2" s="2525"/>
      <c r="I2" s="32"/>
      <c r="J2" s="32"/>
      <c r="K2" s="32"/>
      <c r="L2" s="32"/>
    </row>
    <row r="3" spans="1:15" s="38" customFormat="1" ht="14.25" customHeight="1">
      <c r="A3" s="2526" t="s">
        <v>481</v>
      </c>
      <c r="B3" s="2527" t="s">
        <v>509</v>
      </c>
      <c r="C3" s="2528"/>
      <c r="D3" s="2528"/>
      <c r="E3" s="2528" t="s">
        <v>512</v>
      </c>
      <c r="F3" s="2528"/>
      <c r="G3" s="2528"/>
    </row>
    <row r="4" spans="1:15" s="38" customFormat="1" ht="14.25" customHeight="1">
      <c r="A4" s="2526"/>
      <c r="B4" s="1365" t="s">
        <v>510</v>
      </c>
      <c r="C4" s="1367" t="s">
        <v>511</v>
      </c>
      <c r="D4" s="1361" t="s">
        <v>480</v>
      </c>
      <c r="E4" s="1362" t="s">
        <v>510</v>
      </c>
      <c r="F4" s="1362" t="s">
        <v>511</v>
      </c>
      <c r="G4" s="1362" t="s">
        <v>480</v>
      </c>
    </row>
    <row r="5" spans="1:15" s="160" customFormat="1" ht="10.9" customHeight="1">
      <c r="A5" s="1363">
        <v>2012</v>
      </c>
      <c r="B5" s="316">
        <v>22</v>
      </c>
      <c r="C5" s="316">
        <v>3</v>
      </c>
      <c r="D5" s="316">
        <v>12.822499999999998</v>
      </c>
      <c r="E5" s="316">
        <v>22</v>
      </c>
      <c r="F5" s="316">
        <v>3</v>
      </c>
      <c r="G5" s="316">
        <v>12.822499999999998</v>
      </c>
    </row>
    <row r="6" spans="1:15" s="159" customFormat="1" ht="10.9" customHeight="1">
      <c r="A6" s="141">
        <v>2013</v>
      </c>
      <c r="B6" s="27">
        <v>13</v>
      </c>
      <c r="C6" s="27">
        <v>5.0999999999999996</v>
      </c>
      <c r="D6" s="27">
        <v>7.775833333333332</v>
      </c>
      <c r="E6" s="27">
        <v>13</v>
      </c>
      <c r="F6" s="27">
        <v>5.0999999999999996</v>
      </c>
      <c r="G6" s="27">
        <v>7.775833333333332</v>
      </c>
    </row>
    <row r="7" spans="1:15" s="159" customFormat="1" ht="10.9" customHeight="1">
      <c r="A7" s="306">
        <v>2014</v>
      </c>
      <c r="B7" s="294">
        <v>9.9</v>
      </c>
      <c r="C7" s="294">
        <v>5</v>
      </c>
      <c r="D7" s="294">
        <v>7.1399999999999979</v>
      </c>
      <c r="E7" s="294">
        <v>9.9</v>
      </c>
      <c r="F7" s="294">
        <v>5</v>
      </c>
      <c r="G7" s="294">
        <v>7.1399999999999979</v>
      </c>
    </row>
    <row r="8" spans="1:15" s="159" customFormat="1" ht="10.9" customHeight="1">
      <c r="A8" s="141">
        <v>2015</v>
      </c>
      <c r="B8" s="27">
        <v>9.9</v>
      </c>
      <c r="C8" s="27">
        <v>1.25</v>
      </c>
      <c r="D8" s="27">
        <v>6.1983333333333333</v>
      </c>
      <c r="E8" s="27">
        <v>9.9</v>
      </c>
      <c r="F8" s="27">
        <v>1.25</v>
      </c>
      <c r="G8" s="27">
        <v>6.145833333333333</v>
      </c>
    </row>
    <row r="9" spans="1:15" s="449" customFormat="1" ht="10.9" customHeight="1">
      <c r="A9" s="392">
        <v>2016</v>
      </c>
      <c r="B9" s="294">
        <v>5</v>
      </c>
      <c r="C9" s="294">
        <v>1</v>
      </c>
      <c r="D9" s="294">
        <v>3.6691666666666669</v>
      </c>
      <c r="E9" s="294">
        <v>5</v>
      </c>
      <c r="F9" s="294">
        <v>1</v>
      </c>
      <c r="G9" s="294">
        <v>3.6691666666666669</v>
      </c>
      <c r="H9" s="159"/>
      <c r="I9" s="239"/>
      <c r="J9" s="159"/>
      <c r="K9" s="159"/>
      <c r="L9" s="159"/>
      <c r="M9" s="159"/>
      <c r="N9" s="159"/>
      <c r="O9" s="159"/>
    </row>
    <row r="10" spans="1:15" s="449" customFormat="1" ht="10.9" customHeight="1">
      <c r="A10" s="378">
        <v>2017</v>
      </c>
      <c r="B10" s="27">
        <v>4.5</v>
      </c>
      <c r="C10" s="27">
        <v>1.5</v>
      </c>
      <c r="D10" s="27">
        <v>3.7674999999999996</v>
      </c>
      <c r="E10" s="27">
        <v>4.5</v>
      </c>
      <c r="F10" s="27">
        <v>1.5</v>
      </c>
      <c r="G10" s="27">
        <v>3.7674999999999996</v>
      </c>
      <c r="H10" s="159"/>
      <c r="I10" s="239"/>
      <c r="J10" s="159"/>
      <c r="K10" s="159"/>
      <c r="L10" s="159"/>
      <c r="M10" s="159"/>
      <c r="N10" s="159"/>
      <c r="O10" s="159"/>
    </row>
    <row r="11" spans="1:15" s="159" customFormat="1" ht="10.9" customHeight="1">
      <c r="A11" s="392">
        <v>2018</v>
      </c>
      <c r="B11" s="294">
        <v>5.5</v>
      </c>
      <c r="C11" s="294">
        <v>0.1</v>
      </c>
      <c r="D11" s="294">
        <v>3.6691666666666669</v>
      </c>
      <c r="E11" s="294">
        <v>5.5</v>
      </c>
      <c r="F11" s="294">
        <v>0.1</v>
      </c>
      <c r="G11" s="294">
        <v>3.6691666666666669</v>
      </c>
    </row>
    <row r="12" spans="1:15" s="9" customFormat="1" ht="10.9" customHeight="1">
      <c r="A12" s="378">
        <v>2019</v>
      </c>
      <c r="B12" s="27">
        <v>5.5</v>
      </c>
      <c r="C12" s="27">
        <v>0.75</v>
      </c>
      <c r="D12" s="27">
        <v>4.4274999999999993</v>
      </c>
      <c r="E12" s="27">
        <v>5.5</v>
      </c>
      <c r="F12" s="27">
        <v>0.75</v>
      </c>
      <c r="G12" s="27">
        <v>4.4274999999999993</v>
      </c>
    </row>
    <row r="13" spans="1:15" s="159" customFormat="1" ht="10.9" customHeight="1">
      <c r="A13" s="392">
        <v>2020</v>
      </c>
      <c r="B13" s="294">
        <v>5.5</v>
      </c>
      <c r="C13" s="294">
        <v>0.3</v>
      </c>
      <c r="D13" s="294">
        <v>4.0091666666666663</v>
      </c>
      <c r="E13" s="294">
        <v>5.5</v>
      </c>
      <c r="F13" s="294">
        <v>0.3</v>
      </c>
      <c r="G13" s="294">
        <v>4.0091666666666663</v>
      </c>
    </row>
    <row r="14" spans="1:15" s="159" customFormat="1" ht="10.9" customHeight="1">
      <c r="A14" s="1581">
        <v>2021</v>
      </c>
      <c r="B14" s="27">
        <v>5.25</v>
      </c>
      <c r="C14" s="27">
        <v>1</v>
      </c>
      <c r="D14" s="27">
        <v>2.1041666666666665</v>
      </c>
      <c r="E14" s="27">
        <v>5.25</v>
      </c>
      <c r="F14" s="27">
        <v>1</v>
      </c>
      <c r="G14" s="27">
        <v>2.1041666666666665</v>
      </c>
    </row>
    <row r="15" spans="1:15" s="159" customFormat="1" ht="10.9" customHeight="1">
      <c r="A15" s="1364">
        <v>2022</v>
      </c>
      <c r="B15" s="297">
        <v>7.75</v>
      </c>
      <c r="C15" s="297">
        <v>1</v>
      </c>
      <c r="D15" s="297">
        <v>4.6524999999999999</v>
      </c>
      <c r="E15" s="297">
        <v>7.75</v>
      </c>
      <c r="F15" s="297">
        <v>1</v>
      </c>
      <c r="G15" s="297">
        <v>4.6524999999999999</v>
      </c>
    </row>
    <row r="16" spans="1:15" s="159" customFormat="1" ht="10.9" customHeight="1">
      <c r="A16" s="848">
        <v>2023</v>
      </c>
      <c r="B16" s="142">
        <f>MAX(B17:B28)</f>
        <v>9.75</v>
      </c>
      <c r="C16" s="142">
        <f>MIN(C17:C28)</f>
        <v>4.25</v>
      </c>
      <c r="D16" s="142">
        <f>AVERAGE(D17:D28)</f>
        <v>6.6816666666666658</v>
      </c>
      <c r="E16" s="142">
        <f>MAX(E17:E28)</f>
        <v>9.75</v>
      </c>
      <c r="F16" s="142">
        <f>MIN(F17:F28)</f>
        <v>4.25</v>
      </c>
      <c r="G16" s="142">
        <f>AVERAGE(G17:G28)</f>
        <v>6.6816666666666658</v>
      </c>
    </row>
    <row r="17" spans="1:7" s="159" customFormat="1" ht="10.9" customHeight="1">
      <c r="A17" s="392" t="s">
        <v>563</v>
      </c>
      <c r="B17" s="289">
        <v>7.5</v>
      </c>
      <c r="C17" s="289">
        <v>5.25</v>
      </c>
      <c r="D17" s="289">
        <v>6.66</v>
      </c>
      <c r="E17" s="289">
        <v>7.5</v>
      </c>
      <c r="F17" s="289">
        <v>5.25</v>
      </c>
      <c r="G17" s="289">
        <v>6.66</v>
      </c>
    </row>
    <row r="18" spans="1:7" s="159" customFormat="1" ht="10.9" customHeight="1">
      <c r="A18" s="378" t="s">
        <v>564</v>
      </c>
      <c r="B18" s="250">
        <v>7.5</v>
      </c>
      <c r="C18" s="250">
        <v>5</v>
      </c>
      <c r="D18" s="250">
        <v>6.15</v>
      </c>
      <c r="E18" s="250">
        <v>7.5</v>
      </c>
      <c r="F18" s="250">
        <v>5</v>
      </c>
      <c r="G18" s="250">
        <v>6.15</v>
      </c>
    </row>
    <row r="19" spans="1:7" s="159" customFormat="1" ht="10.9" customHeight="1">
      <c r="A19" s="392" t="s">
        <v>556</v>
      </c>
      <c r="B19" s="289">
        <v>7.5</v>
      </c>
      <c r="C19" s="289">
        <v>5</v>
      </c>
      <c r="D19" s="289">
        <v>6.03</v>
      </c>
      <c r="E19" s="289">
        <v>7.5</v>
      </c>
      <c r="F19" s="289">
        <v>5</v>
      </c>
      <c r="G19" s="289">
        <v>6.03</v>
      </c>
    </row>
    <row r="20" spans="1:7" s="159" customFormat="1" ht="10.9" customHeight="1">
      <c r="A20" s="378" t="s">
        <v>565</v>
      </c>
      <c r="B20" s="250">
        <v>7.5</v>
      </c>
      <c r="C20" s="250">
        <v>5</v>
      </c>
      <c r="D20" s="250">
        <v>6.04</v>
      </c>
      <c r="E20" s="250">
        <v>7.5</v>
      </c>
      <c r="F20" s="250">
        <v>5</v>
      </c>
      <c r="G20" s="250">
        <v>6.04</v>
      </c>
    </row>
    <row r="21" spans="1:7" s="159" customFormat="1" ht="10.9" customHeight="1">
      <c r="A21" s="392" t="s">
        <v>566</v>
      </c>
      <c r="B21" s="289">
        <v>7.5</v>
      </c>
      <c r="C21" s="289">
        <v>5</v>
      </c>
      <c r="D21" s="289">
        <v>6.03</v>
      </c>
      <c r="E21" s="289">
        <v>7.5</v>
      </c>
      <c r="F21" s="289">
        <v>5</v>
      </c>
      <c r="G21" s="289">
        <v>6.03</v>
      </c>
    </row>
    <row r="22" spans="1:7" s="159" customFormat="1" ht="10.9" customHeight="1">
      <c r="A22" s="378" t="s">
        <v>557</v>
      </c>
      <c r="B22" s="250">
        <v>7.5</v>
      </c>
      <c r="C22" s="250">
        <v>4.5</v>
      </c>
      <c r="D22" s="250">
        <v>6.06</v>
      </c>
      <c r="E22" s="250">
        <v>7.5</v>
      </c>
      <c r="F22" s="250">
        <v>4.5</v>
      </c>
      <c r="G22" s="250">
        <v>6.06</v>
      </c>
    </row>
    <row r="23" spans="1:7" s="159" customFormat="1" ht="10.9" customHeight="1">
      <c r="A23" s="392" t="s">
        <v>559</v>
      </c>
      <c r="B23" s="289">
        <v>8</v>
      </c>
      <c r="C23" s="289">
        <v>5.5</v>
      </c>
      <c r="D23" s="289">
        <v>6.3</v>
      </c>
      <c r="E23" s="289">
        <v>8</v>
      </c>
      <c r="F23" s="289">
        <v>5.5</v>
      </c>
      <c r="G23" s="289">
        <v>6.3</v>
      </c>
    </row>
    <row r="24" spans="1:7" s="159" customFormat="1" ht="10.9" customHeight="1">
      <c r="A24" s="378" t="s">
        <v>560</v>
      </c>
      <c r="B24" s="250">
        <v>8</v>
      </c>
      <c r="C24" s="250">
        <v>4.25</v>
      </c>
      <c r="D24" s="250">
        <v>6.28</v>
      </c>
      <c r="E24" s="250">
        <v>8</v>
      </c>
      <c r="F24" s="250">
        <v>4.25</v>
      </c>
      <c r="G24" s="250">
        <v>6.28</v>
      </c>
    </row>
    <row r="25" spans="1:7" s="159" customFormat="1" ht="10.9" customHeight="1">
      <c r="A25" s="392" t="s">
        <v>554</v>
      </c>
      <c r="B25" s="289">
        <v>7.75</v>
      </c>
      <c r="C25" s="289">
        <v>5.5</v>
      </c>
      <c r="D25" s="289">
        <v>6.41</v>
      </c>
      <c r="E25" s="289">
        <v>7.75</v>
      </c>
      <c r="F25" s="289">
        <v>5.5</v>
      </c>
      <c r="G25" s="289">
        <v>6.41</v>
      </c>
    </row>
    <row r="26" spans="1:7" s="159" customFormat="1" ht="10.9" customHeight="1">
      <c r="A26" s="378" t="s">
        <v>561</v>
      </c>
      <c r="B26" s="250">
        <v>8.75</v>
      </c>
      <c r="C26" s="250">
        <v>6</v>
      </c>
      <c r="D26" s="250">
        <v>7.35</v>
      </c>
      <c r="E26" s="250">
        <v>8.75</v>
      </c>
      <c r="F26" s="250">
        <v>6</v>
      </c>
      <c r="G26" s="250">
        <v>7.35</v>
      </c>
    </row>
    <row r="27" spans="1:7" s="159" customFormat="1" ht="10.9" customHeight="1">
      <c r="A27" s="392" t="s">
        <v>562</v>
      </c>
      <c r="B27" s="289">
        <v>9.25</v>
      </c>
      <c r="C27" s="289">
        <v>7.25</v>
      </c>
      <c r="D27" s="289">
        <v>8.0299999999999994</v>
      </c>
      <c r="E27" s="289">
        <v>9.25</v>
      </c>
      <c r="F27" s="289">
        <v>7.25</v>
      </c>
      <c r="G27" s="289">
        <v>8.0299999999999994</v>
      </c>
    </row>
    <row r="28" spans="1:7" s="159" customFormat="1" ht="10.9" customHeight="1">
      <c r="A28" s="378" t="s">
        <v>555</v>
      </c>
      <c r="B28" s="250">
        <v>9.75</v>
      </c>
      <c r="C28" s="250">
        <v>7.25</v>
      </c>
      <c r="D28" s="250">
        <v>8.84</v>
      </c>
      <c r="E28" s="250">
        <v>9.75</v>
      </c>
      <c r="F28" s="250">
        <v>7.25</v>
      </c>
      <c r="G28" s="250">
        <v>8.84</v>
      </c>
    </row>
    <row r="29" spans="1:7" s="159" customFormat="1" ht="10.9" customHeight="1">
      <c r="A29" s="1364">
        <v>2024</v>
      </c>
      <c r="B29" s="297">
        <f>MAX(B30:B41)</f>
        <v>11</v>
      </c>
      <c r="C29" s="297">
        <f>MIN(C30:C41)</f>
        <v>6.75</v>
      </c>
      <c r="D29" s="297">
        <f>AVERAGE(D30:D41)</f>
        <v>9.2416666666666654</v>
      </c>
      <c r="E29" s="297">
        <f>MAX(E30:E41)</f>
        <v>11</v>
      </c>
      <c r="F29" s="297">
        <f>MIN(F30:F41)</f>
        <v>6.75</v>
      </c>
      <c r="G29" s="297">
        <f>AVERAGE(G30:G41)</f>
        <v>9.2416666666666654</v>
      </c>
    </row>
    <row r="30" spans="1:7" s="159" customFormat="1" ht="10.9" customHeight="1">
      <c r="A30" s="378" t="s">
        <v>563</v>
      </c>
      <c r="B30" s="250">
        <v>10</v>
      </c>
      <c r="C30" s="250">
        <v>7.75</v>
      </c>
      <c r="D30" s="250">
        <v>9.3800000000000008</v>
      </c>
      <c r="E30" s="250">
        <v>10</v>
      </c>
      <c r="F30" s="250">
        <v>7.75</v>
      </c>
      <c r="G30" s="250">
        <v>9.3800000000000008</v>
      </c>
    </row>
    <row r="31" spans="1:7" s="159" customFormat="1" ht="10.9" customHeight="1">
      <c r="A31" s="392" t="s">
        <v>564</v>
      </c>
      <c r="B31" s="289">
        <v>9.5</v>
      </c>
      <c r="C31" s="289">
        <v>8</v>
      </c>
      <c r="D31" s="289">
        <v>9.3000000000000007</v>
      </c>
      <c r="E31" s="289">
        <v>9.5</v>
      </c>
      <c r="F31" s="289">
        <v>8</v>
      </c>
      <c r="G31" s="289">
        <v>9.3000000000000007</v>
      </c>
    </row>
    <row r="32" spans="1:7" s="159" customFormat="1" ht="10.9" customHeight="1">
      <c r="A32" s="378" t="s">
        <v>556</v>
      </c>
      <c r="B32" s="250">
        <v>9.5</v>
      </c>
      <c r="C32" s="250">
        <v>6.75</v>
      </c>
      <c r="D32" s="250">
        <v>8.75</v>
      </c>
      <c r="E32" s="250">
        <v>9.5</v>
      </c>
      <c r="F32" s="250">
        <v>6.75</v>
      </c>
      <c r="G32" s="250">
        <v>8.75</v>
      </c>
    </row>
    <row r="33" spans="1:7" s="159" customFormat="1" ht="10.9" customHeight="1">
      <c r="A33" s="392" t="s">
        <v>565</v>
      </c>
      <c r="B33" s="289">
        <v>9.5</v>
      </c>
      <c r="C33" s="289">
        <v>7.9</v>
      </c>
      <c r="D33" s="289">
        <v>8.81</v>
      </c>
      <c r="E33" s="289">
        <v>9.5</v>
      </c>
      <c r="F33" s="289">
        <v>7.9</v>
      </c>
      <c r="G33" s="289">
        <v>8.81</v>
      </c>
    </row>
    <row r="34" spans="1:7" s="159" customFormat="1" ht="10.9" customHeight="1">
      <c r="A34" s="86" t="s">
        <v>566</v>
      </c>
      <c r="B34" s="250">
        <v>10</v>
      </c>
      <c r="C34" s="250">
        <v>8</v>
      </c>
      <c r="D34" s="250">
        <v>9.08</v>
      </c>
      <c r="E34" s="250">
        <v>10</v>
      </c>
      <c r="F34" s="250">
        <v>8</v>
      </c>
      <c r="G34" s="250">
        <v>9.08</v>
      </c>
    </row>
    <row r="35" spans="1:7" s="159" customFormat="1" ht="10.9" customHeight="1">
      <c r="A35" s="1435" t="s">
        <v>557</v>
      </c>
      <c r="B35" s="289">
        <v>10</v>
      </c>
      <c r="C35" s="289">
        <v>8.5</v>
      </c>
      <c r="D35" s="289">
        <v>9.08</v>
      </c>
      <c r="E35" s="289">
        <v>10</v>
      </c>
      <c r="F35" s="289">
        <v>8.5</v>
      </c>
      <c r="G35" s="289">
        <v>9.08</v>
      </c>
    </row>
    <row r="36" spans="1:7" s="159" customFormat="1" ht="10.9" customHeight="1">
      <c r="A36" s="1440" t="s">
        <v>559</v>
      </c>
      <c r="B36" s="250">
        <v>10</v>
      </c>
      <c r="C36" s="250">
        <v>7.75</v>
      </c>
      <c r="D36" s="250">
        <v>8.86</v>
      </c>
      <c r="E36" s="250">
        <v>10</v>
      </c>
      <c r="F36" s="250">
        <v>7.75</v>
      </c>
      <c r="G36" s="250">
        <v>8.86</v>
      </c>
    </row>
    <row r="37" spans="1:7" s="159" customFormat="1" ht="10.9" customHeight="1">
      <c r="A37" s="1435" t="s">
        <v>560</v>
      </c>
      <c r="B37" s="289">
        <v>10.5</v>
      </c>
      <c r="C37" s="289">
        <v>8.3000000000000007</v>
      </c>
      <c r="D37" s="289">
        <v>8.7799999999999994</v>
      </c>
      <c r="E37" s="289">
        <v>10.5</v>
      </c>
      <c r="F37" s="289">
        <v>8.3000000000000007</v>
      </c>
      <c r="G37" s="289">
        <v>8.7799999999999994</v>
      </c>
    </row>
    <row r="38" spans="1:7" s="159" customFormat="1" ht="10.9" customHeight="1">
      <c r="A38" s="1440" t="s">
        <v>554</v>
      </c>
      <c r="B38" s="250">
        <v>10.5</v>
      </c>
      <c r="C38" s="250">
        <v>8.5</v>
      </c>
      <c r="D38" s="250">
        <v>9.14</v>
      </c>
      <c r="E38" s="250">
        <v>10.5</v>
      </c>
      <c r="F38" s="250">
        <v>8.5</v>
      </c>
      <c r="G38" s="250">
        <v>9.14</v>
      </c>
    </row>
    <row r="39" spans="1:7" s="159" customFormat="1" ht="10.9" customHeight="1">
      <c r="A39" s="1435" t="s">
        <v>561</v>
      </c>
      <c r="B39" s="289">
        <v>11</v>
      </c>
      <c r="C39" s="289">
        <v>9</v>
      </c>
      <c r="D39" s="289">
        <v>9.66</v>
      </c>
      <c r="E39" s="289">
        <v>11</v>
      </c>
      <c r="F39" s="289">
        <v>9</v>
      </c>
      <c r="G39" s="289">
        <v>9.66</v>
      </c>
    </row>
    <row r="40" spans="1:7" s="159" customFormat="1" ht="10.9" customHeight="1">
      <c r="A40" s="1440" t="s">
        <v>562</v>
      </c>
      <c r="B40" s="250">
        <v>11</v>
      </c>
      <c r="C40" s="250">
        <v>8.9499999999999993</v>
      </c>
      <c r="D40" s="250">
        <v>9.99</v>
      </c>
      <c r="E40" s="250">
        <v>11</v>
      </c>
      <c r="F40" s="250">
        <v>8.9499999999999993</v>
      </c>
      <c r="G40" s="250">
        <v>9.99</v>
      </c>
    </row>
    <row r="41" spans="1:7" s="159" customFormat="1" ht="10.9" customHeight="1">
      <c r="A41" s="1435" t="s">
        <v>555</v>
      </c>
      <c r="B41" s="289">
        <v>11</v>
      </c>
      <c r="C41" s="289">
        <v>8.75</v>
      </c>
      <c r="D41" s="289">
        <v>10.07</v>
      </c>
      <c r="E41" s="289">
        <v>11</v>
      </c>
      <c r="F41" s="289">
        <v>8.75</v>
      </c>
      <c r="G41" s="289">
        <v>10.07</v>
      </c>
    </row>
    <row r="42" spans="1:7" s="159" customFormat="1" ht="10.9" customHeight="1">
      <c r="A42" s="1483">
        <v>2025</v>
      </c>
      <c r="B42" s="142">
        <f>MAX(B43:B54)</f>
        <v>11.5</v>
      </c>
      <c r="C42" s="142">
        <f>MIN(C43:C54)</f>
        <v>8.8000000000000007</v>
      </c>
      <c r="D42" s="142">
        <f>AVERAGE(D43:D54)</f>
        <v>9.9799999999999986</v>
      </c>
      <c r="E42" s="142">
        <f>MAX(E43:E54)</f>
        <v>11.5</v>
      </c>
      <c r="F42" s="142">
        <f>MIN(F43:F54)</f>
        <v>8.8000000000000007</v>
      </c>
      <c r="G42" s="142">
        <f>AVERAGE(G43:G54)</f>
        <v>9.9799999999999986</v>
      </c>
    </row>
    <row r="43" spans="1:7" s="159" customFormat="1" ht="10.9" customHeight="1">
      <c r="A43" s="1435" t="s">
        <v>563</v>
      </c>
      <c r="B43" s="289">
        <v>11</v>
      </c>
      <c r="C43" s="289">
        <v>9</v>
      </c>
      <c r="D43" s="289">
        <v>10.08</v>
      </c>
      <c r="E43" s="289">
        <v>11</v>
      </c>
      <c r="F43" s="289">
        <v>9</v>
      </c>
      <c r="G43" s="289">
        <v>10.08</v>
      </c>
    </row>
    <row r="44" spans="1:7" s="159" customFormat="1" ht="10.9" customHeight="1">
      <c r="A44" s="1440" t="s">
        <v>564</v>
      </c>
      <c r="B44" s="250">
        <v>11</v>
      </c>
      <c r="C44" s="250">
        <v>9.5</v>
      </c>
      <c r="D44" s="250">
        <v>10.039999999999999</v>
      </c>
      <c r="E44" s="250">
        <v>11</v>
      </c>
      <c r="F44" s="250">
        <v>9.5</v>
      </c>
      <c r="G44" s="250">
        <v>10.039999999999999</v>
      </c>
    </row>
    <row r="45" spans="1:7" s="159" customFormat="1" ht="10.9" customHeight="1">
      <c r="A45" s="1435" t="s">
        <v>556</v>
      </c>
      <c r="B45" s="289">
        <v>11</v>
      </c>
      <c r="C45" s="289">
        <v>8.8000000000000007</v>
      </c>
      <c r="D45" s="289">
        <v>10.01</v>
      </c>
      <c r="E45" s="289">
        <v>11</v>
      </c>
      <c r="F45" s="289">
        <v>8.8000000000000007</v>
      </c>
      <c r="G45" s="289">
        <v>10.01</v>
      </c>
    </row>
    <row r="46" spans="1:7" s="159" customFormat="1" ht="10.9" customHeight="1">
      <c r="A46" s="1440" t="s">
        <v>565</v>
      </c>
      <c r="B46" s="250">
        <v>11</v>
      </c>
      <c r="C46" s="250">
        <v>9.5</v>
      </c>
      <c r="D46" s="250">
        <v>9.93</v>
      </c>
      <c r="E46" s="250">
        <v>11</v>
      </c>
      <c r="F46" s="250">
        <v>9.5</v>
      </c>
      <c r="G46" s="250">
        <v>9.93</v>
      </c>
    </row>
    <row r="47" spans="1:7" s="159" customFormat="1" ht="10.9" customHeight="1">
      <c r="A47" s="1435" t="s">
        <v>566</v>
      </c>
      <c r="B47" s="289">
        <v>11.25</v>
      </c>
      <c r="C47" s="289">
        <v>9.5</v>
      </c>
      <c r="D47" s="289">
        <v>10.06</v>
      </c>
      <c r="E47" s="289">
        <v>11.25</v>
      </c>
      <c r="F47" s="289">
        <v>9.5</v>
      </c>
      <c r="G47" s="289">
        <v>10.06</v>
      </c>
    </row>
    <row r="48" spans="1:7" s="159" customFormat="1" ht="10.9" customHeight="1">
      <c r="A48" s="1440" t="s">
        <v>557</v>
      </c>
      <c r="B48" s="250">
        <v>11.5</v>
      </c>
      <c r="C48" s="250">
        <v>9</v>
      </c>
      <c r="D48" s="250">
        <v>10.14</v>
      </c>
      <c r="E48" s="250">
        <v>11.5</v>
      </c>
      <c r="F48" s="250">
        <v>9</v>
      </c>
      <c r="G48" s="250">
        <v>10.14</v>
      </c>
    </row>
    <row r="49" spans="1:7" s="159" customFormat="1" ht="10.9" customHeight="1">
      <c r="A49" s="1435" t="s">
        <v>559</v>
      </c>
      <c r="B49" s="289">
        <v>11.5</v>
      </c>
      <c r="C49" s="289">
        <v>9.5</v>
      </c>
      <c r="D49" s="289">
        <v>10.029999999999999</v>
      </c>
      <c r="E49" s="289">
        <v>11.5</v>
      </c>
      <c r="F49" s="289">
        <v>9.5</v>
      </c>
      <c r="G49" s="289">
        <v>10.029999999999999</v>
      </c>
    </row>
    <row r="50" spans="1:7" s="159" customFormat="1" ht="10.9" customHeight="1">
      <c r="A50" s="1440" t="s">
        <v>560</v>
      </c>
      <c r="B50" s="250">
        <v>11</v>
      </c>
      <c r="C50" s="250">
        <v>9.5</v>
      </c>
      <c r="D50" s="250">
        <v>9.98</v>
      </c>
      <c r="E50" s="250">
        <v>11</v>
      </c>
      <c r="F50" s="250">
        <v>9.5</v>
      </c>
      <c r="G50" s="250">
        <v>9.98</v>
      </c>
    </row>
    <row r="51" spans="1:7" s="159" customFormat="1" ht="10.9" customHeight="1">
      <c r="A51" s="1435" t="s">
        <v>554</v>
      </c>
      <c r="B51" s="289">
        <v>11</v>
      </c>
      <c r="C51" s="289">
        <v>9.25</v>
      </c>
      <c r="D51" s="289">
        <v>9.9700000000000006</v>
      </c>
      <c r="E51" s="289">
        <v>11</v>
      </c>
      <c r="F51" s="289">
        <v>9.25</v>
      </c>
      <c r="G51" s="289">
        <v>9.9700000000000006</v>
      </c>
    </row>
    <row r="52" spans="1:7" s="159" customFormat="1" ht="10.9" customHeight="1">
      <c r="A52" s="1440" t="s">
        <v>561</v>
      </c>
      <c r="B52" s="250">
        <v>11</v>
      </c>
      <c r="C52" s="250">
        <v>9.25</v>
      </c>
      <c r="D52" s="250">
        <v>9.74</v>
      </c>
      <c r="E52" s="250">
        <v>11</v>
      </c>
      <c r="F52" s="250">
        <v>9.25</v>
      </c>
      <c r="G52" s="250">
        <v>9.74</v>
      </c>
    </row>
    <row r="53" spans="1:7" ht="10.9" customHeight="1">
      <c r="A53" s="1435" t="s">
        <v>562</v>
      </c>
      <c r="B53" s="289">
        <v>11</v>
      </c>
      <c r="C53" s="289">
        <v>9.5</v>
      </c>
      <c r="D53" s="289">
        <v>9.7899999999999991</v>
      </c>
      <c r="E53" s="289">
        <v>11</v>
      </c>
      <c r="F53" s="289">
        <v>9.5</v>
      </c>
      <c r="G53" s="289">
        <v>9.7899999999999991</v>
      </c>
    </row>
    <row r="54" spans="1:7" ht="10.9" customHeight="1">
      <c r="A54" s="1440" t="s">
        <v>555</v>
      </c>
      <c r="B54" s="250">
        <v>11</v>
      </c>
      <c r="C54" s="250">
        <v>9.5</v>
      </c>
      <c r="D54" s="250">
        <v>9.99</v>
      </c>
      <c r="E54" s="250">
        <v>11</v>
      </c>
      <c r="F54" s="250">
        <v>9.5</v>
      </c>
      <c r="G54" s="250">
        <v>9.99</v>
      </c>
    </row>
    <row r="55" spans="1:7" ht="10.9" customHeight="1">
      <c r="A55" s="1752">
        <v>2026</v>
      </c>
      <c r="B55" s="289"/>
      <c r="C55" s="289"/>
      <c r="D55" s="289"/>
      <c r="E55" s="289"/>
      <c r="F55" s="289"/>
      <c r="G55" s="289"/>
    </row>
    <row r="56" spans="1:7" ht="10.9" customHeight="1">
      <c r="A56" s="1440" t="s">
        <v>563</v>
      </c>
      <c r="B56" s="250">
        <v>11</v>
      </c>
      <c r="C56" s="250">
        <v>9.5</v>
      </c>
      <c r="D56" s="250">
        <v>9.94</v>
      </c>
      <c r="E56" s="250">
        <v>11</v>
      </c>
      <c r="F56" s="250">
        <v>9.5</v>
      </c>
      <c r="G56" s="250">
        <v>9.94</v>
      </c>
    </row>
    <row r="57" spans="1:7" ht="10.9" customHeight="1">
      <c r="A57" s="1435" t="s">
        <v>564</v>
      </c>
      <c r="B57" s="289">
        <v>11</v>
      </c>
      <c r="C57" s="289">
        <v>9.0500000000000007</v>
      </c>
      <c r="D57" s="289">
        <v>9.9</v>
      </c>
      <c r="E57" s="289">
        <v>11</v>
      </c>
      <c r="F57" s="289">
        <v>9.0500000000000007</v>
      </c>
      <c r="G57" s="289">
        <v>9.9</v>
      </c>
    </row>
    <row r="58" spans="1:7" ht="10.9" customHeight="1" thickBot="1">
      <c r="A58" s="1843" t="s">
        <v>556</v>
      </c>
      <c r="B58" s="684">
        <v>11</v>
      </c>
      <c r="C58" s="684">
        <v>9.25</v>
      </c>
      <c r="D58" s="684">
        <v>10.01</v>
      </c>
      <c r="E58" s="684">
        <v>11</v>
      </c>
      <c r="F58" s="684">
        <v>9.25</v>
      </c>
      <c r="G58" s="684">
        <v>10.01</v>
      </c>
    </row>
    <row r="59" spans="1:7">
      <c r="A59" s="114" t="s">
        <v>371</v>
      </c>
      <c r="B59" s="667" t="s">
        <v>1228</v>
      </c>
      <c r="C59" s="667"/>
      <c r="D59" s="667"/>
      <c r="E59" s="667"/>
      <c r="F59" s="62"/>
      <c r="G59" s="9"/>
    </row>
    <row r="62" spans="1:7">
      <c r="B62" s="84"/>
      <c r="C62" s="84"/>
      <c r="D62" s="84"/>
      <c r="E62" s="84"/>
      <c r="F62" s="84"/>
      <c r="G62" s="84"/>
    </row>
    <row r="71" ht="12" customHeight="1"/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D48" sqref="AD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1" customFormat="1" ht="27.75" customHeight="1">
      <c r="A2" s="2543" t="s">
        <v>1005</v>
      </c>
      <c r="B2" s="2543"/>
      <c r="C2" s="2543"/>
      <c r="D2" s="2543"/>
      <c r="E2" s="2543"/>
      <c r="F2" s="2532" t="s">
        <v>1083</v>
      </c>
      <c r="G2" s="2532"/>
      <c r="H2" s="909"/>
      <c r="I2" s="2532" t="s">
        <v>834</v>
      </c>
      <c r="J2" s="2532"/>
      <c r="K2" s="2532"/>
      <c r="L2" s="2532"/>
      <c r="M2" s="2532"/>
      <c r="N2" s="2532"/>
      <c r="O2" s="2536" t="s">
        <v>803</v>
      </c>
      <c r="P2" s="2536"/>
      <c r="Q2" s="2536"/>
      <c r="R2" s="2532" t="s">
        <v>1083</v>
      </c>
      <c r="S2" s="2532"/>
      <c r="T2" s="2543" t="s">
        <v>802</v>
      </c>
      <c r="U2" s="2543"/>
      <c r="V2" s="2543"/>
      <c r="W2" s="2543"/>
      <c r="X2" s="2543"/>
      <c r="Y2" s="2543"/>
      <c r="Z2" s="2532" t="s">
        <v>1084</v>
      </c>
      <c r="AA2" s="2532"/>
      <c r="AB2" s="2532"/>
    </row>
    <row r="3" spans="1:28" s="41" customFormat="1" ht="21.75" customHeight="1">
      <c r="A3" s="2544" t="s">
        <v>803</v>
      </c>
      <c r="B3" s="2544"/>
      <c r="C3" s="2544"/>
      <c r="D3" s="2544"/>
      <c r="E3" s="2544"/>
      <c r="F3" s="2540" t="s">
        <v>24</v>
      </c>
      <c r="G3" s="2540"/>
      <c r="H3" s="69"/>
      <c r="K3" s="66"/>
      <c r="L3" s="66"/>
      <c r="M3" s="2533"/>
      <c r="N3" s="2533"/>
      <c r="O3" s="118"/>
      <c r="P3" s="118"/>
      <c r="R3" s="2533" t="s">
        <v>24</v>
      </c>
      <c r="S3" s="2533"/>
      <c r="T3" s="2535" t="s">
        <v>1006</v>
      </c>
      <c r="U3" s="2535"/>
      <c r="V3" s="2535"/>
      <c r="W3" s="2535"/>
      <c r="X3" s="2535"/>
      <c r="Y3" s="2535"/>
      <c r="Z3" s="2535"/>
      <c r="AA3" s="2533" t="s">
        <v>24</v>
      </c>
      <c r="AB3" s="2533"/>
    </row>
    <row r="4" spans="1:28" s="136" customFormat="1" ht="16.5" customHeight="1">
      <c r="A4" s="2541" t="s">
        <v>481</v>
      </c>
      <c r="B4" s="2542" t="s">
        <v>801</v>
      </c>
      <c r="C4" s="2542"/>
      <c r="D4" s="2542"/>
      <c r="E4" s="2542"/>
      <c r="F4" s="2542"/>
      <c r="G4" s="2542"/>
      <c r="H4" s="2298" t="s">
        <v>481</v>
      </c>
      <c r="I4" s="2414" t="s">
        <v>837</v>
      </c>
      <c r="J4" s="2537"/>
      <c r="K4" s="2537"/>
      <c r="L4" s="2537"/>
      <c r="M4" s="2537"/>
      <c r="N4" s="2537"/>
      <c r="O4" s="2537"/>
      <c r="P4" s="2537"/>
      <c r="Q4" s="2537"/>
      <c r="R4" s="2538"/>
      <c r="S4" s="2298" t="s">
        <v>481</v>
      </c>
      <c r="T4" s="2526" t="s">
        <v>481</v>
      </c>
      <c r="U4" s="2414" t="s">
        <v>75</v>
      </c>
      <c r="V4" s="2537"/>
      <c r="W4" s="2537"/>
      <c r="X4" s="2538"/>
      <c r="Y4" s="2537" t="s">
        <v>76</v>
      </c>
      <c r="Z4" s="2537"/>
      <c r="AA4" s="2537"/>
      <c r="AB4" s="2538"/>
    </row>
    <row r="5" spans="1:28" s="120" customFormat="1" ht="12.75" customHeight="1">
      <c r="A5" s="2299"/>
      <c r="B5" s="2539" t="s">
        <v>804</v>
      </c>
      <c r="C5" s="2539"/>
      <c r="D5" s="2539"/>
      <c r="E5" s="2539"/>
      <c r="F5" s="2528" t="s">
        <v>833</v>
      </c>
      <c r="G5" s="2528"/>
      <c r="H5" s="2299"/>
      <c r="I5" s="2295" t="s">
        <v>833</v>
      </c>
      <c r="J5" s="2530"/>
      <c r="K5" s="2539" t="s">
        <v>143</v>
      </c>
      <c r="L5" s="2539"/>
      <c r="M5" s="2539"/>
      <c r="N5" s="2539"/>
      <c r="O5" s="2295" t="s">
        <v>477</v>
      </c>
      <c r="P5" s="2530"/>
      <c r="Q5" s="2530"/>
      <c r="R5" s="2531"/>
      <c r="S5" s="2299"/>
      <c r="T5" s="2526"/>
      <c r="U5" s="2324" t="s">
        <v>786</v>
      </c>
      <c r="V5" s="2324" t="s">
        <v>1169</v>
      </c>
      <c r="W5" s="2324" t="s">
        <v>762</v>
      </c>
      <c r="X5" s="2324" t="s">
        <v>77</v>
      </c>
      <c r="Y5" s="2324" t="s">
        <v>787</v>
      </c>
      <c r="Z5" s="2534" t="s">
        <v>74</v>
      </c>
      <c r="AA5" s="2324" t="s">
        <v>29</v>
      </c>
      <c r="AB5" s="2548" t="s">
        <v>764</v>
      </c>
    </row>
    <row r="6" spans="1:28" s="80" customFormat="1" ht="25.5" customHeight="1">
      <c r="A6" s="2300"/>
      <c r="B6" s="899" t="s">
        <v>73</v>
      </c>
      <c r="C6" s="899" t="s">
        <v>74</v>
      </c>
      <c r="D6" s="899" t="s">
        <v>29</v>
      </c>
      <c r="E6" s="899" t="s">
        <v>759</v>
      </c>
      <c r="F6" s="899" t="s">
        <v>73</v>
      </c>
      <c r="G6" s="899" t="s">
        <v>74</v>
      </c>
      <c r="H6" s="2300"/>
      <c r="I6" s="899" t="s">
        <v>785</v>
      </c>
      <c r="J6" s="899" t="s">
        <v>760</v>
      </c>
      <c r="K6" s="899" t="s">
        <v>763</v>
      </c>
      <c r="L6" s="899" t="s">
        <v>74</v>
      </c>
      <c r="M6" s="899" t="s">
        <v>29</v>
      </c>
      <c r="N6" s="899" t="s">
        <v>784</v>
      </c>
      <c r="O6" s="899" t="s">
        <v>805</v>
      </c>
      <c r="P6" s="899" t="s">
        <v>74</v>
      </c>
      <c r="Q6" s="899" t="s">
        <v>761</v>
      </c>
      <c r="R6" s="899" t="s">
        <v>838</v>
      </c>
      <c r="S6" s="2300"/>
      <c r="T6" s="2526"/>
      <c r="U6" s="2324"/>
      <c r="V6" s="2324"/>
      <c r="W6" s="2324"/>
      <c r="X6" s="2324"/>
      <c r="Y6" s="2324"/>
      <c r="Z6" s="2330"/>
      <c r="AA6" s="2324"/>
      <c r="AB6" s="2548"/>
    </row>
    <row r="7" spans="1:28" s="55" customFormat="1" ht="13.5" customHeight="1">
      <c r="A7" s="135">
        <v>1993</v>
      </c>
      <c r="B7" s="137">
        <v>1738.3</v>
      </c>
      <c r="C7" s="137">
        <v>1769.7</v>
      </c>
      <c r="D7" s="137">
        <v>-31.9</v>
      </c>
      <c r="E7" s="135">
        <v>64492</v>
      </c>
      <c r="F7" s="137">
        <v>195.1</v>
      </c>
      <c r="G7" s="137">
        <v>91.85</v>
      </c>
      <c r="H7" s="135">
        <v>1993</v>
      </c>
      <c r="I7" s="137">
        <v>54.36</v>
      </c>
      <c r="J7" s="135">
        <v>826</v>
      </c>
      <c r="K7" s="137">
        <v>835.92</v>
      </c>
      <c r="L7" s="137">
        <v>813.51</v>
      </c>
      <c r="M7" s="137">
        <v>3.23</v>
      </c>
      <c r="N7" s="135">
        <v>18276</v>
      </c>
      <c r="O7" s="137">
        <v>2769.32</v>
      </c>
      <c r="P7" s="137">
        <v>2675.06</v>
      </c>
      <c r="Q7" s="137">
        <v>25.69</v>
      </c>
      <c r="R7" s="135">
        <v>83594</v>
      </c>
      <c r="S7" s="135">
        <v>1993</v>
      </c>
      <c r="T7" s="79" t="s">
        <v>542</v>
      </c>
      <c r="U7" s="137">
        <v>665.13</v>
      </c>
      <c r="V7" s="137">
        <v>188.71</v>
      </c>
      <c r="W7" s="137">
        <v>476.42</v>
      </c>
      <c r="X7" s="135">
        <v>6435</v>
      </c>
      <c r="Y7" s="137">
        <v>186.68</v>
      </c>
      <c r="Z7" s="137">
        <v>511.26</v>
      </c>
      <c r="AA7" s="137">
        <v>-330.69</v>
      </c>
      <c r="AB7" s="135">
        <v>16871</v>
      </c>
    </row>
    <row r="8" spans="1:28" s="55" customFormat="1" ht="13.5" customHeight="1">
      <c r="A8" s="321">
        <v>1994</v>
      </c>
      <c r="B8" s="322">
        <v>1702.56</v>
      </c>
      <c r="C8" s="322">
        <v>1683.24</v>
      </c>
      <c r="D8" s="322">
        <v>18.82</v>
      </c>
      <c r="E8" s="321">
        <v>63804</v>
      </c>
      <c r="F8" s="322">
        <v>242.36</v>
      </c>
      <c r="G8" s="322">
        <v>105.74</v>
      </c>
      <c r="H8" s="321">
        <v>1994</v>
      </c>
      <c r="I8" s="322">
        <v>68.319999999999993</v>
      </c>
      <c r="J8" s="321">
        <v>888</v>
      </c>
      <c r="K8" s="322">
        <v>851.89</v>
      </c>
      <c r="L8" s="322">
        <v>801.25</v>
      </c>
      <c r="M8" s="322">
        <v>14.8</v>
      </c>
      <c r="N8" s="321">
        <v>18794</v>
      </c>
      <c r="O8" s="322">
        <v>2796.81</v>
      </c>
      <c r="P8" s="322">
        <v>2590.23</v>
      </c>
      <c r="Q8" s="322">
        <v>101.94</v>
      </c>
      <c r="R8" s="321">
        <v>83486</v>
      </c>
      <c r="S8" s="321">
        <v>1994</v>
      </c>
      <c r="T8" s="323" t="s">
        <v>543</v>
      </c>
      <c r="U8" s="322">
        <v>838.06</v>
      </c>
      <c r="V8" s="322">
        <v>239.33</v>
      </c>
      <c r="W8" s="322">
        <v>598.73</v>
      </c>
      <c r="X8" s="321">
        <v>6345</v>
      </c>
      <c r="Y8" s="322">
        <v>310.63</v>
      </c>
      <c r="Z8" s="322">
        <v>617.73</v>
      </c>
      <c r="AA8" s="322">
        <v>-307.10000000000002</v>
      </c>
      <c r="AB8" s="321">
        <v>16856</v>
      </c>
    </row>
    <row r="9" spans="1:28" s="55" customFormat="1" ht="13.5" customHeight="1">
      <c r="A9" s="135">
        <v>1995</v>
      </c>
      <c r="B9" s="137">
        <v>1982.08</v>
      </c>
      <c r="C9" s="137">
        <v>1869.11</v>
      </c>
      <c r="D9" s="137">
        <v>112.37</v>
      </c>
      <c r="E9" s="135">
        <v>63803</v>
      </c>
      <c r="F9" s="137">
        <v>335.65</v>
      </c>
      <c r="G9" s="137">
        <v>151.38999999999999</v>
      </c>
      <c r="H9" s="135">
        <v>1995</v>
      </c>
      <c r="I9" s="137">
        <v>90.76</v>
      </c>
      <c r="J9" s="135">
        <v>966</v>
      </c>
      <c r="K9" s="137">
        <v>943.89</v>
      </c>
      <c r="L9" s="137">
        <v>831.99</v>
      </c>
      <c r="M9" s="137">
        <v>56.56</v>
      </c>
      <c r="N9" s="135">
        <v>20083</v>
      </c>
      <c r="O9" s="137">
        <v>3261.62</v>
      </c>
      <c r="P9" s="137">
        <v>2964.39</v>
      </c>
      <c r="Q9" s="137">
        <v>259.69</v>
      </c>
      <c r="R9" s="135">
        <v>84852</v>
      </c>
      <c r="S9" s="135">
        <v>1995</v>
      </c>
      <c r="T9" s="79" t="s">
        <v>544</v>
      </c>
      <c r="U9" s="137">
        <v>840.64</v>
      </c>
      <c r="V9" s="137">
        <v>310.44</v>
      </c>
      <c r="W9" s="137">
        <v>530.20000000000005</v>
      </c>
      <c r="X9" s="135">
        <v>6281</v>
      </c>
      <c r="Y9" s="137">
        <v>235.97</v>
      </c>
      <c r="Z9" s="137">
        <v>528.04</v>
      </c>
      <c r="AA9" s="137">
        <v>-292.07</v>
      </c>
      <c r="AB9" s="135">
        <v>16459</v>
      </c>
    </row>
    <row r="10" spans="1:28" s="55" customFormat="1" ht="13.5" customHeight="1">
      <c r="A10" s="321">
        <v>1996</v>
      </c>
      <c r="B10" s="322">
        <v>2249.11</v>
      </c>
      <c r="C10" s="322">
        <v>2220.5</v>
      </c>
      <c r="D10" s="322">
        <v>28.11</v>
      </c>
      <c r="E10" s="321">
        <v>63731</v>
      </c>
      <c r="F10" s="322">
        <v>408.46</v>
      </c>
      <c r="G10" s="322">
        <v>221.73</v>
      </c>
      <c r="H10" s="321">
        <v>1996</v>
      </c>
      <c r="I10" s="322">
        <v>98.72</v>
      </c>
      <c r="J10" s="321">
        <v>1016</v>
      </c>
      <c r="K10" s="322">
        <v>1132.23</v>
      </c>
      <c r="L10" s="322">
        <v>939.75</v>
      </c>
      <c r="M10" s="322">
        <v>131.49</v>
      </c>
      <c r="N10" s="321">
        <v>21140</v>
      </c>
      <c r="O10" s="322">
        <v>3789.8</v>
      </c>
      <c r="P10" s="322">
        <v>3381.98</v>
      </c>
      <c r="Q10" s="322">
        <v>258.32</v>
      </c>
      <c r="R10" s="321">
        <v>85887</v>
      </c>
      <c r="S10" s="321">
        <v>1996</v>
      </c>
      <c r="T10" s="323" t="s">
        <v>545</v>
      </c>
      <c r="U10" s="322">
        <v>936.03</v>
      </c>
      <c r="V10" s="322">
        <v>301.69</v>
      </c>
      <c r="W10" s="322">
        <v>634.34</v>
      </c>
      <c r="X10" s="321">
        <v>6215</v>
      </c>
      <c r="Y10" s="322">
        <v>410.88</v>
      </c>
      <c r="Z10" s="322">
        <v>615.38</v>
      </c>
      <c r="AA10" s="322">
        <v>-204.5</v>
      </c>
      <c r="AB10" s="321">
        <v>16273</v>
      </c>
    </row>
    <row r="11" spans="1:28" s="55" customFormat="1" ht="13.5" customHeight="1">
      <c r="A11" s="135">
        <v>1997</v>
      </c>
      <c r="B11" s="137">
        <v>2574.08</v>
      </c>
      <c r="C11" s="137">
        <v>2556.81</v>
      </c>
      <c r="D11" s="137">
        <v>16.77</v>
      </c>
      <c r="E11" s="135">
        <v>62723</v>
      </c>
      <c r="F11" s="137">
        <v>564.1</v>
      </c>
      <c r="G11" s="137">
        <v>335.64</v>
      </c>
      <c r="H11" s="135">
        <v>1997</v>
      </c>
      <c r="I11" s="137">
        <v>134.21</v>
      </c>
      <c r="J11" s="135">
        <v>1125</v>
      </c>
      <c r="K11" s="137">
        <v>1414.22</v>
      </c>
      <c r="L11" s="137">
        <v>1180.04</v>
      </c>
      <c r="M11" s="137">
        <v>144.47999999999999</v>
      </c>
      <c r="N11" s="135">
        <v>22194</v>
      </c>
      <c r="O11" s="137">
        <v>4552.3999999999996</v>
      </c>
      <c r="P11" s="137">
        <v>4072.49</v>
      </c>
      <c r="Q11" s="137">
        <v>295.45999999999998</v>
      </c>
      <c r="R11" s="135">
        <v>86042</v>
      </c>
      <c r="S11" s="135">
        <v>1997</v>
      </c>
      <c r="T11" s="79" t="s">
        <v>546</v>
      </c>
      <c r="U11" s="137">
        <v>1059.3900000000001</v>
      </c>
      <c r="V11" s="137">
        <v>288.75</v>
      </c>
      <c r="W11" s="137">
        <v>770.64</v>
      </c>
      <c r="X11" s="135">
        <v>6129</v>
      </c>
      <c r="Y11" s="137">
        <v>440.48</v>
      </c>
      <c r="Z11" s="137">
        <v>701.5</v>
      </c>
      <c r="AA11" s="137">
        <v>-261.02</v>
      </c>
      <c r="AB11" s="135">
        <v>16342</v>
      </c>
    </row>
    <row r="12" spans="1:28" s="55" customFormat="1" ht="13.5" customHeight="1">
      <c r="A12" s="321">
        <v>1998</v>
      </c>
      <c r="B12" s="322">
        <v>2815.17</v>
      </c>
      <c r="C12" s="322">
        <v>2808.69</v>
      </c>
      <c r="D12" s="322">
        <v>-5.98</v>
      </c>
      <c r="E12" s="321">
        <v>63583</v>
      </c>
      <c r="F12" s="322">
        <v>585.59</v>
      </c>
      <c r="G12" s="322">
        <v>326.62</v>
      </c>
      <c r="H12" s="321">
        <v>1998</v>
      </c>
      <c r="I12" s="322">
        <v>149.43</v>
      </c>
      <c r="J12" s="321">
        <v>1262</v>
      </c>
      <c r="K12" s="322">
        <v>1696.46</v>
      </c>
      <c r="L12" s="322">
        <v>1457.83</v>
      </c>
      <c r="M12" s="322">
        <v>158.35</v>
      </c>
      <c r="N12" s="321">
        <v>22893</v>
      </c>
      <c r="O12" s="322">
        <v>5097.22</v>
      </c>
      <c r="P12" s="322">
        <v>4593.1400000000003</v>
      </c>
      <c r="Q12" s="322">
        <v>301.8</v>
      </c>
      <c r="R12" s="321">
        <v>87738</v>
      </c>
      <c r="S12" s="321">
        <v>1998</v>
      </c>
      <c r="T12" s="323" t="s">
        <v>547</v>
      </c>
      <c r="U12" s="322">
        <v>1171.56</v>
      </c>
      <c r="V12" s="322">
        <v>384.7</v>
      </c>
      <c r="W12" s="322">
        <v>786.86</v>
      </c>
      <c r="X12" s="321">
        <v>6178</v>
      </c>
      <c r="Y12" s="322">
        <v>492.91</v>
      </c>
      <c r="Z12" s="322">
        <v>766.77</v>
      </c>
      <c r="AA12" s="322">
        <v>-296.7</v>
      </c>
      <c r="AB12" s="321">
        <v>16114</v>
      </c>
    </row>
    <row r="13" spans="1:28" s="55" customFormat="1" ht="13.5" customHeight="1">
      <c r="A13" s="135">
        <v>1999</v>
      </c>
      <c r="B13" s="137">
        <v>3161.26</v>
      </c>
      <c r="C13" s="137">
        <v>3164.79</v>
      </c>
      <c r="D13" s="137">
        <v>-16.66</v>
      </c>
      <c r="E13" s="135">
        <v>62419</v>
      </c>
      <c r="F13" s="137">
        <v>713.65</v>
      </c>
      <c r="G13" s="137">
        <v>447.39</v>
      </c>
      <c r="H13" s="135">
        <v>1999</v>
      </c>
      <c r="I13" s="137">
        <v>149.69999999999999</v>
      </c>
      <c r="J13" s="135">
        <v>1311</v>
      </c>
      <c r="K13" s="137">
        <v>2094.5100000000002</v>
      </c>
      <c r="L13" s="137">
        <v>1760.92</v>
      </c>
      <c r="M13" s="137">
        <v>178.44</v>
      </c>
      <c r="N13" s="135">
        <v>24281</v>
      </c>
      <c r="O13" s="137">
        <v>5969.42</v>
      </c>
      <c r="P13" s="137">
        <v>5373.1</v>
      </c>
      <c r="Q13" s="137">
        <v>311.48</v>
      </c>
      <c r="R13" s="135">
        <v>88011</v>
      </c>
      <c r="S13" s="135">
        <v>1999</v>
      </c>
      <c r="T13" s="79" t="s">
        <v>548</v>
      </c>
      <c r="U13" s="137">
        <v>1159.3499999999999</v>
      </c>
      <c r="V13" s="137">
        <v>363.37</v>
      </c>
      <c r="W13" s="137">
        <v>795.98</v>
      </c>
      <c r="X13" s="135">
        <v>6061</v>
      </c>
      <c r="Y13" s="137">
        <v>598.45000000000005</v>
      </c>
      <c r="Z13" s="137">
        <v>766</v>
      </c>
      <c r="AA13" s="137">
        <v>-532.37</v>
      </c>
      <c r="AB13" s="135">
        <v>16036</v>
      </c>
    </row>
    <row r="14" spans="1:28" s="55" customFormat="1" ht="13.5" customHeight="1">
      <c r="A14" s="321">
        <v>2000</v>
      </c>
      <c r="B14" s="322">
        <v>3726.27</v>
      </c>
      <c r="C14" s="322">
        <v>3532.16</v>
      </c>
      <c r="D14" s="322">
        <v>24.58</v>
      </c>
      <c r="E14" s="321">
        <v>62091</v>
      </c>
      <c r="F14" s="322">
        <v>967.5</v>
      </c>
      <c r="G14" s="322">
        <v>548.08000000000004</v>
      </c>
      <c r="H14" s="321">
        <v>2000</v>
      </c>
      <c r="I14" s="322">
        <v>220.46</v>
      </c>
      <c r="J14" s="321">
        <v>1280</v>
      </c>
      <c r="K14" s="322">
        <v>3267.62</v>
      </c>
      <c r="L14" s="322">
        <v>2462.09</v>
      </c>
      <c r="M14" s="322">
        <v>309.97000000000003</v>
      </c>
      <c r="N14" s="321">
        <v>25975</v>
      </c>
      <c r="O14" s="322">
        <v>7961.39</v>
      </c>
      <c r="P14" s="322">
        <v>6542.33</v>
      </c>
      <c r="Q14" s="322">
        <v>555.01</v>
      </c>
      <c r="R14" s="321">
        <v>89346</v>
      </c>
      <c r="S14" s="321">
        <v>2000</v>
      </c>
      <c r="T14" s="323" t="s">
        <v>549</v>
      </c>
      <c r="U14" s="322">
        <v>1172.58</v>
      </c>
      <c r="V14" s="322">
        <v>456.64</v>
      </c>
      <c r="W14" s="322">
        <v>715.95</v>
      </c>
      <c r="X14" s="321">
        <v>5926</v>
      </c>
      <c r="Y14" s="322">
        <v>820.34</v>
      </c>
      <c r="Z14" s="322">
        <v>736.36</v>
      </c>
      <c r="AA14" s="322">
        <v>79.81</v>
      </c>
      <c r="AB14" s="321">
        <v>16164</v>
      </c>
    </row>
    <row r="15" spans="1:28" s="55" customFormat="1" ht="13.5" customHeight="1">
      <c r="A15" s="135">
        <v>2001</v>
      </c>
      <c r="B15" s="137">
        <v>3878.16</v>
      </c>
      <c r="C15" s="137">
        <v>3735.96</v>
      </c>
      <c r="D15" s="137">
        <v>38.24</v>
      </c>
      <c r="E15" s="135">
        <v>61325</v>
      </c>
      <c r="F15" s="137">
        <v>1068.9100000000001</v>
      </c>
      <c r="G15" s="137">
        <v>588.16999999999996</v>
      </c>
      <c r="H15" s="135">
        <v>2001</v>
      </c>
      <c r="I15" s="137">
        <v>259.81</v>
      </c>
      <c r="J15" s="135">
        <v>1588</v>
      </c>
      <c r="K15" s="137">
        <v>4321</v>
      </c>
      <c r="L15" s="137">
        <v>3126</v>
      </c>
      <c r="M15" s="137">
        <v>514.48</v>
      </c>
      <c r="N15" s="135">
        <v>28068</v>
      </c>
      <c r="O15" s="137">
        <v>9268.07</v>
      </c>
      <c r="P15" s="137">
        <v>7450.13</v>
      </c>
      <c r="Q15" s="137">
        <v>812.53</v>
      </c>
      <c r="R15" s="135">
        <v>90981</v>
      </c>
      <c r="S15" s="135">
        <v>2001</v>
      </c>
      <c r="T15" s="79" t="s">
        <v>550</v>
      </c>
      <c r="U15" s="137">
        <v>1133.1500000000001</v>
      </c>
      <c r="V15" s="137">
        <v>183.34</v>
      </c>
      <c r="W15" s="137">
        <v>949.41</v>
      </c>
      <c r="X15" s="135">
        <v>5769</v>
      </c>
      <c r="Y15" s="137">
        <v>636.39</v>
      </c>
      <c r="Z15" s="137">
        <v>748.34</v>
      </c>
      <c r="AA15" s="137">
        <v>-114.64</v>
      </c>
      <c r="AB15" s="135">
        <v>16475</v>
      </c>
    </row>
    <row r="16" spans="1:28" s="55" customFormat="1" ht="13.5" customHeight="1">
      <c r="A16" s="321">
        <v>2002</v>
      </c>
      <c r="B16" s="322">
        <v>3665.52</v>
      </c>
      <c r="C16" s="322">
        <v>3420.35</v>
      </c>
      <c r="D16" s="322">
        <v>19.88</v>
      </c>
      <c r="E16" s="321">
        <v>60169</v>
      </c>
      <c r="F16" s="322">
        <v>1061.9000000000001</v>
      </c>
      <c r="G16" s="322">
        <v>570.79</v>
      </c>
      <c r="H16" s="321">
        <v>2002</v>
      </c>
      <c r="I16" s="322">
        <v>224.08</v>
      </c>
      <c r="J16" s="321">
        <v>1305</v>
      </c>
      <c r="K16" s="322">
        <v>5021.55</v>
      </c>
      <c r="L16" s="322">
        <v>3930.87</v>
      </c>
      <c r="M16" s="322">
        <v>458.79</v>
      </c>
      <c r="N16" s="321">
        <v>28336</v>
      </c>
      <c r="O16" s="322">
        <v>9748.9699999999993</v>
      </c>
      <c r="P16" s="322">
        <v>7922.01</v>
      </c>
      <c r="Q16" s="322">
        <v>702.75</v>
      </c>
      <c r="R16" s="321">
        <v>89810</v>
      </c>
      <c r="S16" s="321">
        <v>2002</v>
      </c>
      <c r="T16" s="323" t="s">
        <v>551</v>
      </c>
      <c r="U16" s="322">
        <v>1725.62</v>
      </c>
      <c r="V16" s="322">
        <v>365.57</v>
      </c>
      <c r="W16" s="322">
        <v>760.05</v>
      </c>
      <c r="X16" s="321">
        <v>5576</v>
      </c>
      <c r="Y16" s="322">
        <v>738.53</v>
      </c>
      <c r="Z16" s="322">
        <v>768.85</v>
      </c>
      <c r="AA16" s="322">
        <v>-24.32</v>
      </c>
      <c r="AB16" s="321">
        <v>15837</v>
      </c>
    </row>
    <row r="17" spans="1:28" s="55" customFormat="1" ht="13.5" customHeight="1">
      <c r="A17" s="135">
        <v>2003</v>
      </c>
      <c r="B17" s="137">
        <v>4165.22</v>
      </c>
      <c r="C17" s="137">
        <v>3860.79</v>
      </c>
      <c r="D17" s="137">
        <v>68.209999999999994</v>
      </c>
      <c r="E17" s="135">
        <v>58629</v>
      </c>
      <c r="F17" s="137">
        <v>772.93</v>
      </c>
      <c r="G17" s="137">
        <v>252.27</v>
      </c>
      <c r="H17" s="135">
        <v>2003</v>
      </c>
      <c r="I17" s="137">
        <v>276.44</v>
      </c>
      <c r="J17" s="135">
        <v>1409</v>
      </c>
      <c r="K17" s="137">
        <v>5921.25</v>
      </c>
      <c r="L17" s="137">
        <v>4543.82</v>
      </c>
      <c r="M17" s="137">
        <v>475.59</v>
      </c>
      <c r="N17" s="135">
        <v>32576</v>
      </c>
      <c r="O17" s="137">
        <v>10859.4</v>
      </c>
      <c r="P17" s="137">
        <v>8656.8799999999992</v>
      </c>
      <c r="Q17" s="137">
        <v>820.24</v>
      </c>
      <c r="R17" s="135">
        <v>92614</v>
      </c>
      <c r="S17" s="135">
        <v>2003</v>
      </c>
      <c r="T17" s="79" t="s">
        <v>552</v>
      </c>
      <c r="U17" s="137">
        <v>2100.69</v>
      </c>
      <c r="V17" s="137">
        <v>1161.21</v>
      </c>
      <c r="W17" s="137">
        <v>939.48</v>
      </c>
      <c r="X17" s="135">
        <v>5461</v>
      </c>
      <c r="Y17" s="137">
        <v>693.26</v>
      </c>
      <c r="Z17" s="137">
        <v>773.15</v>
      </c>
      <c r="AA17" s="137">
        <v>-87.89</v>
      </c>
      <c r="AB17" s="135">
        <v>15300</v>
      </c>
    </row>
    <row r="18" spans="1:28" s="55" customFormat="1" ht="13.5" customHeight="1">
      <c r="A18" s="321">
        <v>2004</v>
      </c>
      <c r="B18" s="322">
        <v>4008.46</v>
      </c>
      <c r="C18" s="322">
        <v>3693.77</v>
      </c>
      <c r="D18" s="322">
        <v>-1904.72</v>
      </c>
      <c r="E18" s="321">
        <v>57588</v>
      </c>
      <c r="F18" s="322">
        <v>1294.25</v>
      </c>
      <c r="G18" s="322">
        <v>640.37</v>
      </c>
      <c r="H18" s="321">
        <v>2004</v>
      </c>
      <c r="I18" s="322">
        <v>392.01</v>
      </c>
      <c r="J18" s="321">
        <v>1394</v>
      </c>
      <c r="K18" s="322">
        <v>7305.97</v>
      </c>
      <c r="L18" s="322">
        <v>5293.89</v>
      </c>
      <c r="M18" s="322">
        <v>736.49</v>
      </c>
      <c r="N18" s="321">
        <v>34786</v>
      </c>
      <c r="O18" s="322">
        <v>12608.68</v>
      </c>
      <c r="P18" s="322">
        <v>9628.0300000000007</v>
      </c>
      <c r="Q18" s="322">
        <v>-776.22</v>
      </c>
      <c r="R18" s="321">
        <v>93768</v>
      </c>
      <c r="S18" s="321">
        <v>2004</v>
      </c>
      <c r="T18" s="323" t="s">
        <v>553</v>
      </c>
      <c r="U18" s="322">
        <v>2415.7800000000002</v>
      </c>
      <c r="V18" s="322">
        <v>523.91</v>
      </c>
      <c r="W18" s="322">
        <v>1891.87</v>
      </c>
      <c r="X18" s="321">
        <v>5596</v>
      </c>
      <c r="Y18" s="322">
        <v>646.38</v>
      </c>
      <c r="Z18" s="322">
        <v>854.92</v>
      </c>
      <c r="AA18" s="322">
        <v>-240.68</v>
      </c>
      <c r="AB18" s="321">
        <v>14350</v>
      </c>
    </row>
    <row r="19" spans="1:28" s="55" customFormat="1" ht="13.5" customHeight="1">
      <c r="A19" s="135">
        <v>2005</v>
      </c>
      <c r="B19" s="137">
        <v>4836.34</v>
      </c>
      <c r="C19" s="137">
        <v>3814.7</v>
      </c>
      <c r="D19" s="137">
        <v>-1209.4100000000001</v>
      </c>
      <c r="E19" s="135">
        <v>56417</v>
      </c>
      <c r="F19" s="137">
        <v>1367.59</v>
      </c>
      <c r="G19" s="137">
        <v>529.5</v>
      </c>
      <c r="H19" s="135">
        <v>2005</v>
      </c>
      <c r="I19" s="137">
        <v>470.18</v>
      </c>
      <c r="J19" s="135">
        <v>1713</v>
      </c>
      <c r="K19" s="137">
        <v>9140.17</v>
      </c>
      <c r="L19" s="137">
        <v>6599.97</v>
      </c>
      <c r="M19" s="137">
        <v>954.71</v>
      </c>
      <c r="N19" s="135">
        <v>36715</v>
      </c>
      <c r="O19" s="137">
        <v>15344.1</v>
      </c>
      <c r="P19" s="137">
        <v>10944.17</v>
      </c>
      <c r="Q19" s="137">
        <v>215.48</v>
      </c>
      <c r="R19" s="135">
        <v>94845</v>
      </c>
      <c r="S19" s="135">
        <v>2005</v>
      </c>
      <c r="T19" s="79" t="s">
        <v>558</v>
      </c>
      <c r="U19" s="137">
        <v>3621.5</v>
      </c>
      <c r="V19" s="137">
        <v>1217.48</v>
      </c>
      <c r="W19" s="137">
        <f>U19-V19</f>
        <v>2404.02</v>
      </c>
      <c r="X19" s="135">
        <v>5481</v>
      </c>
      <c r="Y19" s="137">
        <v>1026.0899999999999</v>
      </c>
      <c r="Z19" s="137">
        <v>1088.9000000000001</v>
      </c>
      <c r="AA19" s="137">
        <v>-123</v>
      </c>
      <c r="AB19" s="135">
        <v>15406</v>
      </c>
    </row>
    <row r="20" spans="1:28" s="55" customFormat="1" ht="13.5" customHeight="1">
      <c r="A20" s="321">
        <v>2006</v>
      </c>
      <c r="B20" s="321">
        <v>5657.36</v>
      </c>
      <c r="C20" s="321">
        <v>4551.7700000000004</v>
      </c>
      <c r="D20" s="321">
        <v>-4415.92</v>
      </c>
      <c r="E20" s="321">
        <v>54591</v>
      </c>
      <c r="F20" s="322">
        <v>2372</v>
      </c>
      <c r="G20" s="321">
        <v>988.01</v>
      </c>
      <c r="H20" s="321">
        <v>2006</v>
      </c>
      <c r="I20" s="321">
        <v>624.12</v>
      </c>
      <c r="J20" s="321">
        <v>2384</v>
      </c>
      <c r="K20" s="321">
        <v>12757.48</v>
      </c>
      <c r="L20" s="321">
        <v>9400.6200000000008</v>
      </c>
      <c r="M20" s="321">
        <v>931.54</v>
      </c>
      <c r="N20" s="321">
        <v>42512</v>
      </c>
      <c r="O20" s="321">
        <v>20786.84</v>
      </c>
      <c r="P20" s="322">
        <v>14940.4</v>
      </c>
      <c r="Q20" s="321">
        <v>-2860.26</v>
      </c>
      <c r="R20" s="321">
        <v>99487</v>
      </c>
      <c r="S20" s="321">
        <v>2006</v>
      </c>
      <c r="T20" s="324" t="s">
        <v>567</v>
      </c>
      <c r="U20" s="325">
        <v>4279.41</v>
      </c>
      <c r="V20" s="325">
        <v>818.83</v>
      </c>
      <c r="W20" s="325">
        <v>3460.58</v>
      </c>
      <c r="X20" s="325">
        <v>5402</v>
      </c>
      <c r="Y20" s="326">
        <v>1234.32</v>
      </c>
      <c r="Z20" s="325">
        <v>1251.53</v>
      </c>
      <c r="AA20" s="326">
        <v>-143.62</v>
      </c>
      <c r="AB20" s="325">
        <v>15515</v>
      </c>
    </row>
    <row r="21" spans="1:28" s="55" customFormat="1" ht="13.5" customHeight="1">
      <c r="A21" s="135">
        <v>2007</v>
      </c>
      <c r="B21" s="135">
        <v>4713.37</v>
      </c>
      <c r="C21" s="135">
        <v>3243.54</v>
      </c>
      <c r="D21" s="137">
        <v>-809.1</v>
      </c>
      <c r="E21" s="135">
        <v>52177</v>
      </c>
      <c r="F21" s="137">
        <v>2656.66</v>
      </c>
      <c r="G21" s="135">
        <v>1266.5899999999999</v>
      </c>
      <c r="H21" s="135">
        <v>2007</v>
      </c>
      <c r="I21" s="135">
        <v>723.33</v>
      </c>
      <c r="J21" s="135">
        <v>2388</v>
      </c>
      <c r="K21" s="135">
        <v>16256.55</v>
      </c>
      <c r="L21" s="135">
        <v>11380.48</v>
      </c>
      <c r="M21" s="135">
        <v>1995.75</v>
      </c>
      <c r="N21" s="135">
        <v>45074</v>
      </c>
      <c r="O21" s="137">
        <v>23392.9</v>
      </c>
      <c r="P21" s="137">
        <v>15872.78</v>
      </c>
      <c r="Q21" s="135">
        <v>1909.98</v>
      </c>
      <c r="R21" s="135">
        <v>99639</v>
      </c>
      <c r="S21" s="135">
        <v>2007</v>
      </c>
      <c r="T21" s="55" t="s">
        <v>330</v>
      </c>
      <c r="U21" s="139">
        <v>4062.03</v>
      </c>
      <c r="V21" s="138">
        <v>909.2</v>
      </c>
      <c r="W21" s="139">
        <v>3152.83</v>
      </c>
      <c r="X21" s="139">
        <f>4031+1273</f>
        <v>5304</v>
      </c>
      <c r="Y21" s="139">
        <v>1472.26</v>
      </c>
      <c r="Z21" s="139">
        <v>1497.07</v>
      </c>
      <c r="AA21" s="139">
        <v>-167.17</v>
      </c>
      <c r="AB21" s="139">
        <v>15400</v>
      </c>
    </row>
    <row r="22" spans="1:28" s="139" customFormat="1" ht="13.5" customHeight="1">
      <c r="A22" s="321">
        <v>2008</v>
      </c>
      <c r="B22" s="321">
        <v>6750.95</v>
      </c>
      <c r="C22" s="321">
        <v>5227.88</v>
      </c>
      <c r="D22" s="321">
        <v>897.68</v>
      </c>
      <c r="E22" s="321">
        <v>53786</v>
      </c>
      <c r="F22" s="322">
        <v>3235.57</v>
      </c>
      <c r="G22" s="322">
        <v>1620.56</v>
      </c>
      <c r="H22" s="321">
        <v>2008</v>
      </c>
      <c r="I22" s="327">
        <v>1138.42</v>
      </c>
      <c r="J22" s="328">
        <v>2384</v>
      </c>
      <c r="K22" s="322">
        <v>21172.7</v>
      </c>
      <c r="L22" s="322">
        <v>14757.53</v>
      </c>
      <c r="M22" s="327">
        <v>2818.66</v>
      </c>
      <c r="N22" s="328">
        <v>46308</v>
      </c>
      <c r="O22" s="322">
        <v>31159.22</v>
      </c>
      <c r="P22" s="322">
        <v>21605.97</v>
      </c>
      <c r="Q22" s="322">
        <v>4854.76</v>
      </c>
      <c r="R22" s="328">
        <v>102478</v>
      </c>
      <c r="S22" s="321">
        <v>2008</v>
      </c>
      <c r="T22" s="324" t="s">
        <v>85</v>
      </c>
      <c r="U22" s="325">
        <v>3088.43</v>
      </c>
      <c r="V22" s="325">
        <v>582.63</v>
      </c>
      <c r="W22" s="326">
        <v>2505.8000000000002</v>
      </c>
      <c r="X22" s="325">
        <v>5259</v>
      </c>
      <c r="Y22" s="326">
        <v>1944.9</v>
      </c>
      <c r="Z22" s="325">
        <v>1685.01</v>
      </c>
      <c r="AA22" s="325">
        <v>40.159999999999997</v>
      </c>
      <c r="AB22" s="325">
        <v>15388</v>
      </c>
    </row>
    <row r="23" spans="1:28" s="139" customFormat="1" ht="13.5" customHeight="1">
      <c r="A23" s="135">
        <v>2009</v>
      </c>
      <c r="B23" s="135">
        <v>8026.68</v>
      </c>
      <c r="C23" s="135">
        <v>6083.51</v>
      </c>
      <c r="D23" s="135">
        <v>931.35</v>
      </c>
      <c r="E23" s="135">
        <v>50600</v>
      </c>
      <c r="F23" s="137">
        <v>2610.9499999999998</v>
      </c>
      <c r="G23" s="137">
        <v>1401.57</v>
      </c>
      <c r="H23" s="135">
        <v>2009</v>
      </c>
      <c r="I23" s="137">
        <v>708.78</v>
      </c>
      <c r="J23" s="144">
        <v>2760</v>
      </c>
      <c r="K23" s="137">
        <v>26262.19</v>
      </c>
      <c r="L23" s="137">
        <v>17911.02</v>
      </c>
      <c r="M23" s="137">
        <v>3947.72</v>
      </c>
      <c r="N23" s="144">
        <v>59874</v>
      </c>
      <c r="O23" s="137">
        <f t="shared" ref="O23:P32" si="0">B23+F23+K23</f>
        <v>36899.82</v>
      </c>
      <c r="P23" s="137">
        <f t="shared" si="0"/>
        <v>25396.1</v>
      </c>
      <c r="Q23" s="137">
        <f t="shared" ref="Q23:R32" si="1">D23+I23+M23</f>
        <v>5587.85</v>
      </c>
      <c r="R23" s="144">
        <f t="shared" si="1"/>
        <v>113234</v>
      </c>
      <c r="S23" s="135">
        <v>2009</v>
      </c>
      <c r="T23" s="55" t="s">
        <v>81</v>
      </c>
      <c r="U23" s="139">
        <v>1926.92</v>
      </c>
      <c r="V23" s="138">
        <v>639.1</v>
      </c>
      <c r="W23" s="138">
        <v>1287.82</v>
      </c>
      <c r="X23" s="139">
        <f>3914+1157</f>
        <v>5071</v>
      </c>
      <c r="Y23" s="139">
        <v>2327.42</v>
      </c>
      <c r="Z23" s="139">
        <v>2053.65</v>
      </c>
      <c r="AA23" s="139">
        <v>105.76</v>
      </c>
      <c r="AB23" s="139">
        <v>15293</v>
      </c>
    </row>
    <row r="24" spans="1:28" s="139" customFormat="1" ht="13.5" customHeight="1">
      <c r="A24" s="321">
        <v>2010</v>
      </c>
      <c r="B24" s="321">
        <v>10260.459999999999</v>
      </c>
      <c r="C24" s="321">
        <v>7163.33</v>
      </c>
      <c r="D24" s="321">
        <v>1176.26</v>
      </c>
      <c r="E24" s="321">
        <v>50069</v>
      </c>
      <c r="F24" s="322">
        <v>2632.77</v>
      </c>
      <c r="G24" s="322">
        <v>1338.96</v>
      </c>
      <c r="H24" s="321">
        <v>2010</v>
      </c>
      <c r="I24" s="322">
        <v>645.62</v>
      </c>
      <c r="J24" s="328">
        <v>3143</v>
      </c>
      <c r="K24" s="322">
        <v>32873.14</v>
      </c>
      <c r="L24" s="322">
        <v>20435.560000000001</v>
      </c>
      <c r="M24" s="322">
        <v>6032.03</v>
      </c>
      <c r="N24" s="328">
        <v>68720</v>
      </c>
      <c r="O24" s="322">
        <f t="shared" si="0"/>
        <v>45766.369999999995</v>
      </c>
      <c r="P24" s="322">
        <f t="shared" si="0"/>
        <v>28937.850000000002</v>
      </c>
      <c r="Q24" s="322">
        <f t="shared" si="1"/>
        <v>7853.91</v>
      </c>
      <c r="R24" s="328">
        <f t="shared" si="1"/>
        <v>121932</v>
      </c>
      <c r="S24" s="321">
        <v>2010</v>
      </c>
      <c r="T24" s="324" t="s">
        <v>189</v>
      </c>
      <c r="U24" s="325">
        <v>9862.5400000000009</v>
      </c>
      <c r="V24" s="326">
        <v>1019.94</v>
      </c>
      <c r="W24" s="325">
        <v>8842.59</v>
      </c>
      <c r="X24" s="325">
        <f>3848+1030</f>
        <v>4878</v>
      </c>
      <c r="Y24" s="326">
        <v>2610.5</v>
      </c>
      <c r="Z24" s="326">
        <v>2494.17</v>
      </c>
      <c r="AA24" s="325">
        <v>-58.41</v>
      </c>
      <c r="AB24" s="325">
        <v>14367</v>
      </c>
    </row>
    <row r="25" spans="1:28" s="358" customFormat="1" ht="13.5" customHeight="1">
      <c r="A25" s="485">
        <v>2011</v>
      </c>
      <c r="B25" s="486">
        <v>13224.12</v>
      </c>
      <c r="C25" s="486">
        <v>8569.5</v>
      </c>
      <c r="D25" s="485">
        <v>1799.33</v>
      </c>
      <c r="E25" s="485">
        <v>54025</v>
      </c>
      <c r="F25" s="486">
        <v>4378.41</v>
      </c>
      <c r="G25" s="486">
        <v>1925.6</v>
      </c>
      <c r="H25" s="485">
        <v>2011</v>
      </c>
      <c r="I25" s="486">
        <v>781.04</v>
      </c>
      <c r="J25" s="487">
        <v>3137</v>
      </c>
      <c r="K25" s="486">
        <v>41050.18</v>
      </c>
      <c r="L25" s="486">
        <v>29079.7</v>
      </c>
      <c r="M25" s="486">
        <v>6999.28</v>
      </c>
      <c r="N25" s="487">
        <v>75649</v>
      </c>
      <c r="O25" s="486">
        <f t="shared" si="0"/>
        <v>58652.71</v>
      </c>
      <c r="P25" s="486">
        <f t="shared" si="0"/>
        <v>39574.800000000003</v>
      </c>
      <c r="Q25" s="137">
        <f t="shared" si="1"/>
        <v>9579.65</v>
      </c>
      <c r="R25" s="144">
        <f t="shared" si="1"/>
        <v>132811</v>
      </c>
      <c r="S25" s="485">
        <v>2011</v>
      </c>
      <c r="T25" s="166" t="s">
        <v>1030</v>
      </c>
      <c r="U25" s="358">
        <v>8522.74</v>
      </c>
      <c r="V25" s="377">
        <v>1490.9978000000001</v>
      </c>
      <c r="W25" s="358">
        <v>7031.75</v>
      </c>
      <c r="X25" s="358">
        <v>4958</v>
      </c>
      <c r="Y25" s="377">
        <v>1818.91</v>
      </c>
      <c r="Z25" s="377">
        <v>1996.95</v>
      </c>
      <c r="AA25" s="377">
        <v>-208.04</v>
      </c>
      <c r="AB25" s="358">
        <v>13879</v>
      </c>
    </row>
    <row r="26" spans="1:28" s="358" customFormat="1" ht="13.5" customHeight="1">
      <c r="A26" s="321">
        <v>2012</v>
      </c>
      <c r="B26" s="322">
        <v>15725.253306500001</v>
      </c>
      <c r="C26" s="322">
        <v>11794.0446276</v>
      </c>
      <c r="D26" s="322">
        <v>-6522.876828200001</v>
      </c>
      <c r="E26" s="321">
        <v>57989</v>
      </c>
      <c r="F26" s="322">
        <v>5603.3493125000005</v>
      </c>
      <c r="G26" s="322">
        <v>2796.43</v>
      </c>
      <c r="H26" s="321">
        <v>2012</v>
      </c>
      <c r="I26" s="322">
        <v>1465.1193717000001</v>
      </c>
      <c r="J26" s="328">
        <v>3140</v>
      </c>
      <c r="K26" s="322">
        <v>52221.363523699983</v>
      </c>
      <c r="L26" s="322">
        <v>38973.794740899997</v>
      </c>
      <c r="M26" s="322">
        <v>3962.6805902000001</v>
      </c>
      <c r="N26" s="328">
        <v>81944</v>
      </c>
      <c r="O26" s="322">
        <f t="shared" si="0"/>
        <v>73549.966142699981</v>
      </c>
      <c r="P26" s="322">
        <f t="shared" si="0"/>
        <v>53564.269368499998</v>
      </c>
      <c r="Q26" s="322">
        <f t="shared" si="1"/>
        <v>-1095.0768663000013</v>
      </c>
      <c r="R26" s="328">
        <f t="shared" si="1"/>
        <v>143073</v>
      </c>
      <c r="S26" s="321">
        <v>2012</v>
      </c>
      <c r="T26" s="545" t="s">
        <v>1058</v>
      </c>
      <c r="U26" s="325" t="s">
        <v>292</v>
      </c>
      <c r="V26" s="326" t="s">
        <v>292</v>
      </c>
      <c r="W26" s="325" t="s">
        <v>292</v>
      </c>
      <c r="X26" s="325" t="s">
        <v>292</v>
      </c>
      <c r="Y26" s="325">
        <f>252.03+1340.23</f>
        <v>1592.26</v>
      </c>
      <c r="Z26" s="325">
        <f>149.23+1079.22</f>
        <v>1228.45</v>
      </c>
      <c r="AA26" s="325">
        <f>83.7+2.79</f>
        <v>86.490000000000009</v>
      </c>
      <c r="AB26" s="325">
        <f>857+1657</f>
        <v>2514</v>
      </c>
    </row>
    <row r="27" spans="1:28" s="358" customFormat="1" ht="13.5" customHeight="1">
      <c r="A27" s="485">
        <v>2013</v>
      </c>
      <c r="B27" s="486">
        <v>16728.024012099999</v>
      </c>
      <c r="C27" s="486">
        <v>13949.002911900001</v>
      </c>
      <c r="D27" s="486">
        <v>2258.4407385999998</v>
      </c>
      <c r="E27" s="485">
        <v>58049</v>
      </c>
      <c r="F27" s="486">
        <v>5985.9425159000011</v>
      </c>
      <c r="G27" s="486">
        <v>3007.3867308999997</v>
      </c>
      <c r="H27" s="485">
        <v>2013</v>
      </c>
      <c r="I27" s="486">
        <v>1464.6336643</v>
      </c>
      <c r="J27" s="487">
        <v>3330</v>
      </c>
      <c r="K27" s="486">
        <v>57658.748551799996</v>
      </c>
      <c r="L27" s="486">
        <v>44904.274183500005</v>
      </c>
      <c r="M27" s="486">
        <v>4644.2722049999993</v>
      </c>
      <c r="N27" s="487">
        <v>85888</v>
      </c>
      <c r="O27" s="486">
        <f t="shared" si="0"/>
        <v>80372.715079799993</v>
      </c>
      <c r="P27" s="486">
        <f t="shared" si="0"/>
        <v>61860.663826300006</v>
      </c>
      <c r="Q27" s="486">
        <f t="shared" si="1"/>
        <v>8367.3466078999991</v>
      </c>
      <c r="R27" s="487">
        <f t="shared" si="1"/>
        <v>147267</v>
      </c>
      <c r="S27" s="485">
        <v>2013</v>
      </c>
      <c r="T27" s="544" t="s">
        <v>814</v>
      </c>
      <c r="U27" s="358">
        <v>1685.34</v>
      </c>
      <c r="V27" s="377">
        <v>1380.9365</v>
      </c>
      <c r="W27" s="358">
        <v>304.41000000000003</v>
      </c>
      <c r="X27" s="358">
        <v>5239</v>
      </c>
      <c r="Y27" s="377">
        <v>1794.8927682999999</v>
      </c>
      <c r="Z27" s="377">
        <v>2210.8702908</v>
      </c>
      <c r="AA27" s="377">
        <v>-448.5010825</v>
      </c>
      <c r="AB27" s="358">
        <v>15034</v>
      </c>
    </row>
    <row r="28" spans="1:28" s="358" customFormat="1" ht="13.5" customHeight="1">
      <c r="A28" s="321">
        <v>2014</v>
      </c>
      <c r="B28" s="322">
        <v>18486.490000000002</v>
      </c>
      <c r="C28" s="322">
        <v>15256.82</v>
      </c>
      <c r="D28" s="322">
        <v>1227.44</v>
      </c>
      <c r="E28" s="321">
        <v>56187</v>
      </c>
      <c r="F28" s="322">
        <v>5906.7</v>
      </c>
      <c r="G28" s="322">
        <v>2721.73</v>
      </c>
      <c r="H28" s="321">
        <v>2014</v>
      </c>
      <c r="I28" s="322">
        <v>1706.03</v>
      </c>
      <c r="J28" s="328">
        <v>3880</v>
      </c>
      <c r="K28" s="322">
        <v>61356.65</v>
      </c>
      <c r="L28" s="322">
        <v>46637.05</v>
      </c>
      <c r="M28" s="322">
        <v>5511.02</v>
      </c>
      <c r="N28" s="328">
        <v>93624</v>
      </c>
      <c r="O28" s="322">
        <f t="shared" si="0"/>
        <v>85749.84</v>
      </c>
      <c r="P28" s="322">
        <f t="shared" si="0"/>
        <v>64615.600000000006</v>
      </c>
      <c r="Q28" s="322">
        <f t="shared" si="1"/>
        <v>8444.4900000000016</v>
      </c>
      <c r="R28" s="328">
        <f t="shared" si="1"/>
        <v>153691</v>
      </c>
      <c r="S28" s="321">
        <v>2014</v>
      </c>
      <c r="T28" s="545">
        <v>2013</v>
      </c>
      <c r="U28" s="325" t="s">
        <v>292</v>
      </c>
      <c r="V28" s="326" t="s">
        <v>292</v>
      </c>
      <c r="W28" s="325" t="s">
        <v>292</v>
      </c>
      <c r="X28" s="325" t="s">
        <v>292</v>
      </c>
      <c r="Y28" s="326">
        <v>2163.7902678</v>
      </c>
      <c r="Z28" s="326">
        <v>1791.2615637000001</v>
      </c>
      <c r="AA28" s="326">
        <v>48.857708699999996</v>
      </c>
      <c r="AB28" s="325">
        <v>2971</v>
      </c>
    </row>
    <row r="29" spans="1:28" s="358" customFormat="1" ht="13.5" customHeight="1">
      <c r="A29" s="139">
        <v>2015</v>
      </c>
      <c r="B29" s="88">
        <v>20782.27</v>
      </c>
      <c r="C29" s="88">
        <v>17852.88</v>
      </c>
      <c r="D29" s="633">
        <v>365.93</v>
      </c>
      <c r="E29" s="634">
        <v>58286</v>
      </c>
      <c r="F29" s="381">
        <v>5407.47</v>
      </c>
      <c r="G29" s="381">
        <v>2514.02</v>
      </c>
      <c r="H29" s="139">
        <v>2015</v>
      </c>
      <c r="I29" s="381">
        <v>1695.81</v>
      </c>
      <c r="J29" s="635">
        <v>3876</v>
      </c>
      <c r="K29" s="381">
        <v>64033.43</v>
      </c>
      <c r="L29" s="381">
        <v>48463.98</v>
      </c>
      <c r="M29" s="381">
        <v>6145.79</v>
      </c>
      <c r="N29" s="635">
        <v>92742</v>
      </c>
      <c r="O29" s="486">
        <f t="shared" si="0"/>
        <v>90223.17</v>
      </c>
      <c r="P29" s="486">
        <f t="shared" si="0"/>
        <v>68830.880000000005</v>
      </c>
      <c r="Q29" s="486">
        <f t="shared" si="1"/>
        <v>8207.5299999999988</v>
      </c>
      <c r="R29" s="487">
        <f t="shared" si="1"/>
        <v>154904</v>
      </c>
      <c r="S29" s="139">
        <v>2015</v>
      </c>
      <c r="T29" s="166" t="s">
        <v>991</v>
      </c>
      <c r="U29" s="358">
        <v>5040.63</v>
      </c>
      <c r="V29" s="377">
        <v>1688.81</v>
      </c>
      <c r="W29" s="358">
        <v>3351.83</v>
      </c>
      <c r="X29" s="358">
        <v>5470</v>
      </c>
      <c r="Y29" s="377">
        <v>2035.3</v>
      </c>
      <c r="Z29" s="358">
        <v>2539.12</v>
      </c>
      <c r="AA29" s="358">
        <v>-3504.21</v>
      </c>
      <c r="AB29" s="358">
        <v>14237</v>
      </c>
    </row>
    <row r="30" spans="1:28" s="358" customFormat="1" ht="13.5" customHeight="1">
      <c r="A30" s="325">
        <v>2016</v>
      </c>
      <c r="B30" s="689">
        <v>20405.580000000002</v>
      </c>
      <c r="C30" s="689">
        <v>18437.03</v>
      </c>
      <c r="D30" s="690">
        <v>-363.99</v>
      </c>
      <c r="E30" s="691">
        <v>54405</v>
      </c>
      <c r="F30" s="386">
        <v>4405.96</v>
      </c>
      <c r="G30" s="386">
        <v>2009.23</v>
      </c>
      <c r="H30" s="325">
        <v>2016</v>
      </c>
      <c r="I30" s="386">
        <v>1385.13</v>
      </c>
      <c r="J30" s="692">
        <v>3997</v>
      </c>
      <c r="K30" s="386">
        <v>66053.23</v>
      </c>
      <c r="L30" s="386">
        <v>48304.639999999999</v>
      </c>
      <c r="M30" s="386">
        <v>7075.22</v>
      </c>
      <c r="N30" s="692">
        <v>101622</v>
      </c>
      <c r="O30" s="322">
        <f t="shared" si="0"/>
        <v>90864.76999999999</v>
      </c>
      <c r="P30" s="322">
        <f t="shared" si="0"/>
        <v>68750.899999999994</v>
      </c>
      <c r="Q30" s="322">
        <f t="shared" si="1"/>
        <v>8096.3600000000006</v>
      </c>
      <c r="R30" s="328">
        <f t="shared" si="1"/>
        <v>160024</v>
      </c>
      <c r="S30" s="325">
        <v>2016</v>
      </c>
      <c r="T30" s="545">
        <v>2014</v>
      </c>
      <c r="U30" s="325" t="s">
        <v>292</v>
      </c>
      <c r="V30" s="326" t="s">
        <v>292</v>
      </c>
      <c r="W30" s="325" t="s">
        <v>292</v>
      </c>
      <c r="X30" s="325" t="s">
        <v>292</v>
      </c>
      <c r="Y30" s="325">
        <v>1988.85</v>
      </c>
      <c r="Z30" s="325">
        <v>1951.38</v>
      </c>
      <c r="AA30" s="325">
        <v>2.91</v>
      </c>
      <c r="AB30" s="325">
        <v>3115</v>
      </c>
    </row>
    <row r="31" spans="1:28" ht="13.5" customHeight="1">
      <c r="A31" s="139">
        <v>2017</v>
      </c>
      <c r="B31" s="139">
        <v>20829.87</v>
      </c>
      <c r="C31" s="139">
        <v>17032.490000000002</v>
      </c>
      <c r="D31" s="139">
        <v>1091.04</v>
      </c>
      <c r="E31" s="139">
        <v>51483</v>
      </c>
      <c r="F31" s="139">
        <v>4369.22</v>
      </c>
      <c r="G31" s="139">
        <v>2027.35</v>
      </c>
      <c r="H31" s="139">
        <v>2017</v>
      </c>
      <c r="I31" s="139">
        <v>1324.35</v>
      </c>
      <c r="J31" s="139">
        <v>4003</v>
      </c>
      <c r="K31" s="486">
        <v>71888.84</v>
      </c>
      <c r="L31" s="486">
        <v>53138.79</v>
      </c>
      <c r="M31" s="486">
        <v>6877.83</v>
      </c>
      <c r="N31" s="487">
        <v>107255</v>
      </c>
      <c r="O31" s="486">
        <f t="shared" si="0"/>
        <v>97087.93</v>
      </c>
      <c r="P31" s="486">
        <f t="shared" si="0"/>
        <v>72198.63</v>
      </c>
      <c r="Q31" s="486">
        <f t="shared" si="1"/>
        <v>9293.2199999999993</v>
      </c>
      <c r="R31" s="487">
        <f t="shared" si="1"/>
        <v>162741</v>
      </c>
      <c r="S31" s="485">
        <v>2017</v>
      </c>
      <c r="T31" s="166" t="s">
        <v>1042</v>
      </c>
      <c r="U31" s="358">
        <v>2807.48</v>
      </c>
      <c r="V31" s="377">
        <v>5430.4471999999996</v>
      </c>
      <c r="W31" s="377">
        <v>-2622.97</v>
      </c>
      <c r="X31" s="358">
        <v>6067</v>
      </c>
      <c r="Y31" s="358">
        <v>2105.12</v>
      </c>
      <c r="Z31" s="358">
        <v>2551.56</v>
      </c>
      <c r="AA31" s="377">
        <v>-247.5</v>
      </c>
      <c r="AB31" s="358">
        <v>14094</v>
      </c>
    </row>
    <row r="32" spans="1:28" ht="13.5" customHeight="1">
      <c r="A32" s="325">
        <v>2018</v>
      </c>
      <c r="B32" s="325">
        <v>21746.61</v>
      </c>
      <c r="C32" s="325">
        <v>17483.86</v>
      </c>
      <c r="D32" s="325">
        <v>113.45</v>
      </c>
      <c r="E32" s="325">
        <v>49552</v>
      </c>
      <c r="F32" s="325">
        <v>5123.6499999999996</v>
      </c>
      <c r="G32" s="325">
        <v>2321.98</v>
      </c>
      <c r="H32" s="325">
        <v>2018</v>
      </c>
      <c r="I32" s="325">
        <v>1630.73</v>
      </c>
      <c r="J32" s="325">
        <v>3935</v>
      </c>
      <c r="K32" s="322">
        <v>84994.49</v>
      </c>
      <c r="L32" s="322">
        <v>65262.559999999998</v>
      </c>
      <c r="M32" s="322">
        <v>7866.64</v>
      </c>
      <c r="N32" s="328">
        <v>114080</v>
      </c>
      <c r="O32" s="322">
        <f t="shared" si="0"/>
        <v>111864.75</v>
      </c>
      <c r="P32" s="322">
        <f t="shared" si="0"/>
        <v>85068.4</v>
      </c>
      <c r="Q32" s="322">
        <f t="shared" si="1"/>
        <v>9610.82</v>
      </c>
      <c r="R32" s="328">
        <f t="shared" si="1"/>
        <v>167567</v>
      </c>
      <c r="S32" s="321">
        <v>2018</v>
      </c>
      <c r="T32" s="324" t="s">
        <v>1163</v>
      </c>
      <c r="U32" s="325">
        <v>3502.18</v>
      </c>
      <c r="V32" s="326">
        <v>3349.1619999999998</v>
      </c>
      <c r="W32" s="326">
        <v>153.02000000000001</v>
      </c>
      <c r="X32" s="325">
        <v>5726</v>
      </c>
      <c r="Y32" s="326">
        <v>2060.8000000000002</v>
      </c>
      <c r="Z32" s="326">
        <v>2816.86</v>
      </c>
      <c r="AA32" s="325">
        <v>-674.71</v>
      </c>
      <c r="AB32" s="325">
        <v>13200</v>
      </c>
    </row>
    <row r="33" spans="1:31" ht="13.5" customHeight="1">
      <c r="A33" s="358">
        <v>2019</v>
      </c>
      <c r="B33" s="358">
        <v>22230.95</v>
      </c>
      <c r="C33" s="358">
        <v>18888.73</v>
      </c>
      <c r="D33" s="377">
        <v>155.6</v>
      </c>
      <c r="E33" s="358">
        <v>52002</v>
      </c>
      <c r="F33" s="358">
        <v>7224.31</v>
      </c>
      <c r="G33" s="358">
        <v>3352.81</v>
      </c>
      <c r="H33" s="358">
        <v>2019</v>
      </c>
      <c r="I33" s="358">
        <v>2365.71</v>
      </c>
      <c r="J33" s="358">
        <v>3886</v>
      </c>
      <c r="K33" s="486">
        <v>97952.06</v>
      </c>
      <c r="L33" s="486">
        <v>75408.59</v>
      </c>
      <c r="M33" s="486">
        <v>7018.84</v>
      </c>
      <c r="N33" s="487">
        <v>123186</v>
      </c>
      <c r="O33" s="486">
        <v>127407.31</v>
      </c>
      <c r="P33" s="486">
        <v>97650.13</v>
      </c>
      <c r="Q33" s="486">
        <v>9540.15</v>
      </c>
      <c r="R33" s="487">
        <v>179074</v>
      </c>
      <c r="S33" s="485">
        <v>2019</v>
      </c>
      <c r="T33" s="166" t="s">
        <v>1187</v>
      </c>
      <c r="U33" s="377">
        <v>10866.435799999999</v>
      </c>
      <c r="V33" s="377">
        <v>3379.3724000000002</v>
      </c>
      <c r="W33" s="377">
        <f t="shared" ref="W33:W39" si="2">U33-V33</f>
        <v>7487.0633999999991</v>
      </c>
      <c r="X33" s="358">
        <v>5664</v>
      </c>
      <c r="Y33" s="377">
        <v>2155</v>
      </c>
      <c r="Z33" s="377">
        <v>2921.68</v>
      </c>
      <c r="AA33" s="358">
        <v>-555.75</v>
      </c>
      <c r="AB33" s="358">
        <v>12286</v>
      </c>
      <c r="AD33" s="159"/>
      <c r="AE33" s="159"/>
    </row>
    <row r="34" spans="1:31" ht="13.5" customHeight="1">
      <c r="A34" s="325">
        <v>2020</v>
      </c>
      <c r="B34" s="325">
        <v>24064.51</v>
      </c>
      <c r="C34" s="325">
        <v>20386.939999999999</v>
      </c>
      <c r="D34" s="325">
        <v>49.26</v>
      </c>
      <c r="E34" s="325">
        <v>50543</v>
      </c>
      <c r="F34" s="325">
        <v>6782.25</v>
      </c>
      <c r="G34" s="326">
        <v>2914.5</v>
      </c>
      <c r="H34" s="325">
        <v>2020</v>
      </c>
      <c r="I34" s="326">
        <v>2313.3000000000002</v>
      </c>
      <c r="J34" s="325">
        <v>3870</v>
      </c>
      <c r="K34" s="321">
        <v>94759.71</v>
      </c>
      <c r="L34" s="321">
        <v>75652.05</v>
      </c>
      <c r="M34" s="321">
        <v>8023.22</v>
      </c>
      <c r="N34" s="321">
        <v>127524</v>
      </c>
      <c r="O34" s="321">
        <v>125606.46</v>
      </c>
      <c r="P34" s="321">
        <v>98953.49</v>
      </c>
      <c r="Q34" s="321">
        <v>10385.780000000001</v>
      </c>
      <c r="R34" s="321">
        <v>181937</v>
      </c>
      <c r="S34" s="321">
        <v>2020</v>
      </c>
      <c r="T34" s="324" t="s">
        <v>1311</v>
      </c>
      <c r="U34" s="326">
        <v>14247.9123</v>
      </c>
      <c r="V34" s="326">
        <v>4583.1831000000002</v>
      </c>
      <c r="W34" s="326">
        <f t="shared" si="2"/>
        <v>9664.7291999999998</v>
      </c>
      <c r="X34" s="325">
        <v>5741</v>
      </c>
      <c r="Y34" s="326">
        <v>1952.69</v>
      </c>
      <c r="Z34" s="326">
        <v>2861.6</v>
      </c>
      <c r="AA34" s="325">
        <v>-610.83000000000004</v>
      </c>
      <c r="AB34" s="325">
        <v>12470</v>
      </c>
      <c r="AD34" s="821"/>
      <c r="AE34" s="159"/>
    </row>
    <row r="35" spans="1:31" ht="13.5" customHeight="1">
      <c r="A35" s="358">
        <v>2021</v>
      </c>
      <c r="B35" s="377">
        <v>26872.24418464</v>
      </c>
      <c r="C35" s="377">
        <v>23374.866161400001</v>
      </c>
      <c r="D35" s="377">
        <v>429.252225071</v>
      </c>
      <c r="E35" s="1314">
        <v>50956</v>
      </c>
      <c r="F35" s="377">
        <v>5595.4584286017998</v>
      </c>
      <c r="G35" s="377">
        <v>2450.3390051800002</v>
      </c>
      <c r="H35" s="358">
        <v>2021</v>
      </c>
      <c r="I35" s="377">
        <v>1538.7015144</v>
      </c>
      <c r="J35" s="358">
        <v>3759</v>
      </c>
      <c r="K35" s="486">
        <v>91769.504217783993</v>
      </c>
      <c r="L35" s="486">
        <v>69567.008369129995</v>
      </c>
      <c r="M35" s="486">
        <v>6687.2177825500003</v>
      </c>
      <c r="N35" s="485">
        <v>134446</v>
      </c>
      <c r="O35" s="486">
        <v>124237.20683102599</v>
      </c>
      <c r="P35" s="486">
        <v>95392.213535710005</v>
      </c>
      <c r="Q35" s="486">
        <v>8655.1715220210008</v>
      </c>
      <c r="R35" s="485">
        <v>189161</v>
      </c>
      <c r="S35" s="485">
        <v>2021</v>
      </c>
      <c r="T35" s="166" t="s">
        <v>1420</v>
      </c>
      <c r="U35" s="377">
        <v>8954.8858999999993</v>
      </c>
      <c r="V35" s="377">
        <v>3142.6428999999998</v>
      </c>
      <c r="W35" s="377">
        <f t="shared" si="2"/>
        <v>5812.2429999999995</v>
      </c>
      <c r="X35" s="358">
        <v>6369</v>
      </c>
      <c r="Y35" s="377">
        <v>1983.63</v>
      </c>
      <c r="Z35" s="377">
        <v>3057.25</v>
      </c>
      <c r="AA35" s="358">
        <v>-704.27</v>
      </c>
      <c r="AB35" s="358">
        <v>12156</v>
      </c>
      <c r="AD35" s="821"/>
      <c r="AE35" s="159"/>
    </row>
    <row r="36" spans="1:31" ht="13.5" customHeight="1">
      <c r="A36" s="325">
        <v>2022</v>
      </c>
      <c r="B36" s="326">
        <v>28238.26600367</v>
      </c>
      <c r="C36" s="326">
        <v>23696.605142500001</v>
      </c>
      <c r="D36" s="326">
        <v>494.79680735199997</v>
      </c>
      <c r="E36" s="1448">
        <v>49617</v>
      </c>
      <c r="F36" s="326">
        <v>8090.7029131440004</v>
      </c>
      <c r="G36" s="326">
        <v>2974.9060998199998</v>
      </c>
      <c r="H36" s="325">
        <v>2022</v>
      </c>
      <c r="I36" s="326">
        <v>3156.8323895200001</v>
      </c>
      <c r="J36" s="325">
        <v>3895</v>
      </c>
      <c r="K36" s="322">
        <v>103950.010347887</v>
      </c>
      <c r="L36" s="322">
        <v>82559.901409586993</v>
      </c>
      <c r="M36" s="322">
        <v>6137.6551727409997</v>
      </c>
      <c r="N36" s="321">
        <v>147621</v>
      </c>
      <c r="O36" s="322">
        <v>140278.97926470099</v>
      </c>
      <c r="P36" s="322">
        <v>109231.412651907</v>
      </c>
      <c r="Q36" s="322">
        <v>9789.2843696130003</v>
      </c>
      <c r="R36" s="321">
        <v>201133</v>
      </c>
      <c r="S36" s="321">
        <v>2022</v>
      </c>
      <c r="T36" s="324" t="s">
        <v>1502</v>
      </c>
      <c r="U36" s="326">
        <v>9035.0049999999992</v>
      </c>
      <c r="V36" s="326">
        <v>2849.3778000000002</v>
      </c>
      <c r="W36" s="326">
        <f t="shared" si="2"/>
        <v>6185.627199999999</v>
      </c>
      <c r="X36" s="325">
        <v>6391</v>
      </c>
      <c r="Y36" s="326">
        <v>1788.53</v>
      </c>
      <c r="Z36" s="326">
        <v>3360.88</v>
      </c>
      <c r="AA36" s="325">
        <v>-1834.47</v>
      </c>
      <c r="AB36" s="325">
        <v>13551</v>
      </c>
      <c r="AD36" s="159"/>
      <c r="AE36" s="159"/>
    </row>
    <row r="37" spans="1:31" ht="13.5" customHeight="1" thickBot="1">
      <c r="A37" s="1449">
        <v>2023</v>
      </c>
      <c r="B37" s="1450">
        <v>33505.953779130003</v>
      </c>
      <c r="C37" s="1450">
        <v>27199.348528800001</v>
      </c>
      <c r="D37" s="1450">
        <v>427.31112196999999</v>
      </c>
      <c r="E37" s="1451">
        <v>50773</v>
      </c>
      <c r="F37" s="1450">
        <v>10874.061307672</v>
      </c>
      <c r="G37" s="1450">
        <v>3753.7906792610002</v>
      </c>
      <c r="H37" s="1449">
        <v>2023</v>
      </c>
      <c r="I37" s="1450">
        <v>4451.8563649300004</v>
      </c>
      <c r="J37" s="1449">
        <v>4117</v>
      </c>
      <c r="K37" s="1452">
        <v>120200.92142928</v>
      </c>
      <c r="L37" s="1452">
        <v>95960.214807690005</v>
      </c>
      <c r="M37" s="1452">
        <v>8106.3418261699999</v>
      </c>
      <c r="N37" s="1453">
        <v>152802</v>
      </c>
      <c r="O37" s="1452">
        <v>164580.936516082</v>
      </c>
      <c r="P37" s="1452">
        <v>126913.354015751</v>
      </c>
      <c r="Q37" s="1452">
        <v>12985.509313070001</v>
      </c>
      <c r="R37" s="1453">
        <v>207692</v>
      </c>
      <c r="S37" s="1453">
        <v>2023</v>
      </c>
      <c r="T37" s="166" t="s">
        <v>1555</v>
      </c>
      <c r="U37" s="377">
        <v>8635.3417000000009</v>
      </c>
      <c r="V37" s="377">
        <v>2858.1232</v>
      </c>
      <c r="W37" s="377">
        <f t="shared" si="2"/>
        <v>5777.2185000000009</v>
      </c>
      <c r="X37" s="358">
        <v>6407</v>
      </c>
      <c r="Y37" s="377">
        <v>1959.1311442470001</v>
      </c>
      <c r="Z37" s="377">
        <v>3564.6620677000001</v>
      </c>
      <c r="AA37" s="358">
        <v>-1742.4104153000001</v>
      </c>
      <c r="AB37" s="358">
        <v>13275</v>
      </c>
      <c r="AD37" s="159"/>
      <c r="AE37" s="159"/>
    </row>
    <row r="38" spans="1:31" ht="13.5" customHeight="1">
      <c r="A38" s="546"/>
      <c r="B38" s="547"/>
      <c r="C38" s="863"/>
      <c r="D38" s="486"/>
      <c r="E38" s="485"/>
      <c r="F38" s="486"/>
      <c r="G38" s="486"/>
      <c r="H38" s="485"/>
      <c r="I38" s="486"/>
      <c r="J38" s="487"/>
      <c r="K38" s="66"/>
      <c r="L38" s="66"/>
      <c r="M38" s="66"/>
      <c r="N38" s="66"/>
      <c r="O38" s="66"/>
      <c r="P38" s="66"/>
      <c r="Q38" s="66"/>
      <c r="R38" s="66"/>
      <c r="S38" s="66"/>
      <c r="T38" s="1326" t="s">
        <v>1836</v>
      </c>
      <c r="U38" s="1327">
        <v>32199.101299999998</v>
      </c>
      <c r="V38" s="1328">
        <v>2952.0945999999999</v>
      </c>
      <c r="W38" s="1328">
        <f t="shared" si="2"/>
        <v>29247.006699999998</v>
      </c>
      <c r="X38" s="1329">
        <v>6201</v>
      </c>
      <c r="Y38" s="1330">
        <v>2190.0319221</v>
      </c>
      <c r="Z38" s="386">
        <v>3730.5874588000001</v>
      </c>
      <c r="AA38" s="386">
        <v>-1563.2522366000001</v>
      </c>
      <c r="AB38" s="692">
        <v>11595</v>
      </c>
      <c r="AD38" s="950"/>
    </row>
    <row r="39" spans="1:31" ht="12" customHeight="1">
      <c r="A39" s="546" t="s">
        <v>368</v>
      </c>
      <c r="B39" s="2545" t="s">
        <v>1221</v>
      </c>
      <c r="C39" s="2545"/>
      <c r="D39" s="743"/>
      <c r="E39" s="743"/>
      <c r="F39" s="743"/>
      <c r="G39" s="743"/>
      <c r="H39" s="743"/>
      <c r="I39" s="743"/>
      <c r="J39" s="743"/>
      <c r="K39" s="66"/>
      <c r="L39" s="66"/>
      <c r="M39" s="66"/>
      <c r="N39" s="66"/>
      <c r="O39" s="693"/>
      <c r="P39" s="66"/>
      <c r="Q39" s="66"/>
      <c r="R39" s="693"/>
      <c r="S39" s="66"/>
      <c r="T39" s="1454" t="s">
        <v>2088</v>
      </c>
      <c r="U39" s="1455">
        <v>51886.2</v>
      </c>
      <c r="V39" s="1456">
        <v>4617.75</v>
      </c>
      <c r="W39" s="1456">
        <f t="shared" si="2"/>
        <v>47268.45</v>
      </c>
      <c r="X39" s="1457">
        <v>6060</v>
      </c>
      <c r="Y39" s="1458">
        <v>2572.45197925</v>
      </c>
      <c r="Z39" s="381">
        <v>4443.0967950200002</v>
      </c>
      <c r="AA39" s="381">
        <v>-2574.0387931499999</v>
      </c>
      <c r="AB39" s="635">
        <v>11953</v>
      </c>
    </row>
    <row r="40" spans="1:31" ht="12.75" customHeight="1">
      <c r="A40" s="546"/>
      <c r="B40" s="2545" t="s">
        <v>1188</v>
      </c>
      <c r="C40" s="2545"/>
      <c r="D40" s="2545"/>
      <c r="E40" s="2545"/>
      <c r="F40" s="743"/>
      <c r="G40" s="743"/>
      <c r="H40" s="743"/>
      <c r="I40" s="743"/>
      <c r="J40" s="743"/>
      <c r="K40" s="66"/>
      <c r="L40" s="66"/>
      <c r="M40" s="66"/>
      <c r="N40" s="66"/>
      <c r="O40" s="693"/>
      <c r="P40" s="66"/>
      <c r="Q40" s="66"/>
      <c r="R40" s="952"/>
      <c r="S40" s="1198"/>
      <c r="T40" s="1326" t="s">
        <v>2228</v>
      </c>
      <c r="U40" s="1327">
        <v>48402.42</v>
      </c>
      <c r="V40" s="1328">
        <v>7848.67</v>
      </c>
      <c r="W40" s="1328">
        <v>40553.75</v>
      </c>
      <c r="X40" s="1329">
        <v>6226</v>
      </c>
      <c r="Y40" s="1330" t="s">
        <v>292</v>
      </c>
      <c r="Z40" s="386" t="s">
        <v>292</v>
      </c>
      <c r="AA40" s="386" t="s">
        <v>292</v>
      </c>
      <c r="AB40" s="692" t="s">
        <v>292</v>
      </c>
    </row>
    <row r="41" spans="1:31" ht="12" customHeight="1" thickBot="1">
      <c r="A41" s="114"/>
      <c r="K41" s="66"/>
      <c r="L41" s="66"/>
      <c r="M41" s="66"/>
      <c r="N41" s="66"/>
      <c r="O41" s="66"/>
      <c r="P41" s="66"/>
      <c r="Q41" s="66"/>
      <c r="R41" s="66"/>
      <c r="S41" s="66"/>
      <c r="T41" s="1747" t="s">
        <v>2876</v>
      </c>
      <c r="U41" s="1741">
        <v>44122.36</v>
      </c>
      <c r="V41" s="1742">
        <v>9228.1802000000007</v>
      </c>
      <c r="W41" s="1742">
        <v>34894.183400000002</v>
      </c>
      <c r="X41" s="1743">
        <v>6197</v>
      </c>
      <c r="Y41" s="1744" t="s">
        <v>292</v>
      </c>
      <c r="Z41" s="1745" t="s">
        <v>292</v>
      </c>
      <c r="AA41" s="1745" t="s">
        <v>292</v>
      </c>
      <c r="AB41" s="1746" t="s">
        <v>292</v>
      </c>
    </row>
    <row r="42" spans="1:31" ht="11.25" customHeight="1">
      <c r="B42" s="200"/>
      <c r="C42" s="200"/>
      <c r="D42" s="6"/>
      <c r="K42" s="112"/>
      <c r="L42" s="112"/>
      <c r="M42" s="112"/>
      <c r="N42" s="112"/>
      <c r="O42" s="636"/>
      <c r="P42" s="636"/>
      <c r="Q42" s="636"/>
      <c r="R42" s="636"/>
      <c r="S42" s="951"/>
      <c r="T42" s="2529" t="s">
        <v>1554</v>
      </c>
      <c r="U42" s="2529"/>
      <c r="V42" s="2529"/>
      <c r="W42" s="2529"/>
      <c r="X42" s="2529"/>
      <c r="Y42" s="2529"/>
      <c r="Z42" s="2529"/>
      <c r="AA42" s="2529"/>
      <c r="AB42" s="2529"/>
    </row>
    <row r="43" spans="1:31" ht="15.75">
      <c r="A43" s="116"/>
      <c r="B43" s="116"/>
      <c r="K43" s="119"/>
      <c r="L43" s="119"/>
      <c r="M43" s="119"/>
      <c r="N43" s="119"/>
      <c r="O43" s="637"/>
      <c r="P43" s="637"/>
      <c r="Q43" s="637"/>
      <c r="R43" s="637"/>
      <c r="S43" s="119"/>
      <c r="T43" s="2529" t="s">
        <v>1381</v>
      </c>
      <c r="U43" s="2529"/>
      <c r="V43" s="2529"/>
      <c r="W43" s="2529"/>
      <c r="X43" s="2529"/>
      <c r="Y43" s="2529"/>
      <c r="Z43" s="2529"/>
      <c r="AA43" s="2529"/>
      <c r="AB43" s="2529"/>
    </row>
    <row r="44" spans="1:31">
      <c r="A44" s="116"/>
      <c r="B44" s="116"/>
      <c r="C44" s="116"/>
      <c r="D44" s="116"/>
      <c r="E44" s="116"/>
      <c r="F44" s="116"/>
      <c r="G44" s="116"/>
      <c r="I44" s="116"/>
      <c r="J44" s="116"/>
      <c r="K44" s="116"/>
      <c r="L44" s="116"/>
      <c r="M44" s="116"/>
      <c r="N44" s="116"/>
      <c r="O44" s="119"/>
      <c r="P44" s="119"/>
      <c r="Q44" s="119"/>
      <c r="R44" s="119"/>
      <c r="S44" s="119"/>
      <c r="T44" s="2547" t="s">
        <v>1297</v>
      </c>
      <c r="U44" s="2547"/>
      <c r="V44" s="2547"/>
      <c r="W44" s="2547"/>
      <c r="X44" s="2547"/>
      <c r="Y44" s="2547"/>
      <c r="Z44" s="2547"/>
      <c r="AA44" s="2547"/>
      <c r="AB44" s="2547"/>
    </row>
    <row r="45" spans="1:31" ht="15.75">
      <c r="B45" s="116"/>
      <c r="C45" s="116"/>
      <c r="D45" s="116"/>
      <c r="E45" s="116"/>
      <c r="F45" s="116"/>
      <c r="G45" s="116"/>
      <c r="I45" s="116"/>
      <c r="J45" s="116"/>
      <c r="K45" s="116"/>
      <c r="L45" s="116"/>
      <c r="M45" s="116"/>
      <c r="N45" s="116"/>
      <c r="O45" s="639"/>
      <c r="P45" s="639"/>
      <c r="Q45" s="639"/>
      <c r="R45" s="639"/>
      <c r="T45" s="2546" t="s">
        <v>1229</v>
      </c>
      <c r="U45" s="2546"/>
      <c r="V45" s="2546"/>
      <c r="W45" s="2546"/>
      <c r="X45" s="2546"/>
      <c r="Y45" s="2546"/>
      <c r="Z45" s="7"/>
      <c r="AA45" s="666"/>
      <c r="AB45" s="7"/>
    </row>
    <row r="46" spans="1:31">
      <c r="I46" s="159"/>
      <c r="K46" s="66"/>
    </row>
    <row r="47" spans="1:31">
      <c r="I47" s="159"/>
      <c r="K47" s="66"/>
    </row>
    <row r="48" spans="1:31" ht="15">
      <c r="K48" s="66"/>
      <c r="Y48" s="638"/>
      <c r="Z48" s="638"/>
      <c r="AA48" s="638"/>
      <c r="AB48" s="638"/>
    </row>
    <row r="49" spans="11:28" ht="15">
      <c r="K49" s="66"/>
      <c r="W49" s="157"/>
      <c r="Y49" s="638"/>
      <c r="Z49" s="638"/>
      <c r="AA49" s="638"/>
      <c r="AB49" s="638"/>
    </row>
    <row r="50" spans="11:28" ht="15">
      <c r="K50" s="66"/>
      <c r="Y50" s="638"/>
      <c r="Z50" s="638"/>
      <c r="AA50" s="638"/>
      <c r="AB50" s="638"/>
    </row>
    <row r="51" spans="11:28" ht="15">
      <c r="K51" s="66"/>
      <c r="Y51" s="640"/>
      <c r="Z51" s="640"/>
      <c r="AA51" s="640"/>
      <c r="AB51" s="640"/>
    </row>
    <row r="52" spans="11:28">
      <c r="K52" s="66"/>
    </row>
    <row r="53" spans="11:28">
      <c r="K53" s="66"/>
    </row>
    <row r="54" spans="11:28">
      <c r="K54" s="66"/>
    </row>
    <row r="55" spans="11:28">
      <c r="K55" s="66"/>
    </row>
    <row r="56" spans="11:28">
      <c r="K56" s="66"/>
    </row>
    <row r="57" spans="11:28">
      <c r="K57" s="66"/>
    </row>
    <row r="58" spans="11:28">
      <c r="K58" s="66"/>
    </row>
    <row r="59" spans="11:28">
      <c r="K59" s="66"/>
    </row>
    <row r="60" spans="11:28">
      <c r="K60" s="66"/>
    </row>
    <row r="61" spans="11:28">
      <c r="K61" s="66"/>
    </row>
    <row r="62" spans="11:28" ht="11.25" customHeight="1">
      <c r="K62" s="66"/>
    </row>
    <row r="63" spans="11:28">
      <c r="K63" s="66"/>
    </row>
    <row r="64" spans="11:28">
      <c r="K64" s="66"/>
    </row>
    <row r="65" spans="1:19">
      <c r="K65" s="66"/>
    </row>
    <row r="66" spans="1:19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5:Y45"/>
    <mergeCell ref="T44:AB44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3:AB43"/>
    <mergeCell ref="T42:AB42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J60"/>
  <sheetViews>
    <sheetView topLeftCell="A37" zoomScale="140" zoomScaleNormal="140" workbookViewId="0">
      <selection activeCell="D45" sqref="D45:D53"/>
    </sheetView>
  </sheetViews>
  <sheetFormatPr defaultColWidth="9.140625" defaultRowHeight="11.25"/>
  <cols>
    <col min="1" max="1" width="9.42578125" style="1491" customWidth="1"/>
    <col min="2" max="2" width="19.5703125" style="34" customWidth="1"/>
    <col min="3" max="3" width="20.7109375" style="34" customWidth="1"/>
    <col min="4" max="4" width="23.85546875" style="34" customWidth="1"/>
    <col min="5" max="5" width="10" style="34" customWidth="1"/>
    <col min="6" max="6" width="10" style="34" bestFit="1" customWidth="1"/>
    <col min="7" max="10" width="9.140625" style="34"/>
    <col min="11" max="11" width="11.28515625" style="34" customWidth="1"/>
    <col min="12" max="12" width="8.7109375" style="34" customWidth="1"/>
    <col min="13" max="15" width="9.140625" style="34"/>
    <col min="16" max="16" width="11.85546875" style="34" customWidth="1"/>
    <col min="17" max="16384" width="9.140625" style="34"/>
  </cols>
  <sheetData>
    <row r="1" spans="1:8" s="121" customFormat="1" ht="39" customHeight="1">
      <c r="A1" s="2549" t="s">
        <v>1275</v>
      </c>
      <c r="B1" s="2549"/>
      <c r="C1" s="2549"/>
      <c r="D1" s="122" t="s">
        <v>370</v>
      </c>
      <c r="E1" s="1490"/>
      <c r="F1" s="1490"/>
      <c r="G1" s="1490"/>
    </row>
    <row r="2" spans="1:8" s="123" customFormat="1" ht="12" customHeight="1">
      <c r="A2" s="2550" t="s">
        <v>481</v>
      </c>
      <c r="B2" s="2552" t="s">
        <v>60</v>
      </c>
      <c r="C2" s="2126" t="s">
        <v>61</v>
      </c>
      <c r="D2" s="2554"/>
    </row>
    <row r="3" spans="1:8" s="123" customFormat="1" ht="12.75" customHeight="1">
      <c r="A3" s="2551"/>
      <c r="B3" s="2553"/>
      <c r="C3" s="1488" t="s">
        <v>1120</v>
      </c>
      <c r="D3" s="1488" t="s">
        <v>1530</v>
      </c>
    </row>
    <row r="4" spans="1:8" ht="12" customHeight="1">
      <c r="A4" s="314" t="s">
        <v>81</v>
      </c>
      <c r="B4" s="318">
        <v>427180</v>
      </c>
      <c r="C4" s="292">
        <v>10987.4</v>
      </c>
      <c r="D4" s="294">
        <v>76010.833200000008</v>
      </c>
      <c r="E4" s="613"/>
      <c r="F4" s="613"/>
    </row>
    <row r="5" spans="1:8" s="204" customFormat="1" ht="12" customHeight="1">
      <c r="A5" s="342" t="s">
        <v>189</v>
      </c>
      <c r="B5" s="480">
        <v>439375</v>
      </c>
      <c r="C5" s="26">
        <v>11650.32</v>
      </c>
      <c r="D5" s="27">
        <v>83008.885067382464</v>
      </c>
      <c r="E5" s="614"/>
      <c r="F5" s="614"/>
    </row>
    <row r="6" spans="1:8" s="204" customFormat="1" ht="12" customHeight="1">
      <c r="A6" s="314" t="s">
        <v>705</v>
      </c>
      <c r="B6" s="318">
        <v>691402</v>
      </c>
      <c r="C6" s="292">
        <v>12843.429999999998</v>
      </c>
      <c r="D6" s="294">
        <v>101591.53129999999</v>
      </c>
      <c r="E6" s="614"/>
      <c r="F6" s="613"/>
    </row>
    <row r="7" spans="1:8" s="204" customFormat="1" ht="12" customHeight="1">
      <c r="A7" s="342" t="s">
        <v>814</v>
      </c>
      <c r="B7" s="480">
        <v>441301</v>
      </c>
      <c r="C7" s="26">
        <v>14461.15</v>
      </c>
      <c r="D7" s="27">
        <v>115646.15801927802</v>
      </c>
      <c r="E7" s="614"/>
      <c r="F7" s="614"/>
    </row>
    <row r="8" spans="1:8" s="204" customFormat="1" ht="12" customHeight="1">
      <c r="A8" s="314" t="s">
        <v>991</v>
      </c>
      <c r="B8" s="295">
        <v>408870</v>
      </c>
      <c r="C8" s="294">
        <v>14228.3</v>
      </c>
      <c r="D8" s="294">
        <v>110582.38341698999</v>
      </c>
      <c r="E8" s="614"/>
      <c r="F8" s="613"/>
    </row>
    <row r="9" spans="1:8" s="204" customFormat="1" ht="12" customHeight="1">
      <c r="A9" s="342" t="s">
        <v>1042</v>
      </c>
      <c r="B9" s="686">
        <v>461829</v>
      </c>
      <c r="C9" s="686">
        <v>15316.91</v>
      </c>
      <c r="D9" s="687">
        <v>118982.31547276099</v>
      </c>
      <c r="E9" s="614"/>
      <c r="F9" s="614"/>
    </row>
    <row r="10" spans="1:8" s="204" customFormat="1" ht="12" customHeight="1">
      <c r="A10" s="563" t="s">
        <v>1163</v>
      </c>
      <c r="B10" s="564">
        <v>684537</v>
      </c>
      <c r="C10" s="747">
        <v>14931.18</v>
      </c>
      <c r="D10" s="747">
        <v>116856.72088078099</v>
      </c>
      <c r="E10" s="614"/>
      <c r="F10" s="613"/>
    </row>
    <row r="11" spans="1:8" s="204" customFormat="1" ht="12" customHeight="1">
      <c r="A11" s="523" t="s">
        <v>1198</v>
      </c>
      <c r="B11" s="859">
        <v>905326</v>
      </c>
      <c r="C11" s="860">
        <v>12769.45</v>
      </c>
      <c r="D11" s="860">
        <v>101098.96241416999</v>
      </c>
      <c r="E11" s="614"/>
      <c r="F11" s="614"/>
    </row>
    <row r="12" spans="1:8" s="204" customFormat="1" ht="12" customHeight="1">
      <c r="A12" s="563" t="s">
        <v>1311</v>
      </c>
      <c r="B12" s="564">
        <v>880037</v>
      </c>
      <c r="C12" s="747">
        <v>14981.689999999999</v>
      </c>
      <c r="D12" s="747">
        <v>123156.004940445</v>
      </c>
      <c r="E12" s="614"/>
      <c r="F12" s="614"/>
    </row>
    <row r="13" spans="1:8" s="204" customFormat="1" ht="12" customHeight="1">
      <c r="A13" s="523" t="s">
        <v>1420</v>
      </c>
      <c r="B13" s="859">
        <v>692978</v>
      </c>
      <c r="C13" s="860">
        <v>16419.63</v>
      </c>
      <c r="D13" s="860">
        <v>138006.57168470003</v>
      </c>
      <c r="E13" s="614"/>
      <c r="F13" s="614"/>
    </row>
    <row r="14" spans="1:8" s="204" customFormat="1" ht="12" customHeight="1">
      <c r="A14" s="563" t="s">
        <v>1502</v>
      </c>
      <c r="B14" s="564">
        <v>530578</v>
      </c>
      <c r="C14" s="747">
        <v>18205.010000000002</v>
      </c>
      <c r="D14" s="747">
        <v>154353.0611469</v>
      </c>
    </row>
    <row r="15" spans="1:8" s="204" customFormat="1" ht="12" customHeight="1">
      <c r="A15" s="523" t="s">
        <v>1555</v>
      </c>
      <c r="B15" s="859">
        <v>280258</v>
      </c>
      <c r="C15" s="250">
        <v>24777.71</v>
      </c>
      <c r="D15" s="250">
        <v>210130.60146709997</v>
      </c>
      <c r="E15" s="739"/>
      <c r="F15" s="614"/>
      <c r="G15" s="614"/>
      <c r="H15" s="614"/>
    </row>
    <row r="16" spans="1:8" s="204" customFormat="1" ht="12" customHeight="1">
      <c r="A16" s="563" t="s">
        <v>1836</v>
      </c>
      <c r="B16" s="564">
        <v>988910</v>
      </c>
      <c r="C16" s="289">
        <v>21031.68</v>
      </c>
      <c r="D16" s="289">
        <v>181580.54109750001</v>
      </c>
      <c r="E16" s="739"/>
      <c r="F16" s="614"/>
      <c r="G16" s="614"/>
      <c r="H16" s="614"/>
    </row>
    <row r="17" spans="1:8" s="204" customFormat="1" ht="12" customHeight="1">
      <c r="A17" s="548" t="s">
        <v>2088</v>
      </c>
      <c r="B17" s="1309">
        <v>1137931</v>
      </c>
      <c r="C17" s="339">
        <v>21610.730000000003</v>
      </c>
      <c r="D17" s="339">
        <v>215073.6115537</v>
      </c>
      <c r="E17" s="739"/>
      <c r="F17" s="614"/>
      <c r="G17" s="614"/>
      <c r="H17" s="614"/>
    </row>
    <row r="18" spans="1:8" s="204" customFormat="1" ht="12" customHeight="1">
      <c r="A18" s="598" t="s">
        <v>2228</v>
      </c>
      <c r="B18" s="1428">
        <f>SUM(B19:B30)</f>
        <v>1197128</v>
      </c>
      <c r="C18" s="1429">
        <f>SUM(C19:C30)</f>
        <v>23912.22</v>
      </c>
      <c r="D18" s="1429">
        <f>SUM(D19:D30)</f>
        <v>266162.18222732999</v>
      </c>
      <c r="E18" s="1246"/>
      <c r="F18" s="614"/>
      <c r="G18" s="614"/>
      <c r="H18" s="614"/>
    </row>
    <row r="19" spans="1:8" s="204" customFormat="1" ht="12" customHeight="1">
      <c r="A19" s="537" t="s">
        <v>559</v>
      </c>
      <c r="B19" s="727">
        <v>125850</v>
      </c>
      <c r="C19" s="562">
        <v>1973.15</v>
      </c>
      <c r="D19" s="562">
        <v>21459.426917999997</v>
      </c>
      <c r="E19" s="562"/>
      <c r="F19" s="614"/>
      <c r="G19" s="614"/>
      <c r="H19" s="614"/>
    </row>
    <row r="20" spans="1:8" s="204" customFormat="1" ht="12" customHeight="1">
      <c r="A20" s="540" t="s">
        <v>560</v>
      </c>
      <c r="B20" s="622">
        <v>138675</v>
      </c>
      <c r="C20" s="565">
        <v>1599.45</v>
      </c>
      <c r="D20" s="565">
        <v>17507.225954000001</v>
      </c>
      <c r="E20" s="1246"/>
      <c r="F20" s="614"/>
      <c r="G20" s="614"/>
      <c r="H20" s="614"/>
    </row>
    <row r="21" spans="1:8" s="204" customFormat="1" ht="12" customHeight="1">
      <c r="A21" s="537" t="s">
        <v>554</v>
      </c>
      <c r="B21" s="727">
        <v>107584</v>
      </c>
      <c r="C21" s="562">
        <v>1334.35</v>
      </c>
      <c r="D21" s="562">
        <v>14673.846949999999</v>
      </c>
      <c r="E21" s="1246"/>
      <c r="F21" s="614"/>
      <c r="G21" s="614"/>
      <c r="H21" s="614"/>
    </row>
    <row r="22" spans="1:8" s="204" customFormat="1" ht="12" customHeight="1">
      <c r="A22" s="540" t="s">
        <v>561</v>
      </c>
      <c r="B22" s="622">
        <v>110158</v>
      </c>
      <c r="C22" s="565">
        <v>1971.43</v>
      </c>
      <c r="D22" s="565">
        <v>21782.448355800003</v>
      </c>
      <c r="E22" s="1246"/>
      <c r="F22" s="614"/>
      <c r="G22" s="614"/>
      <c r="H22" s="614"/>
    </row>
    <row r="23" spans="1:8" s="204" customFormat="1" ht="12" customHeight="1">
      <c r="A23" s="537" t="s">
        <v>562</v>
      </c>
      <c r="B23" s="727">
        <v>110413</v>
      </c>
      <c r="C23" s="562">
        <v>1930.04</v>
      </c>
      <c r="D23" s="562">
        <v>21400.437923199999</v>
      </c>
      <c r="E23" s="1246"/>
      <c r="F23" s="614"/>
      <c r="G23" s="614"/>
      <c r="H23" s="614"/>
    </row>
    <row r="24" spans="1:8" s="204" customFormat="1" ht="12" customHeight="1">
      <c r="A24" s="540" t="s">
        <v>555</v>
      </c>
      <c r="B24" s="622">
        <v>95197</v>
      </c>
      <c r="C24" s="565">
        <v>1991.26</v>
      </c>
      <c r="D24" s="565">
        <v>21934.485578800006</v>
      </c>
      <c r="E24" s="1246"/>
      <c r="F24" s="614"/>
      <c r="G24" s="614"/>
      <c r="H24" s="614"/>
    </row>
    <row r="25" spans="1:8" s="204" customFormat="1" ht="12" customHeight="1">
      <c r="A25" s="1241" t="s">
        <v>563</v>
      </c>
      <c r="B25" s="727">
        <v>87852</v>
      </c>
      <c r="C25" s="562">
        <v>2113.15</v>
      </c>
      <c r="D25" s="562">
        <v>23244.65</v>
      </c>
      <c r="E25" s="1246"/>
    </row>
    <row r="26" spans="1:8" s="204" customFormat="1" ht="12" customHeight="1">
      <c r="A26" s="1399" t="s">
        <v>564</v>
      </c>
      <c r="B26" s="622">
        <v>74306</v>
      </c>
      <c r="C26" s="565">
        <v>2164.56</v>
      </c>
      <c r="D26" s="565">
        <v>23810.160000000003</v>
      </c>
      <c r="E26" s="1246"/>
    </row>
    <row r="27" spans="1:8" s="204" customFormat="1" ht="12" customHeight="1">
      <c r="A27" s="1241" t="s">
        <v>556</v>
      </c>
      <c r="B27" s="727">
        <v>74679</v>
      </c>
      <c r="C27" s="562">
        <v>1997.07</v>
      </c>
      <c r="D27" s="562">
        <v>21967.77</v>
      </c>
      <c r="E27" s="1246"/>
    </row>
    <row r="28" spans="1:8" s="204" customFormat="1" ht="12" customHeight="1">
      <c r="A28" s="1399" t="s">
        <v>565</v>
      </c>
      <c r="B28" s="622">
        <v>85400</v>
      </c>
      <c r="C28" s="565">
        <v>2044.23</v>
      </c>
      <c r="D28" s="565">
        <v>22503.022357530004</v>
      </c>
      <c r="E28" s="1246"/>
    </row>
    <row r="29" spans="1:8" s="204" customFormat="1" ht="12" customHeight="1">
      <c r="A29" s="1241" t="s">
        <v>566</v>
      </c>
      <c r="B29" s="727">
        <v>131969</v>
      </c>
      <c r="C29" s="562">
        <v>2254.9299999999998</v>
      </c>
      <c r="D29" s="562">
        <v>25938.459790000001</v>
      </c>
      <c r="E29" s="1246"/>
      <c r="F29" s="614"/>
      <c r="G29" s="614"/>
      <c r="H29" s="614"/>
    </row>
    <row r="30" spans="1:8" s="204" customFormat="1" ht="12" customHeight="1">
      <c r="A30" s="1399" t="s">
        <v>557</v>
      </c>
      <c r="B30" s="622">
        <v>55045</v>
      </c>
      <c r="C30" s="565">
        <v>2538.6</v>
      </c>
      <c r="D30" s="565">
        <v>29940.248400000008</v>
      </c>
      <c r="E30" s="1246"/>
      <c r="F30" s="614"/>
      <c r="G30" s="614"/>
      <c r="H30" s="614"/>
    </row>
    <row r="31" spans="1:8" s="204" customFormat="1" ht="12" customHeight="1">
      <c r="A31" s="548" t="s">
        <v>2501</v>
      </c>
      <c r="B31" s="1309">
        <f>SUM(B32:B43)</f>
        <v>1015675</v>
      </c>
      <c r="C31" s="339">
        <f>SUM(C32:C43)</f>
        <v>30328.799999999999</v>
      </c>
      <c r="D31" s="339">
        <f>SUM(D32:D43)</f>
        <v>366907.3267414</v>
      </c>
      <c r="E31" s="1246"/>
      <c r="F31" s="614"/>
      <c r="G31" s="614"/>
      <c r="H31" s="614"/>
    </row>
    <row r="32" spans="1:8" s="204" customFormat="1" ht="12" customHeight="1">
      <c r="A32" s="1399" t="s">
        <v>559</v>
      </c>
      <c r="B32" s="622">
        <v>71441</v>
      </c>
      <c r="C32" s="565">
        <v>1913.77</v>
      </c>
      <c r="D32" s="565">
        <v>22569.089610000003</v>
      </c>
      <c r="E32" s="1246"/>
      <c r="F32" s="614"/>
      <c r="G32" s="614"/>
      <c r="H32" s="614"/>
    </row>
    <row r="33" spans="1:10" s="204" customFormat="1" ht="12" customHeight="1">
      <c r="A33" s="1241" t="s">
        <v>560</v>
      </c>
      <c r="B33" s="727">
        <v>53462</v>
      </c>
      <c r="C33" s="562">
        <v>2224.15</v>
      </c>
      <c r="D33" s="562">
        <v>26407.332950000011</v>
      </c>
      <c r="E33" s="1246"/>
      <c r="F33" s="614"/>
      <c r="G33" s="614"/>
      <c r="H33" s="614"/>
    </row>
    <row r="34" spans="1:10" s="204" customFormat="1" ht="12" customHeight="1">
      <c r="A34" s="1399" t="s">
        <v>554</v>
      </c>
      <c r="B34" s="622">
        <v>64677</v>
      </c>
      <c r="C34" s="565">
        <v>2404.11</v>
      </c>
      <c r="D34" s="565">
        <v>28849.320000000003</v>
      </c>
      <c r="E34" s="1246"/>
      <c r="F34" s="614"/>
      <c r="G34" s="614"/>
      <c r="H34" s="614"/>
    </row>
    <row r="35" spans="1:10" s="204" customFormat="1" ht="12" customHeight="1">
      <c r="A35" s="1241" t="s">
        <v>561</v>
      </c>
      <c r="B35" s="727">
        <v>104858</v>
      </c>
      <c r="C35" s="562">
        <v>2395.08</v>
      </c>
      <c r="D35" s="562">
        <v>28740.504934800007</v>
      </c>
      <c r="E35" s="1246"/>
      <c r="F35" s="614"/>
      <c r="G35" s="614"/>
      <c r="H35" s="614"/>
    </row>
    <row r="36" spans="1:10" s="204" customFormat="1" ht="12" customHeight="1">
      <c r="A36" s="1399" t="s">
        <v>562</v>
      </c>
      <c r="B36" s="622">
        <v>102987</v>
      </c>
      <c r="C36" s="565">
        <v>2199.9899999999998</v>
      </c>
      <c r="D36" s="565">
        <v>26399.879999999997</v>
      </c>
      <c r="E36" s="1246"/>
      <c r="G36" s="614"/>
      <c r="H36" s="614"/>
      <c r="J36" s="614"/>
    </row>
    <row r="37" spans="1:10" s="204" customFormat="1" ht="12" customHeight="1">
      <c r="A37" s="1241" t="s">
        <v>555</v>
      </c>
      <c r="B37" s="727">
        <v>105293</v>
      </c>
      <c r="C37" s="562">
        <v>2638.77</v>
      </c>
      <c r="D37" s="562">
        <v>31665.239999999998</v>
      </c>
      <c r="E37" s="1246"/>
      <c r="F37" s="614"/>
      <c r="G37" s="614"/>
      <c r="H37" s="614"/>
    </row>
    <row r="38" spans="1:10" s="204" customFormat="1" ht="12" customHeight="1">
      <c r="A38" s="1399" t="s">
        <v>563</v>
      </c>
      <c r="B38" s="622">
        <v>97867</v>
      </c>
      <c r="C38" s="565">
        <v>2185.23</v>
      </c>
      <c r="D38" s="565">
        <v>26643.613445699997</v>
      </c>
      <c r="E38" s="1246"/>
      <c r="F38" s="614"/>
      <c r="G38" s="614"/>
      <c r="H38" s="614"/>
    </row>
    <row r="39" spans="1:10" s="204" customFormat="1" ht="12" customHeight="1">
      <c r="A39" s="1241" t="s">
        <v>564</v>
      </c>
      <c r="B39" s="727">
        <v>62436</v>
      </c>
      <c r="C39" s="562">
        <v>2527.65</v>
      </c>
      <c r="D39" s="562">
        <v>30837.33</v>
      </c>
      <c r="E39" s="1246"/>
      <c r="F39" s="614"/>
      <c r="G39" s="614"/>
      <c r="H39" s="614"/>
    </row>
    <row r="40" spans="1:10" s="204" customFormat="1" ht="12" customHeight="1">
      <c r="A40" s="1399" t="s">
        <v>556</v>
      </c>
      <c r="B40" s="622">
        <v>105035</v>
      </c>
      <c r="C40" s="565">
        <v>3295.63</v>
      </c>
      <c r="D40" s="565">
        <v>40206.686000000002</v>
      </c>
      <c r="E40" s="1246"/>
      <c r="F40" s="614"/>
      <c r="G40" s="614"/>
      <c r="H40" s="614"/>
    </row>
    <row r="41" spans="1:10" s="204" customFormat="1" ht="12" customHeight="1">
      <c r="A41" s="1241" t="s">
        <v>565</v>
      </c>
      <c r="B41" s="727">
        <v>49983</v>
      </c>
      <c r="C41" s="562">
        <v>2752.33</v>
      </c>
      <c r="D41" s="562">
        <v>33578.425999999992</v>
      </c>
      <c r="E41" s="1246"/>
      <c r="F41" s="614"/>
      <c r="G41" s="614"/>
      <c r="H41" s="614"/>
    </row>
    <row r="42" spans="1:10" s="204" customFormat="1" ht="12" customHeight="1">
      <c r="A42" s="1399" t="s">
        <v>566</v>
      </c>
      <c r="B42" s="622">
        <v>105400</v>
      </c>
      <c r="C42" s="565">
        <v>2969.56</v>
      </c>
      <c r="D42" s="565">
        <v>36328.828509000006</v>
      </c>
      <c r="E42" s="1246"/>
      <c r="F42" s="614"/>
      <c r="G42" s="614"/>
      <c r="H42" s="614"/>
    </row>
    <row r="43" spans="1:10" s="204" customFormat="1" ht="12" customHeight="1">
      <c r="A43" s="1241" t="s">
        <v>557</v>
      </c>
      <c r="B43" s="727">
        <v>92236</v>
      </c>
      <c r="C43" s="562">
        <v>2822.53</v>
      </c>
      <c r="D43" s="562">
        <v>34681.075291900008</v>
      </c>
      <c r="E43" s="1246"/>
      <c r="F43" s="614"/>
      <c r="G43" s="614"/>
      <c r="H43" s="614"/>
    </row>
    <row r="44" spans="1:10" s="204" customFormat="1" ht="12" customHeight="1">
      <c r="A44" s="598" t="s">
        <v>2755</v>
      </c>
      <c r="B44" s="1428"/>
      <c r="C44" s="1429"/>
      <c r="D44" s="1429"/>
      <c r="E44" s="1246"/>
      <c r="F44" s="614"/>
      <c r="G44" s="614"/>
      <c r="H44" s="614"/>
    </row>
    <row r="45" spans="1:10" s="204" customFormat="1" ht="12" customHeight="1">
      <c r="A45" s="1241" t="s">
        <v>559</v>
      </c>
      <c r="B45" s="727">
        <v>63547</v>
      </c>
      <c r="C45" s="562">
        <v>2477.87</v>
      </c>
      <c r="D45" s="562">
        <v>30221.019331899999</v>
      </c>
      <c r="E45" s="1246"/>
      <c r="F45" s="614"/>
      <c r="G45" s="614"/>
      <c r="H45" s="614"/>
    </row>
    <row r="46" spans="1:10" s="204" customFormat="1" ht="12" customHeight="1">
      <c r="A46" s="1399" t="s">
        <v>560</v>
      </c>
      <c r="B46" s="622">
        <v>147412</v>
      </c>
      <c r="C46" s="565">
        <v>2421.89</v>
      </c>
      <c r="D46" s="565">
        <v>29478.930234300002</v>
      </c>
      <c r="E46" s="1246"/>
      <c r="F46" s="614"/>
      <c r="G46" s="614"/>
      <c r="H46" s="614"/>
    </row>
    <row r="47" spans="1:10" s="204" customFormat="1" ht="12" customHeight="1">
      <c r="A47" s="1241" t="s">
        <v>554</v>
      </c>
      <c r="B47" s="727">
        <v>98986</v>
      </c>
      <c r="C47" s="562">
        <v>2685.5642890589802</v>
      </c>
      <c r="D47" s="562">
        <v>32694.462489647383</v>
      </c>
      <c r="E47" s="1246"/>
      <c r="F47" s="614"/>
      <c r="G47" s="614"/>
      <c r="H47" s="614"/>
    </row>
    <row r="48" spans="1:10" s="204" customFormat="1" ht="12" customHeight="1">
      <c r="A48" s="1399" t="s">
        <v>561</v>
      </c>
      <c r="B48" s="622">
        <v>73975</v>
      </c>
      <c r="C48" s="565">
        <v>2563.48</v>
      </c>
      <c r="D48" s="565">
        <v>31275.63</v>
      </c>
      <c r="E48" s="1246"/>
      <c r="F48" s="614"/>
      <c r="G48" s="614"/>
      <c r="H48" s="614"/>
    </row>
    <row r="49" spans="1:8" ht="9.9499999999999993" customHeight="1">
      <c r="A49" s="1241" t="s">
        <v>562</v>
      </c>
      <c r="B49" s="727">
        <v>100133</v>
      </c>
      <c r="C49" s="562">
        <v>2889.73</v>
      </c>
      <c r="D49" s="562">
        <v>35346.949999999997</v>
      </c>
      <c r="E49" s="1491"/>
      <c r="F49" s="614"/>
      <c r="G49" s="614"/>
      <c r="H49" s="614"/>
    </row>
    <row r="50" spans="1:8" ht="9.9499999999999993" customHeight="1">
      <c r="A50" s="1399" t="s">
        <v>555</v>
      </c>
      <c r="B50" s="622">
        <v>119389</v>
      </c>
      <c r="C50" s="565">
        <v>3223.67</v>
      </c>
      <c r="D50" s="565">
        <v>39423.091999999997</v>
      </c>
      <c r="F50" s="613"/>
      <c r="G50" s="614"/>
    </row>
    <row r="51" spans="1:8" ht="9.9499999999999993" customHeight="1">
      <c r="A51" s="1241" t="s">
        <v>563</v>
      </c>
      <c r="B51" s="727">
        <v>95092</v>
      </c>
      <c r="C51" s="562">
        <v>3171.6276855924061</v>
      </c>
      <c r="D51" s="562">
        <v>38796.630699808426</v>
      </c>
      <c r="F51" s="613"/>
      <c r="G51" s="614"/>
    </row>
    <row r="52" spans="1:8" ht="9.9499999999999993" customHeight="1">
      <c r="A52" s="1399" t="s">
        <v>564</v>
      </c>
      <c r="B52" s="622">
        <v>65615</v>
      </c>
      <c r="C52" s="565">
        <v>3019.6652778248076</v>
      </c>
      <c r="D52" s="565">
        <v>36931.261264116853</v>
      </c>
      <c r="F52" s="613"/>
      <c r="G52" s="614"/>
    </row>
    <row r="53" spans="1:8" ht="9.75" customHeight="1" thickBot="1">
      <c r="A53" s="1886" t="s">
        <v>556</v>
      </c>
      <c r="B53" s="1887">
        <v>44658</v>
      </c>
      <c r="C53" s="1888">
        <v>3755.0480311251245</v>
      </c>
      <c r="D53" s="1888">
        <v>46046.067867892169</v>
      </c>
      <c r="F53" s="613"/>
      <c r="G53" s="614"/>
      <c r="H53" s="613"/>
    </row>
    <row r="54" spans="1:8">
      <c r="A54" s="193" t="s">
        <v>979</v>
      </c>
      <c r="B54" s="2287" t="s">
        <v>1298</v>
      </c>
      <c r="C54" s="2287"/>
      <c r="D54" s="195"/>
    </row>
    <row r="55" spans="1:8">
      <c r="A55" s="193" t="s">
        <v>2393</v>
      </c>
      <c r="B55" s="2287" t="s">
        <v>1268</v>
      </c>
      <c r="C55" s="2287"/>
      <c r="D55" s="241" t="s">
        <v>2688</v>
      </c>
    </row>
    <row r="56" spans="1:8">
      <c r="A56" s="616"/>
      <c r="B56" s="666" t="s">
        <v>1284</v>
      </c>
      <c r="C56" s="666"/>
      <c r="D56" s="666"/>
    </row>
    <row r="57" spans="1:8">
      <c r="A57" s="59"/>
      <c r="B57" s="1489"/>
    </row>
    <row r="58" spans="1:8">
      <c r="A58" s="59"/>
      <c r="B58" s="68"/>
    </row>
    <row r="60" spans="1:8">
      <c r="B60" s="1636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5:C55"/>
    <mergeCell ref="B54:C54"/>
    <mergeCell ref="A1:C1"/>
    <mergeCell ref="A2:A3"/>
    <mergeCell ref="B2:B3"/>
    <mergeCell ref="C2:D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0"/>
  <sheetViews>
    <sheetView zoomScale="150" zoomScaleNormal="150" workbookViewId="0">
      <pane xSplit="1" ySplit="3" topLeftCell="B43" activePane="bottomRight" state="frozen"/>
      <selection activeCell="BU10" sqref="BU10"/>
      <selection pane="topRight" activeCell="BU10" sqref="BU10"/>
      <selection pane="bottomLeft" activeCell="BU10" sqref="BU10"/>
      <selection pane="bottomRight" activeCell="V45" sqref="V45:W45"/>
    </sheetView>
  </sheetViews>
  <sheetFormatPr defaultColWidth="9.140625" defaultRowHeight="11.25"/>
  <cols>
    <col min="1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2" customFormat="1" ht="14.25" customHeight="1">
      <c r="A1" s="2301" t="s">
        <v>373</v>
      </c>
      <c r="B1" s="2301"/>
      <c r="C1" s="2301"/>
      <c r="D1" s="2301"/>
      <c r="E1" s="2301"/>
      <c r="F1" s="2301"/>
      <c r="G1" s="2301"/>
      <c r="H1" s="2301"/>
      <c r="I1" s="2301"/>
      <c r="J1" s="2301"/>
      <c r="K1" s="2555" t="s">
        <v>322</v>
      </c>
      <c r="L1" s="2555"/>
      <c r="M1" s="2555"/>
      <c r="N1" s="56"/>
      <c r="O1" s="50"/>
      <c r="P1" s="50"/>
      <c r="Q1" s="50"/>
      <c r="R1" s="50"/>
      <c r="S1" s="50"/>
      <c r="T1" s="2301" t="s">
        <v>1085</v>
      </c>
      <c r="U1" s="2301"/>
    </row>
    <row r="2" spans="1:25" s="38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533" t="s">
        <v>24</v>
      </c>
      <c r="U2" s="2533"/>
    </row>
    <row r="3" spans="1:25" s="173" customFormat="1" ht="50.25" customHeight="1">
      <c r="A3" s="901" t="s">
        <v>481</v>
      </c>
      <c r="B3" s="899" t="s">
        <v>62</v>
      </c>
      <c r="C3" s="899" t="s">
        <v>1328</v>
      </c>
      <c r="D3" s="899" t="s">
        <v>1329</v>
      </c>
      <c r="E3" s="899" t="s">
        <v>63</v>
      </c>
      <c r="F3" s="899" t="s">
        <v>1330</v>
      </c>
      <c r="G3" s="899" t="s">
        <v>64</v>
      </c>
      <c r="H3" s="899" t="s">
        <v>65</v>
      </c>
      <c r="I3" s="899" t="s">
        <v>66</v>
      </c>
      <c r="J3" s="899" t="s">
        <v>67</v>
      </c>
      <c r="K3" s="899" t="s">
        <v>68</v>
      </c>
      <c r="L3" s="899" t="s">
        <v>69</v>
      </c>
      <c r="M3" s="899" t="s">
        <v>70</v>
      </c>
      <c r="N3" s="899" t="s">
        <v>71</v>
      </c>
      <c r="O3" s="899" t="s">
        <v>513</v>
      </c>
      <c r="P3" s="897" t="s">
        <v>535</v>
      </c>
      <c r="Q3" s="897" t="s">
        <v>702</v>
      </c>
      <c r="R3" s="897" t="s">
        <v>706</v>
      </c>
      <c r="S3" s="897" t="s">
        <v>1491</v>
      </c>
      <c r="T3" s="899" t="s">
        <v>72</v>
      </c>
      <c r="U3" s="899" t="s">
        <v>477</v>
      </c>
    </row>
    <row r="4" spans="1:25" s="9" customFormat="1" ht="11.25" customHeight="1">
      <c r="A4" s="539" t="s">
        <v>81</v>
      </c>
      <c r="B4" s="521">
        <v>23709.401759999997</v>
      </c>
      <c r="C4" s="521">
        <v>13077.514040000002</v>
      </c>
      <c r="D4" s="521">
        <v>5723.8957499999997</v>
      </c>
      <c r="E4" s="521">
        <v>7050.7496800000008</v>
      </c>
      <c r="F4" s="521">
        <v>10044.25626</v>
      </c>
      <c r="G4" s="521">
        <v>10.44585</v>
      </c>
      <c r="H4" s="521">
        <v>2496.5547799999999</v>
      </c>
      <c r="I4" s="521">
        <v>2414.7833399999995</v>
      </c>
      <c r="J4" s="521">
        <v>1338.3879299999999</v>
      </c>
      <c r="K4" s="521">
        <v>114.11791000000001</v>
      </c>
      <c r="L4" s="521">
        <v>1177.0468499999997</v>
      </c>
      <c r="M4" s="521">
        <v>31.072650000000003</v>
      </c>
      <c r="N4" s="521">
        <v>101.95625</v>
      </c>
      <c r="O4" s="521">
        <v>4061.917840000001</v>
      </c>
      <c r="P4" s="521">
        <v>58.456209999999999</v>
      </c>
      <c r="Q4" s="521">
        <v>1259.92806</v>
      </c>
      <c r="R4" s="521">
        <v>143.63157000000001</v>
      </c>
      <c r="S4" s="521">
        <v>57.544499999999999</v>
      </c>
      <c r="T4" s="521">
        <v>3139.1719699999944</v>
      </c>
      <c r="U4" s="521">
        <f t="shared" ref="U4:U7" si="0">SUM(B4:T4)</f>
        <v>76010.833200000008</v>
      </c>
      <c r="V4" s="84"/>
      <c r="W4" s="84"/>
      <c r="X4" s="84"/>
      <c r="Y4" s="157"/>
    </row>
    <row r="5" spans="1:25" s="159" customFormat="1" ht="11.25" customHeight="1">
      <c r="A5" s="572" t="s">
        <v>189</v>
      </c>
      <c r="B5" s="520">
        <v>23447.611522103758</v>
      </c>
      <c r="C5" s="520">
        <v>14274.536554243999</v>
      </c>
      <c r="D5" s="520">
        <v>6329.345799345223</v>
      </c>
      <c r="E5" s="520">
        <v>7668.545797496</v>
      </c>
      <c r="F5" s="520">
        <v>13162.814794050668</v>
      </c>
      <c r="G5" s="520">
        <v>42.006690047596507</v>
      </c>
      <c r="H5" s="520">
        <v>2273.663133048</v>
      </c>
      <c r="I5" s="520">
        <v>2378.4981804742797</v>
      </c>
      <c r="J5" s="520">
        <v>1443.4474231873241</v>
      </c>
      <c r="K5" s="520">
        <v>184.06482744244911</v>
      </c>
      <c r="L5" s="520">
        <v>1326.4480618323998</v>
      </c>
      <c r="M5" s="520">
        <v>16.463787679999999</v>
      </c>
      <c r="N5" s="520">
        <v>108.62308996920061</v>
      </c>
      <c r="O5" s="520">
        <v>5011.1663160175985</v>
      </c>
      <c r="P5" s="520">
        <v>93.970096692639999</v>
      </c>
      <c r="Q5" s="520">
        <v>1538.1769608763173</v>
      </c>
      <c r="R5" s="520">
        <v>170.3696918419937</v>
      </c>
      <c r="S5" s="520">
        <v>79.384371033026895</v>
      </c>
      <c r="T5" s="520">
        <v>3459.7479699999994</v>
      </c>
      <c r="U5" s="621">
        <f t="shared" si="0"/>
        <v>83008.885067382464</v>
      </c>
      <c r="V5" s="475"/>
      <c r="W5" s="475"/>
      <c r="X5" s="475"/>
    </row>
    <row r="6" spans="1:25" s="9" customFormat="1" ht="11.25" customHeight="1">
      <c r="A6" s="539" t="s">
        <v>705</v>
      </c>
      <c r="B6" s="521">
        <v>29163.283242118639</v>
      </c>
      <c r="C6" s="521">
        <v>19038.108899337632</v>
      </c>
      <c r="D6" s="521">
        <v>7809.7835324582902</v>
      </c>
      <c r="E6" s="521">
        <v>9385.6420626336549</v>
      </c>
      <c r="F6" s="521">
        <v>11828.910059940725</v>
      </c>
      <c r="G6" s="521">
        <v>102.87052779546001</v>
      </c>
      <c r="H6" s="521">
        <v>2651.53684450951</v>
      </c>
      <c r="I6" s="521">
        <v>3174.0609841537071</v>
      </c>
      <c r="J6" s="521">
        <v>2481.4516458887801</v>
      </c>
      <c r="K6" s="521">
        <v>275.82418570616346</v>
      </c>
      <c r="L6" s="521">
        <v>2371.4713983471402</v>
      </c>
      <c r="M6" s="521">
        <v>8.9624438679999994</v>
      </c>
      <c r="N6" s="521">
        <v>173.68251222769157</v>
      </c>
      <c r="O6" s="521">
        <v>6712.3823075712635</v>
      </c>
      <c r="P6" s="521">
        <v>422.0270226909729</v>
      </c>
      <c r="Q6" s="521">
        <v>1914.8794293305637</v>
      </c>
      <c r="R6" s="521">
        <v>239.72250396515088</v>
      </c>
      <c r="S6" s="521">
        <v>178.82062360774498</v>
      </c>
      <c r="T6" s="521">
        <v>3658.1110738488965</v>
      </c>
      <c r="U6" s="521">
        <f t="shared" si="0"/>
        <v>101591.53129999999</v>
      </c>
      <c r="V6" s="84"/>
      <c r="W6" s="84"/>
      <c r="X6" s="84"/>
      <c r="Y6" s="157"/>
    </row>
    <row r="7" spans="1:25" s="159" customFormat="1" ht="11.25" customHeight="1">
      <c r="A7" s="572" t="s">
        <v>814</v>
      </c>
      <c r="B7" s="520">
        <v>30645.329417797999</v>
      </c>
      <c r="C7" s="520">
        <v>22629.954310562003</v>
      </c>
      <c r="D7" s="520">
        <v>7944.261095199</v>
      </c>
      <c r="E7" s="520">
        <v>9487.7621551789998</v>
      </c>
      <c r="F7" s="520">
        <v>14854.690027008</v>
      </c>
      <c r="G7" s="520">
        <v>459.92579137900003</v>
      </c>
      <c r="H7" s="520">
        <v>2297.8989676470005</v>
      </c>
      <c r="I7" s="520">
        <v>4875.3607362970006</v>
      </c>
      <c r="J7" s="520">
        <v>3983.3948069319999</v>
      </c>
      <c r="K7" s="520">
        <v>206.712431503</v>
      </c>
      <c r="L7" s="520">
        <v>2890.2409015500002</v>
      </c>
      <c r="M7" s="520">
        <v>21.251621922999998</v>
      </c>
      <c r="N7" s="520">
        <v>169.73017864899998</v>
      </c>
      <c r="O7" s="520">
        <v>7967.163443454001</v>
      </c>
      <c r="P7" s="520">
        <v>488.01441817900002</v>
      </c>
      <c r="Q7" s="520">
        <v>1866.267097298</v>
      </c>
      <c r="R7" s="520">
        <v>494.83839057</v>
      </c>
      <c r="S7" s="520">
        <v>156.27197931100002</v>
      </c>
      <c r="T7" s="520">
        <v>4207.0907388400001</v>
      </c>
      <c r="U7" s="621">
        <f t="shared" si="0"/>
        <v>115646.158509278</v>
      </c>
      <c r="V7" s="475"/>
      <c r="W7" s="475"/>
      <c r="X7" s="475"/>
    </row>
    <row r="8" spans="1:25" s="26" customFormat="1" ht="11.25" customHeight="1">
      <c r="A8" s="540" t="s">
        <v>991</v>
      </c>
      <c r="B8" s="521">
        <v>24240.140711880998</v>
      </c>
      <c r="C8" s="521">
        <v>20866.964531202</v>
      </c>
      <c r="D8" s="521">
        <v>7004.6693670379991</v>
      </c>
      <c r="E8" s="521">
        <v>8602.8400845840006</v>
      </c>
      <c r="F8" s="521">
        <v>18056.862406150001</v>
      </c>
      <c r="G8" s="521">
        <v>559.41628836799998</v>
      </c>
      <c r="H8" s="521">
        <v>2001.5196785359999</v>
      </c>
      <c r="I8" s="521">
        <v>5448.4327879120001</v>
      </c>
      <c r="J8" s="521">
        <v>3335.1378381119998</v>
      </c>
      <c r="K8" s="521">
        <v>209.31088224700002</v>
      </c>
      <c r="L8" s="521">
        <v>3570.1673695179998</v>
      </c>
      <c r="M8" s="521">
        <v>3.0288693630000005</v>
      </c>
      <c r="N8" s="521">
        <v>132.67317405499998</v>
      </c>
      <c r="O8" s="521">
        <v>8274.3293595220002</v>
      </c>
      <c r="P8" s="521">
        <v>422.62113959999994</v>
      </c>
      <c r="Q8" s="521">
        <v>2095.1929835080005</v>
      </c>
      <c r="R8" s="521">
        <v>455.27028396500003</v>
      </c>
      <c r="S8" s="521">
        <v>137.56719587499998</v>
      </c>
      <c r="T8" s="521">
        <v>5166.238465553999</v>
      </c>
      <c r="U8" s="521">
        <v>110582.38341698998</v>
      </c>
      <c r="V8" s="475"/>
      <c r="W8" s="84"/>
      <c r="X8" s="84"/>
    </row>
    <row r="9" spans="1:25" s="26" customFormat="1" ht="11.25" customHeight="1">
      <c r="A9" s="537" t="s">
        <v>1042</v>
      </c>
      <c r="B9" s="520">
        <v>25987.258654580997</v>
      </c>
      <c r="C9" s="520">
        <v>21934.982243472998</v>
      </c>
      <c r="D9" s="520">
        <v>6309.8007089949997</v>
      </c>
      <c r="E9" s="520">
        <v>8371.9666337629988</v>
      </c>
      <c r="F9" s="520">
        <v>18489.105624444001</v>
      </c>
      <c r="G9" s="520">
        <v>355.14259886400004</v>
      </c>
      <c r="H9" s="520">
        <v>2409.4986989259996</v>
      </c>
      <c r="I9" s="520">
        <v>7109.6637192180006</v>
      </c>
      <c r="J9" s="520">
        <v>3444.4421886290006</v>
      </c>
      <c r="K9" s="520">
        <v>164.36111672899997</v>
      </c>
      <c r="L9" s="520">
        <v>4306.5368910809993</v>
      </c>
      <c r="M9" s="520">
        <v>1.0878520650000001</v>
      </c>
      <c r="N9" s="520">
        <v>126.68805762700001</v>
      </c>
      <c r="O9" s="520">
        <v>10732.610499937999</v>
      </c>
      <c r="P9" s="520">
        <v>480.40710343800004</v>
      </c>
      <c r="Q9" s="520">
        <v>2020.3891492669998</v>
      </c>
      <c r="R9" s="520">
        <v>469.14853845199997</v>
      </c>
      <c r="S9" s="520">
        <v>152.87326095199998</v>
      </c>
      <c r="T9" s="520">
        <v>6116.3519323189985</v>
      </c>
      <c r="U9" s="520">
        <v>118982.31547276098</v>
      </c>
      <c r="V9" s="475"/>
      <c r="W9" s="475"/>
      <c r="X9" s="475"/>
    </row>
    <row r="10" spans="1:25" s="26" customFormat="1" ht="11.25" customHeight="1">
      <c r="A10" s="540" t="s">
        <v>1163</v>
      </c>
      <c r="B10" s="521">
        <v>23165.843384732998</v>
      </c>
      <c r="C10" s="521">
        <v>21248.75908046</v>
      </c>
      <c r="D10" s="521">
        <v>6747.2028958150004</v>
      </c>
      <c r="E10" s="521">
        <v>8122.9117313530023</v>
      </c>
      <c r="F10" s="521">
        <v>18889.249921554001</v>
      </c>
      <c r="G10" s="521">
        <v>95.893180836999989</v>
      </c>
      <c r="H10" s="521">
        <v>3379.2433817339997</v>
      </c>
      <c r="I10" s="521">
        <v>7132.6719513709986</v>
      </c>
      <c r="J10" s="521">
        <v>3046.1566874470004</v>
      </c>
      <c r="K10" s="521">
        <v>204.66359045500002</v>
      </c>
      <c r="L10" s="521">
        <v>3806.9407668829999</v>
      </c>
      <c r="M10" s="521">
        <v>1.4088847410000001</v>
      </c>
      <c r="N10" s="521">
        <v>178.34404229900002</v>
      </c>
      <c r="O10" s="521">
        <v>10364.006886042</v>
      </c>
      <c r="P10" s="521">
        <v>540.57418486999995</v>
      </c>
      <c r="Q10" s="521">
        <v>2736.7067065770002</v>
      </c>
      <c r="R10" s="521">
        <v>506.556349066</v>
      </c>
      <c r="S10" s="521">
        <v>211.20321155199997</v>
      </c>
      <c r="T10" s="521">
        <v>6478.3840429919992</v>
      </c>
      <c r="U10" s="521">
        <v>116856.72088078098</v>
      </c>
      <c r="V10" s="84"/>
      <c r="W10" s="84"/>
      <c r="X10" s="84"/>
    </row>
    <row r="11" spans="1:25" s="26" customFormat="1" ht="11.25" customHeight="1">
      <c r="A11" s="537" t="s">
        <v>1187</v>
      </c>
      <c r="B11" s="520">
        <v>17943.426236539002</v>
      </c>
      <c r="C11" s="520">
        <v>16573.528397069</v>
      </c>
      <c r="D11" s="520">
        <v>6405.7376632189998</v>
      </c>
      <c r="E11" s="520">
        <v>8180.2432115789998</v>
      </c>
      <c r="F11" s="520">
        <v>13373.095621944</v>
      </c>
      <c r="G11" s="520">
        <v>17.628407153000001</v>
      </c>
      <c r="H11" s="520">
        <v>4562.3081073049998</v>
      </c>
      <c r="I11" s="520">
        <v>7107.4456062180016</v>
      </c>
      <c r="J11" s="520">
        <v>2380.5595638059999</v>
      </c>
      <c r="K11" s="520">
        <v>251.78556692700002</v>
      </c>
      <c r="L11" s="520">
        <v>3465.3919270970009</v>
      </c>
      <c r="M11" s="520">
        <v>0.15725730799999998</v>
      </c>
      <c r="N11" s="520">
        <v>181.68376342400001</v>
      </c>
      <c r="O11" s="520">
        <v>8729.7625331060008</v>
      </c>
      <c r="P11" s="520">
        <v>411.69327297199999</v>
      </c>
      <c r="Q11" s="520">
        <v>4047.0763187749994</v>
      </c>
      <c r="R11" s="520">
        <v>638.67820879400006</v>
      </c>
      <c r="S11" s="520">
        <v>150.208864742</v>
      </c>
      <c r="T11" s="520">
        <v>6678.5518861929977</v>
      </c>
      <c r="U11" s="520">
        <v>101098.96241417</v>
      </c>
      <c r="V11" s="475"/>
      <c r="W11" s="475"/>
      <c r="X11" s="475"/>
    </row>
    <row r="12" spans="1:25" s="26" customFormat="1" ht="11.25" customHeight="1">
      <c r="A12" s="540" t="s">
        <v>1311</v>
      </c>
      <c r="B12" s="521">
        <v>21303.057974675001</v>
      </c>
      <c r="C12" s="521">
        <v>19981.775415710003</v>
      </c>
      <c r="D12" s="521">
        <v>9090.1559443150018</v>
      </c>
      <c r="E12" s="521">
        <v>9868.4859093200012</v>
      </c>
      <c r="F12" s="521">
        <v>16410.639824310001</v>
      </c>
      <c r="G12" s="521">
        <v>19.443675874999997</v>
      </c>
      <c r="H12" s="521">
        <v>6950.4103529849999</v>
      </c>
      <c r="I12" s="521">
        <v>7874.3254532150004</v>
      </c>
      <c r="J12" s="521">
        <v>2715.2346651450002</v>
      </c>
      <c r="K12" s="521">
        <v>330.55203132999998</v>
      </c>
      <c r="L12" s="521">
        <v>4451.4895316450002</v>
      </c>
      <c r="M12" s="521">
        <v>0.3327156</v>
      </c>
      <c r="N12" s="521">
        <v>258.69044694500002</v>
      </c>
      <c r="O12" s="521">
        <v>9103.3843674349991</v>
      </c>
      <c r="P12" s="521">
        <v>464.68689706499993</v>
      </c>
      <c r="Q12" s="521">
        <v>5434.0171208399997</v>
      </c>
      <c r="R12" s="521">
        <v>791.06830617999992</v>
      </c>
      <c r="S12" s="521">
        <v>174.71432794999998</v>
      </c>
      <c r="T12" s="521">
        <v>7933.5399799049983</v>
      </c>
      <c r="U12" s="521">
        <v>123156.00494044498</v>
      </c>
      <c r="V12" s="475"/>
      <c r="W12" s="475"/>
      <c r="X12" s="475"/>
    </row>
    <row r="13" spans="1:25" s="26" customFormat="1" ht="11.25" customHeight="1">
      <c r="A13" s="537" t="s">
        <v>1420</v>
      </c>
      <c r="B13" s="520">
        <v>26143.3635736</v>
      </c>
      <c r="C13" s="520">
        <v>21351.112195200003</v>
      </c>
      <c r="D13" s="520">
        <v>9882.1187704000004</v>
      </c>
      <c r="E13" s="520">
        <v>12301.017555900002</v>
      </c>
      <c r="F13" s="520">
        <v>15488.6576974</v>
      </c>
      <c r="G13" s="520">
        <v>65.783767699999999</v>
      </c>
      <c r="H13" s="520">
        <v>8605.6801902999996</v>
      </c>
      <c r="I13" s="520">
        <v>8960.9986872000009</v>
      </c>
      <c r="J13" s="520">
        <v>3096.0592743000002</v>
      </c>
      <c r="K13" s="520">
        <v>509.60950109999999</v>
      </c>
      <c r="L13" s="520">
        <v>3950.0114481000001</v>
      </c>
      <c r="M13" s="520">
        <v>0</v>
      </c>
      <c r="N13" s="520">
        <v>416.43734380000012</v>
      </c>
      <c r="O13" s="520">
        <v>10065.4388858</v>
      </c>
      <c r="P13" s="520">
        <v>480.4309207</v>
      </c>
      <c r="Q13" s="520">
        <v>6368.1924249999993</v>
      </c>
      <c r="R13" s="520">
        <v>945.79052019999995</v>
      </c>
      <c r="S13" s="520">
        <v>168.7680048</v>
      </c>
      <c r="T13" s="520">
        <v>9207.1009232000051</v>
      </c>
      <c r="U13" s="520">
        <v>138006.57168470003</v>
      </c>
      <c r="V13" s="475"/>
      <c r="W13" s="475"/>
      <c r="X13" s="475"/>
    </row>
    <row r="14" spans="1:25" s="745" customFormat="1" ht="11.25" customHeight="1">
      <c r="A14" s="540" t="s">
        <v>1502</v>
      </c>
      <c r="B14" s="521">
        <v>34046.098481299996</v>
      </c>
      <c r="C14" s="521">
        <v>20962.529843</v>
      </c>
      <c r="D14" s="521">
        <v>11571.721058799998</v>
      </c>
      <c r="E14" s="521">
        <v>11633.0822479</v>
      </c>
      <c r="F14" s="521">
        <v>20382.712716000005</v>
      </c>
      <c r="G14" s="521">
        <v>34.065723600000005</v>
      </c>
      <c r="H14" s="521">
        <v>8643.3577769000003</v>
      </c>
      <c r="I14" s="521">
        <v>10517.8744919</v>
      </c>
      <c r="J14" s="521">
        <v>3878.3621465999995</v>
      </c>
      <c r="K14" s="521">
        <v>447.22381150000001</v>
      </c>
      <c r="L14" s="521">
        <v>3706.6695920999996</v>
      </c>
      <c r="M14" s="521">
        <v>8.4499999999999992E-2</v>
      </c>
      <c r="N14" s="521">
        <v>418.39038869999996</v>
      </c>
      <c r="O14" s="521">
        <v>10439.316572900001</v>
      </c>
      <c r="P14" s="521">
        <v>519.89813179999999</v>
      </c>
      <c r="Q14" s="521">
        <v>5926.4297523000005</v>
      </c>
      <c r="R14" s="521">
        <v>1507.8597989999998</v>
      </c>
      <c r="S14" s="521">
        <v>144.8888565</v>
      </c>
      <c r="T14" s="521">
        <v>9572.4952561000027</v>
      </c>
      <c r="U14" s="521">
        <v>154353.06114690003</v>
      </c>
      <c r="V14" s="27"/>
      <c r="W14" s="27"/>
      <c r="X14" s="27"/>
    </row>
    <row r="15" spans="1:25" s="745" customFormat="1" ht="11.25" customHeight="1">
      <c r="A15" s="537" t="s">
        <v>1555</v>
      </c>
      <c r="B15" s="520">
        <v>48521.200303699996</v>
      </c>
      <c r="C15" s="520">
        <v>20692.835907599998</v>
      </c>
      <c r="D15" s="520">
        <v>17161.472797799997</v>
      </c>
      <c r="E15" s="520">
        <v>15998.640572499999</v>
      </c>
      <c r="F15" s="520">
        <v>29357.019671900005</v>
      </c>
      <c r="G15" s="520">
        <v>59.023163700000005</v>
      </c>
      <c r="H15" s="520">
        <v>12298.410095000001</v>
      </c>
      <c r="I15" s="520">
        <v>13023.291548699999</v>
      </c>
      <c r="J15" s="520">
        <v>5299.2566540000007</v>
      </c>
      <c r="K15" s="520">
        <v>567.26565100000005</v>
      </c>
      <c r="L15" s="520">
        <v>4899.6029505999995</v>
      </c>
      <c r="M15" s="520">
        <v>8.4802499999999989E-2</v>
      </c>
      <c r="N15" s="520">
        <v>674.5472201</v>
      </c>
      <c r="O15" s="520">
        <v>16981.377058799997</v>
      </c>
      <c r="P15" s="520">
        <v>1202.2905979</v>
      </c>
      <c r="Q15" s="520">
        <v>6877.0052047999989</v>
      </c>
      <c r="R15" s="520">
        <v>1773.7958544999999</v>
      </c>
      <c r="S15" s="520">
        <v>181.14529060000001</v>
      </c>
      <c r="T15" s="520">
        <v>14562.336121399996</v>
      </c>
      <c r="U15" s="520">
        <v>210130.6014671</v>
      </c>
      <c r="V15" s="27"/>
      <c r="W15" s="27"/>
      <c r="X15" s="27"/>
    </row>
    <row r="16" spans="1:25" s="745" customFormat="1" ht="11.25" customHeight="1">
      <c r="A16" s="540" t="s">
        <v>1836</v>
      </c>
      <c r="B16" s="521">
        <v>39158.175854299996</v>
      </c>
      <c r="C16" s="521">
        <v>17947.8753072</v>
      </c>
      <c r="D16" s="521">
        <v>17614.919640699998</v>
      </c>
      <c r="E16" s="521">
        <v>14591.768105700001</v>
      </c>
      <c r="F16" s="521">
        <v>29681.0637967</v>
      </c>
      <c r="G16" s="521">
        <v>20.136485900000004</v>
      </c>
      <c r="H16" s="521">
        <v>11619.2514574</v>
      </c>
      <c r="I16" s="521">
        <v>7728.6748983999996</v>
      </c>
      <c r="J16" s="521">
        <v>3321.2278345</v>
      </c>
      <c r="K16" s="521">
        <v>722.60180549999995</v>
      </c>
      <c r="L16" s="521">
        <v>4890.2717383000008</v>
      </c>
      <c r="M16" s="521">
        <v>0.93426680000000006</v>
      </c>
      <c r="N16" s="521">
        <v>598.07390220000013</v>
      </c>
      <c r="O16" s="521">
        <v>8813.7038080000002</v>
      </c>
      <c r="P16" s="521">
        <v>1110.0690999000001</v>
      </c>
      <c r="Q16" s="521">
        <v>9111.6374758999991</v>
      </c>
      <c r="R16" s="521">
        <v>1171.3974736</v>
      </c>
      <c r="S16" s="521">
        <v>178.02595140000003</v>
      </c>
      <c r="T16" s="521">
        <v>13300.732195100001</v>
      </c>
      <c r="U16" s="521">
        <v>181580.54109750001</v>
      </c>
      <c r="V16" s="27"/>
      <c r="W16" s="27"/>
      <c r="X16" s="27"/>
    </row>
    <row r="17" spans="1:24" s="745" customFormat="1" ht="11.25" customHeight="1">
      <c r="A17" s="542" t="s">
        <v>2088</v>
      </c>
      <c r="B17" s="538">
        <v>37457.374522400001</v>
      </c>
      <c r="C17" s="538">
        <v>30263.662829199999</v>
      </c>
      <c r="D17" s="538">
        <v>20784.396020799999</v>
      </c>
      <c r="E17" s="538">
        <v>15455.397383300002</v>
      </c>
      <c r="F17" s="538">
        <v>34888.233900599997</v>
      </c>
      <c r="G17" s="538">
        <v>26.302682900000001</v>
      </c>
      <c r="H17" s="538">
        <v>14455.068423000001</v>
      </c>
      <c r="I17" s="538">
        <v>7915.9911605999996</v>
      </c>
      <c r="J17" s="538">
        <v>4237.1926812000002</v>
      </c>
      <c r="K17" s="538">
        <v>1125.2817604000002</v>
      </c>
      <c r="L17" s="538">
        <v>5276.4684546000008</v>
      </c>
      <c r="M17" s="538">
        <v>0.49717749999999999</v>
      </c>
      <c r="N17" s="538">
        <v>1123.2660660000001</v>
      </c>
      <c r="O17" s="538">
        <v>11195.259369900001</v>
      </c>
      <c r="P17" s="538">
        <v>1294.5214367999999</v>
      </c>
      <c r="Q17" s="538">
        <v>11772.177798499997</v>
      </c>
      <c r="R17" s="538">
        <v>1164.7566234000001</v>
      </c>
      <c r="S17" s="538">
        <v>187.69469090000001</v>
      </c>
      <c r="T17" s="538">
        <v>16450.068571699998</v>
      </c>
      <c r="U17" s="538">
        <v>215073.61155369994</v>
      </c>
      <c r="V17" s="27"/>
      <c r="W17" s="27"/>
      <c r="X17" s="27"/>
    </row>
    <row r="18" spans="1:24" s="745" customFormat="1" ht="11.25" customHeight="1">
      <c r="A18" s="541" t="s">
        <v>2228</v>
      </c>
      <c r="B18" s="1430">
        <f>SUM(B19:B30)</f>
        <v>30516.555239938389</v>
      </c>
      <c r="C18" s="1430">
        <f t="shared" ref="C18:U18" si="1">SUM(C19:C30)</f>
        <v>51233.574854544095</v>
      </c>
      <c r="D18" s="1430">
        <f t="shared" si="1"/>
        <v>31008.447237613305</v>
      </c>
      <c r="E18" s="1430">
        <f t="shared" si="1"/>
        <v>16628.440987672388</v>
      </c>
      <c r="F18" s="1430">
        <f t="shared" si="1"/>
        <v>33027.021355669247</v>
      </c>
      <c r="G18" s="1430">
        <f t="shared" si="1"/>
        <v>20.755184179930001</v>
      </c>
      <c r="H18" s="1430">
        <f t="shared" si="1"/>
        <v>12780.367329326429</v>
      </c>
      <c r="I18" s="1430">
        <f t="shared" si="1"/>
        <v>12520.142477039341</v>
      </c>
      <c r="J18" s="1430">
        <f t="shared" si="1"/>
        <v>7051.056001973071</v>
      </c>
      <c r="K18" s="1430">
        <f t="shared" si="1"/>
        <v>1387.4437819806794</v>
      </c>
      <c r="L18" s="1430">
        <f t="shared" si="1"/>
        <v>7121.2584661642195</v>
      </c>
      <c r="M18" s="1430">
        <f t="shared" si="1"/>
        <v>0.89241208908999992</v>
      </c>
      <c r="N18" s="1430">
        <f t="shared" si="1"/>
        <v>850.94897197372802</v>
      </c>
      <c r="O18" s="1430">
        <f t="shared" si="1"/>
        <v>17942.198721202687</v>
      </c>
      <c r="P18" s="1430">
        <f t="shared" si="1"/>
        <v>1295.717340767618</v>
      </c>
      <c r="Q18" s="1430">
        <f t="shared" si="1"/>
        <v>16245.698173344601</v>
      </c>
      <c r="R18" s="1430">
        <f t="shared" si="1"/>
        <v>1291.7734250035185</v>
      </c>
      <c r="S18" s="1430">
        <f t="shared" si="1"/>
        <v>156.40584079686241</v>
      </c>
      <c r="T18" s="1430">
        <f t="shared" si="1"/>
        <v>25083.484426050796</v>
      </c>
      <c r="U18" s="1430">
        <f t="shared" si="1"/>
        <v>266162.18222732999</v>
      </c>
      <c r="V18" s="27"/>
      <c r="W18" s="27"/>
      <c r="X18" s="27"/>
    </row>
    <row r="19" spans="1:24" s="745" customFormat="1" ht="11.25" customHeight="1">
      <c r="A19" s="537" t="s">
        <v>559</v>
      </c>
      <c r="B19" s="739">
        <v>3344.2838999999999</v>
      </c>
      <c r="C19" s="739">
        <v>3588.7700856000001</v>
      </c>
      <c r="D19" s="739">
        <v>2406.2530500000003</v>
      </c>
      <c r="E19" s="739">
        <v>1248.6414132</v>
      </c>
      <c r="F19" s="739">
        <v>2175.1439999999998</v>
      </c>
      <c r="G19" s="739">
        <v>2.1751440000000004</v>
      </c>
      <c r="H19" s="739">
        <v>1235.5905491999999</v>
      </c>
      <c r="I19" s="739">
        <v>1313.5694616000001</v>
      </c>
      <c r="J19" s="739">
        <v>464.28448679999991</v>
      </c>
      <c r="K19" s="739">
        <v>104.7331836</v>
      </c>
      <c r="L19" s="739">
        <v>528.23372039999992</v>
      </c>
      <c r="M19" s="739">
        <v>0.1087572</v>
      </c>
      <c r="N19" s="739">
        <v>55.792443599999999</v>
      </c>
      <c r="O19" s="739">
        <v>1268.7614951999999</v>
      </c>
      <c r="P19" s="739">
        <v>89.180903999999984</v>
      </c>
      <c r="Q19" s="739">
        <v>1235.5905491999999</v>
      </c>
      <c r="R19" s="739">
        <v>79.936542000000003</v>
      </c>
      <c r="S19" s="739">
        <v>16.6398516</v>
      </c>
      <c r="T19" s="739">
        <v>2301.7373807999998</v>
      </c>
      <c r="U19" s="739">
        <f t="shared" ref="U19:U50" si="2">SUM(B19:T19)</f>
        <v>21459.426917999997</v>
      </c>
      <c r="V19" s="27"/>
      <c r="W19" s="27"/>
      <c r="X19" s="27"/>
    </row>
    <row r="20" spans="1:24" s="745" customFormat="1" ht="11.25" customHeight="1">
      <c r="A20" s="540" t="s">
        <v>560</v>
      </c>
      <c r="B20" s="757">
        <v>3189.1624608000002</v>
      </c>
      <c r="C20" s="757">
        <v>2611.5536502000004</v>
      </c>
      <c r="D20" s="757">
        <v>2403.8027458000006</v>
      </c>
      <c r="E20" s="757">
        <v>1272.446925</v>
      </c>
      <c r="F20" s="757">
        <v>1863.7379606000002</v>
      </c>
      <c r="G20" s="757">
        <v>1.64</v>
      </c>
      <c r="H20" s="757">
        <v>747.59677399999998</v>
      </c>
      <c r="I20" s="757">
        <v>708.73925500000007</v>
      </c>
      <c r="J20" s="757">
        <v>294.22256640000001</v>
      </c>
      <c r="K20" s="757">
        <v>53.743779800000006</v>
      </c>
      <c r="L20" s="757">
        <v>252.4096868</v>
      </c>
      <c r="M20" s="757">
        <v>0</v>
      </c>
      <c r="N20" s="757">
        <v>41.156132800000002</v>
      </c>
      <c r="O20" s="757">
        <v>911.34564280000018</v>
      </c>
      <c r="P20" s="757">
        <v>66.1125112</v>
      </c>
      <c r="Q20" s="757">
        <v>1217.8274828000001</v>
      </c>
      <c r="R20" s="757">
        <v>47.942516400000002</v>
      </c>
      <c r="S20" s="757">
        <v>12.916020399999999</v>
      </c>
      <c r="T20" s="757">
        <v>1810.8698432000008</v>
      </c>
      <c r="U20" s="757">
        <f t="shared" si="2"/>
        <v>17507.225954000001</v>
      </c>
      <c r="V20" s="27"/>
      <c r="W20" s="27"/>
      <c r="X20" s="27"/>
    </row>
    <row r="21" spans="1:24" s="745" customFormat="1" ht="11.25" customHeight="1">
      <c r="A21" s="537" t="s">
        <v>554</v>
      </c>
      <c r="B21" s="739">
        <v>2377.00155</v>
      </c>
      <c r="C21" s="739">
        <v>2827.8785499999999</v>
      </c>
      <c r="D21" s="739">
        <v>1626.4563000000001</v>
      </c>
      <c r="E21" s="739">
        <v>1025.0303699999999</v>
      </c>
      <c r="F21" s="739">
        <v>1552.66643</v>
      </c>
      <c r="G21" s="739">
        <v>1.42961</v>
      </c>
      <c r="H21" s="739">
        <v>798.05228999999986</v>
      </c>
      <c r="I21" s="739">
        <v>466.60271</v>
      </c>
      <c r="J21" s="739">
        <v>270.85611</v>
      </c>
      <c r="K21" s="739">
        <v>81.707709999999992</v>
      </c>
      <c r="L21" s="739">
        <v>283.17275000000001</v>
      </c>
      <c r="M21" s="739">
        <v>0</v>
      </c>
      <c r="N21" s="739">
        <v>64.772329999999997</v>
      </c>
      <c r="O21" s="739">
        <v>696.33004000000005</v>
      </c>
      <c r="P21" s="739">
        <v>63.34272</v>
      </c>
      <c r="Q21" s="739">
        <v>1022.3910899999998</v>
      </c>
      <c r="R21" s="739">
        <v>84.237020000000001</v>
      </c>
      <c r="S21" s="739">
        <v>10.33718</v>
      </c>
      <c r="T21" s="739">
        <v>1421.5821899999992</v>
      </c>
      <c r="U21" s="739">
        <f t="shared" si="2"/>
        <v>14673.846949999999</v>
      </c>
      <c r="V21" s="27"/>
      <c r="W21" s="27"/>
      <c r="X21" s="27"/>
    </row>
    <row r="22" spans="1:24" s="745" customFormat="1" ht="11.25" customHeight="1">
      <c r="A22" s="540" t="s">
        <v>561</v>
      </c>
      <c r="B22" s="757">
        <v>2770.3308138000002</v>
      </c>
      <c r="C22" s="757">
        <v>3638.6764391999995</v>
      </c>
      <c r="D22" s="757">
        <v>2592.2199666000001</v>
      </c>
      <c r="E22" s="757">
        <v>1679.6781011999999</v>
      </c>
      <c r="F22" s="757">
        <v>2033.3585117999999</v>
      </c>
      <c r="G22" s="757">
        <v>1.7678495999999999</v>
      </c>
      <c r="H22" s="757">
        <v>1116.6180036000001</v>
      </c>
      <c r="I22" s="757">
        <v>820.83466740000006</v>
      </c>
      <c r="J22" s="757">
        <v>465.71787899999998</v>
      </c>
      <c r="K22" s="757">
        <v>182.30949000000001</v>
      </c>
      <c r="L22" s="757">
        <v>571.34689260000005</v>
      </c>
      <c r="M22" s="757">
        <v>0</v>
      </c>
      <c r="N22" s="757">
        <v>95.574369000000004</v>
      </c>
      <c r="O22" s="757">
        <v>1378.0387631999999</v>
      </c>
      <c r="P22" s="757">
        <v>120.1032822</v>
      </c>
      <c r="Q22" s="757">
        <v>1969.8264168000001</v>
      </c>
      <c r="R22" s="757">
        <v>84.967271400000001</v>
      </c>
      <c r="S22" s="757">
        <v>11.4910224</v>
      </c>
      <c r="T22" s="757">
        <v>2249.588616</v>
      </c>
      <c r="U22" s="757">
        <f t="shared" si="2"/>
        <v>21782.448355800003</v>
      </c>
      <c r="V22" s="27"/>
      <c r="W22" s="27"/>
      <c r="X22" s="27"/>
    </row>
    <row r="23" spans="1:24" s="745" customFormat="1" ht="11.25" customHeight="1">
      <c r="A23" s="537" t="s">
        <v>562</v>
      </c>
      <c r="B23" s="739">
        <v>2155.5227519999999</v>
      </c>
      <c r="C23" s="739">
        <v>4218.3491551999996</v>
      </c>
      <c r="D23" s="739">
        <v>2950.3163263999995</v>
      </c>
      <c r="E23" s="739">
        <v>1292.3157239999998</v>
      </c>
      <c r="F23" s="739">
        <v>2433.1682751999997</v>
      </c>
      <c r="G23" s="739">
        <v>2.1067352000000001</v>
      </c>
      <c r="H23" s="739">
        <v>972.3137352</v>
      </c>
      <c r="I23" s="739">
        <v>735.80498879999993</v>
      </c>
      <c r="J23" s="739">
        <v>495.74805679999997</v>
      </c>
      <c r="K23" s="739">
        <v>94.69220319999998</v>
      </c>
      <c r="L23" s="739">
        <v>527.79260799999997</v>
      </c>
      <c r="M23" s="739">
        <v>0.55440400000000001</v>
      </c>
      <c r="N23" s="739">
        <v>51.781333599999996</v>
      </c>
      <c r="O23" s="739">
        <v>1583.7104664000001</v>
      </c>
      <c r="P23" s="739">
        <v>93.139871999999997</v>
      </c>
      <c r="Q23" s="739">
        <v>1647.4669263999999</v>
      </c>
      <c r="R23" s="739">
        <v>89.702567200000004</v>
      </c>
      <c r="S23" s="739">
        <v>17.075643199999998</v>
      </c>
      <c r="T23" s="739">
        <v>2038.8761504000008</v>
      </c>
      <c r="U23" s="739">
        <f t="shared" si="2"/>
        <v>21400.437923199999</v>
      </c>
      <c r="V23" s="27"/>
      <c r="W23" s="27"/>
      <c r="X23" s="27"/>
    </row>
    <row r="24" spans="1:24" s="745" customFormat="1" ht="11.25" customHeight="1">
      <c r="A24" s="540" t="s">
        <v>555</v>
      </c>
      <c r="B24" s="757">
        <v>1822.7149285999999</v>
      </c>
      <c r="C24" s="757">
        <v>4879.5930324000001</v>
      </c>
      <c r="D24" s="757">
        <v>3088.3820906000001</v>
      </c>
      <c r="E24" s="757">
        <v>1348.8332810000002</v>
      </c>
      <c r="F24" s="757">
        <v>2314.8821070000004</v>
      </c>
      <c r="G24" s="757">
        <v>1.3218456000000001</v>
      </c>
      <c r="H24" s="757">
        <v>923.97007439999993</v>
      </c>
      <c r="I24" s="757">
        <v>856.11533359999999</v>
      </c>
      <c r="J24" s="757">
        <v>665.21879820000004</v>
      </c>
      <c r="K24" s="757">
        <v>73.582738399999997</v>
      </c>
      <c r="L24" s="757">
        <v>560.57268820000002</v>
      </c>
      <c r="M24" s="757">
        <v>0.11015380000000001</v>
      </c>
      <c r="N24" s="757">
        <v>138.79378800000001</v>
      </c>
      <c r="O24" s="757">
        <v>1667.9488396000002</v>
      </c>
      <c r="P24" s="757">
        <v>110.5944152</v>
      </c>
      <c r="Q24" s="757">
        <v>1298.7133020000001</v>
      </c>
      <c r="R24" s="757">
        <v>71.269508599999995</v>
      </c>
      <c r="S24" s="757">
        <v>13.769225</v>
      </c>
      <c r="T24" s="757">
        <v>2098.0994286000005</v>
      </c>
      <c r="U24" s="757">
        <f t="shared" si="2"/>
        <v>21934.485578800006</v>
      </c>
      <c r="V24" s="27"/>
      <c r="W24" s="27"/>
      <c r="X24" s="27"/>
    </row>
    <row r="25" spans="1:24" s="745" customFormat="1" ht="11.25" customHeight="1">
      <c r="A25" s="537" t="s">
        <v>563</v>
      </c>
      <c r="B25" s="739">
        <v>1970.4299999999998</v>
      </c>
      <c r="C25" s="739">
        <v>4929.43</v>
      </c>
      <c r="D25" s="739">
        <v>2666.4</v>
      </c>
      <c r="E25" s="739">
        <v>1485.99</v>
      </c>
      <c r="F25" s="739">
        <v>2300.65</v>
      </c>
      <c r="G25" s="739">
        <v>1.1000000000000001</v>
      </c>
      <c r="H25" s="739">
        <v>1225.0700000000002</v>
      </c>
      <c r="I25" s="739">
        <v>979.44000000000017</v>
      </c>
      <c r="J25" s="739">
        <v>787.93</v>
      </c>
      <c r="K25" s="739">
        <v>130.35</v>
      </c>
      <c r="L25" s="739">
        <v>714.56</v>
      </c>
      <c r="M25" s="739">
        <v>0</v>
      </c>
      <c r="N25" s="739">
        <v>73.7</v>
      </c>
      <c r="O25" s="739">
        <v>1757.47</v>
      </c>
      <c r="P25" s="739">
        <v>114.83999999999999</v>
      </c>
      <c r="Q25" s="739">
        <v>1515.14</v>
      </c>
      <c r="R25" s="739">
        <v>127.71</v>
      </c>
      <c r="S25" s="739">
        <v>11.55</v>
      </c>
      <c r="T25" s="739">
        <v>2452.8900000000012</v>
      </c>
      <c r="U25" s="739">
        <f t="shared" si="2"/>
        <v>23244.65</v>
      </c>
      <c r="V25" s="27"/>
      <c r="W25" s="27"/>
      <c r="X25" s="27"/>
    </row>
    <row r="26" spans="1:24" s="745" customFormat="1" ht="11.25" customHeight="1">
      <c r="A26" s="540" t="s">
        <v>564</v>
      </c>
      <c r="B26" s="757">
        <v>2008.6</v>
      </c>
      <c r="C26" s="757">
        <v>5274.9400000000005</v>
      </c>
      <c r="D26" s="757">
        <v>2954.71</v>
      </c>
      <c r="E26" s="757">
        <v>1376.98</v>
      </c>
      <c r="F26" s="757">
        <v>3749.57</v>
      </c>
      <c r="G26" s="757">
        <v>1.54</v>
      </c>
      <c r="H26" s="757">
        <v>1232.8799999999999</v>
      </c>
      <c r="I26" s="757">
        <v>744.7</v>
      </c>
      <c r="J26" s="757">
        <v>803.11</v>
      </c>
      <c r="K26" s="757">
        <v>142.22999999999999</v>
      </c>
      <c r="L26" s="757">
        <v>569.36</v>
      </c>
      <c r="M26" s="757">
        <v>0</v>
      </c>
      <c r="N26" s="757">
        <v>85.47</v>
      </c>
      <c r="O26" s="757">
        <v>1398.4299999999998</v>
      </c>
      <c r="P26" s="757">
        <v>118.91000000000001</v>
      </c>
      <c r="Q26" s="757">
        <v>1100.22</v>
      </c>
      <c r="R26" s="757">
        <v>147.07</v>
      </c>
      <c r="S26" s="757">
        <v>10.89</v>
      </c>
      <c r="T26" s="757">
        <v>2090.5500000000006</v>
      </c>
      <c r="U26" s="757">
        <f t="shared" si="2"/>
        <v>23810.160000000003</v>
      </c>
      <c r="V26" s="27"/>
      <c r="W26" s="27"/>
      <c r="X26" s="27"/>
    </row>
    <row r="27" spans="1:24" s="745" customFormat="1" ht="11.25" customHeight="1">
      <c r="A27" s="537" t="s">
        <v>556</v>
      </c>
      <c r="B27" s="739">
        <v>1978.02</v>
      </c>
      <c r="C27" s="739">
        <v>4010.49</v>
      </c>
      <c r="D27" s="739">
        <v>2894.8700000000003</v>
      </c>
      <c r="E27" s="739">
        <v>1388.75</v>
      </c>
      <c r="F27" s="739">
        <v>2951.74</v>
      </c>
      <c r="G27" s="739">
        <v>1.98</v>
      </c>
      <c r="H27" s="739">
        <v>964.26</v>
      </c>
      <c r="I27" s="739">
        <v>1044.1200000000001</v>
      </c>
      <c r="J27" s="739">
        <v>521.51</v>
      </c>
      <c r="K27" s="739">
        <v>149.82</v>
      </c>
      <c r="L27" s="739">
        <v>860.75</v>
      </c>
      <c r="M27" s="739">
        <v>0</v>
      </c>
      <c r="N27" s="739">
        <v>67.97999999999999</v>
      </c>
      <c r="O27" s="739">
        <v>1345.41</v>
      </c>
      <c r="P27" s="739">
        <v>121.22</v>
      </c>
      <c r="Q27" s="739">
        <v>1193.83</v>
      </c>
      <c r="R27" s="739">
        <v>151.14000000000001</v>
      </c>
      <c r="S27" s="739">
        <v>10.34</v>
      </c>
      <c r="T27" s="739">
        <v>2311.5400000000009</v>
      </c>
      <c r="U27" s="739">
        <f t="shared" si="2"/>
        <v>21967.77</v>
      </c>
      <c r="V27" s="27"/>
      <c r="W27" s="27"/>
      <c r="X27" s="27"/>
    </row>
    <row r="28" spans="1:24" s="745" customFormat="1" ht="11.25" customHeight="1">
      <c r="A28" s="540" t="s">
        <v>565</v>
      </c>
      <c r="B28" s="757">
        <v>2153.7314114139999</v>
      </c>
      <c r="C28" s="757">
        <v>4231.0361100843002</v>
      </c>
      <c r="D28" s="757">
        <v>2211.8471943106001</v>
      </c>
      <c r="E28" s="757">
        <v>1552.2440567457998</v>
      </c>
      <c r="F28" s="757">
        <v>3650.5789003145001</v>
      </c>
      <c r="G28" s="757">
        <v>1.2344883100000001</v>
      </c>
      <c r="H28" s="757">
        <v>1147.0750001546</v>
      </c>
      <c r="I28" s="757">
        <v>1539.0857854019998</v>
      </c>
      <c r="J28" s="757">
        <v>560.32954737760008</v>
      </c>
      <c r="K28" s="757">
        <v>110.76061179700001</v>
      </c>
      <c r="L28" s="757">
        <v>609.65006464999999</v>
      </c>
      <c r="M28" s="757">
        <v>1.6729349999999997E-2</v>
      </c>
      <c r="N28" s="757">
        <v>40.093629486899999</v>
      </c>
      <c r="O28" s="757">
        <v>1461.5486802400001</v>
      </c>
      <c r="P28" s="757">
        <v>115.38812255960001</v>
      </c>
      <c r="Q28" s="757">
        <v>1153.8796119553999</v>
      </c>
      <c r="R28" s="757">
        <v>161.72215609</v>
      </c>
      <c r="S28" s="757">
        <v>8.7467484499999983</v>
      </c>
      <c r="T28" s="757">
        <v>1794.0535088376994</v>
      </c>
      <c r="U28" s="757">
        <f t="shared" si="2"/>
        <v>22503.022357530004</v>
      </c>
      <c r="V28" s="27"/>
      <c r="W28" s="27"/>
      <c r="X28" s="27"/>
    </row>
    <row r="29" spans="1:24" s="745" customFormat="1" ht="11.25" customHeight="1">
      <c r="A29" s="537" t="s">
        <v>566</v>
      </c>
      <c r="B29" s="739">
        <v>2970.6055989093284</v>
      </c>
      <c r="C29" s="739">
        <v>4769.7407773819159</v>
      </c>
      <c r="D29" s="739">
        <v>2801.3564368715615</v>
      </c>
      <c r="E29" s="739">
        <v>1387.14019269963</v>
      </c>
      <c r="F29" s="739">
        <v>3681.8307104067562</v>
      </c>
      <c r="G29" s="739">
        <v>1.3834783482700002</v>
      </c>
      <c r="H29" s="739">
        <v>1174.32351339405</v>
      </c>
      <c r="I29" s="739">
        <v>1568.06564180858</v>
      </c>
      <c r="J29" s="739">
        <v>837.87184213235196</v>
      </c>
      <c r="K29" s="739">
        <v>119.39939718047</v>
      </c>
      <c r="L29" s="739">
        <v>865.18813623970004</v>
      </c>
      <c r="M29" s="739">
        <v>5.1121747629999992E-2</v>
      </c>
      <c r="N29" s="739">
        <v>56.4493379237</v>
      </c>
      <c r="O29" s="739">
        <v>1931.8068417050497</v>
      </c>
      <c r="P29" s="739">
        <v>150.06602250742631</v>
      </c>
      <c r="Q29" s="739">
        <v>1252.7905973421509</v>
      </c>
      <c r="R29" s="739">
        <v>170.78714742936</v>
      </c>
      <c r="S29" s="739">
        <v>14.403414244872801</v>
      </c>
      <c r="T29" s="739">
        <v>2185.1995817271977</v>
      </c>
      <c r="U29" s="739">
        <f t="shared" si="2"/>
        <v>25938.459790000001</v>
      </c>
      <c r="V29" s="27"/>
      <c r="W29" s="27"/>
      <c r="X29" s="27"/>
    </row>
    <row r="30" spans="1:24" s="745" customFormat="1" ht="11.25" customHeight="1">
      <c r="A30" s="540" t="s">
        <v>557</v>
      </c>
      <c r="B30" s="757">
        <v>3776.1518244150625</v>
      </c>
      <c r="C30" s="757">
        <v>6253.1170544778806</v>
      </c>
      <c r="D30" s="757">
        <v>2411.8331270311451</v>
      </c>
      <c r="E30" s="757">
        <v>1570.3909238269603</v>
      </c>
      <c r="F30" s="757">
        <v>4319.6944603479906</v>
      </c>
      <c r="G30" s="757">
        <v>3.0760331216599996</v>
      </c>
      <c r="H30" s="757">
        <v>1242.61738937778</v>
      </c>
      <c r="I30" s="757">
        <v>1743.0646334287599</v>
      </c>
      <c r="J30" s="757">
        <v>884.25671526311874</v>
      </c>
      <c r="K30" s="757">
        <v>144.1146680032092</v>
      </c>
      <c r="L30" s="757">
        <v>778.22191927452002</v>
      </c>
      <c r="M30" s="757">
        <v>5.1245991460000008E-2</v>
      </c>
      <c r="N30" s="757">
        <v>79.385607563127991</v>
      </c>
      <c r="O30" s="757">
        <v>2541.3979520576399</v>
      </c>
      <c r="P30" s="757">
        <v>132.81949110059162</v>
      </c>
      <c r="Q30" s="757">
        <v>1638.022196847051</v>
      </c>
      <c r="R30" s="757">
        <v>75.288695884158599</v>
      </c>
      <c r="S30" s="757">
        <v>18.246735501989601</v>
      </c>
      <c r="T30" s="757">
        <v>2328.4977264858962</v>
      </c>
      <c r="U30" s="757">
        <f t="shared" si="2"/>
        <v>29940.248400000008</v>
      </c>
      <c r="V30" s="27"/>
      <c r="W30" s="27"/>
      <c r="X30" s="27"/>
    </row>
    <row r="31" spans="1:24" s="745" customFormat="1" ht="11.25" customHeight="1">
      <c r="A31" s="542" t="s">
        <v>2501</v>
      </c>
      <c r="B31" s="538">
        <f>SUM(B32:B43)</f>
        <v>51651.943122927405</v>
      </c>
      <c r="C31" s="538">
        <f>SUM(C32:C43)</f>
        <v>50370.006470344852</v>
      </c>
      <c r="D31" s="538">
        <f t="shared" ref="D31:T31" si="3">SUM(D32:D43)</f>
        <v>38396.743499557495</v>
      </c>
      <c r="E31" s="538">
        <f t="shared" si="3"/>
        <v>19633.968505388548</v>
      </c>
      <c r="F31" s="538">
        <f t="shared" si="3"/>
        <v>57180.300050901242</v>
      </c>
      <c r="G31" s="538">
        <f t="shared" si="3"/>
        <v>30.625262582029933</v>
      </c>
      <c r="H31" s="538">
        <f t="shared" si="3"/>
        <v>14582.858114874198</v>
      </c>
      <c r="I31" s="538">
        <f t="shared" si="3"/>
        <v>19788.17265870234</v>
      </c>
      <c r="J31" s="538">
        <f t="shared" si="3"/>
        <v>11867.951435009201</v>
      </c>
      <c r="K31" s="538">
        <f t="shared" si="3"/>
        <v>2183.8969154255733</v>
      </c>
      <c r="L31" s="538">
        <f t="shared" si="3"/>
        <v>9195.3335180042795</v>
      </c>
      <c r="M31" s="538">
        <f t="shared" si="3"/>
        <v>2.0887688486184999</v>
      </c>
      <c r="N31" s="538">
        <f t="shared" si="3"/>
        <v>1276.9010162546597</v>
      </c>
      <c r="O31" s="538">
        <f t="shared" si="3"/>
        <v>33947.252279710599</v>
      </c>
      <c r="P31" s="538">
        <f t="shared" si="3"/>
        <v>2141.6031068994944</v>
      </c>
      <c r="Q31" s="538">
        <f t="shared" si="3"/>
        <v>19977.618983580083</v>
      </c>
      <c r="R31" s="538">
        <f t="shared" si="3"/>
        <v>2751.2306270736035</v>
      </c>
      <c r="S31" s="538">
        <f t="shared" si="3"/>
        <v>231.05261457843994</v>
      </c>
      <c r="T31" s="538">
        <f t="shared" si="3"/>
        <v>31697.657453737356</v>
      </c>
      <c r="U31" s="538">
        <f>SUM(B31:T31)</f>
        <v>366907.20440440002</v>
      </c>
      <c r="V31" s="27"/>
      <c r="W31" s="27"/>
      <c r="X31" s="27"/>
    </row>
    <row r="32" spans="1:24" s="745" customFormat="1" ht="11.25" customHeight="1">
      <c r="A32" s="540" t="s">
        <v>559</v>
      </c>
      <c r="B32" s="757">
        <v>2885.1746354412353</v>
      </c>
      <c r="C32" s="757">
        <v>3923.1439925225372</v>
      </c>
      <c r="D32" s="757">
        <v>2206.9645856979432</v>
      </c>
      <c r="E32" s="757">
        <v>1372.4143918137302</v>
      </c>
      <c r="F32" s="757">
        <v>2818.0882280192832</v>
      </c>
      <c r="G32" s="757">
        <v>1.85550401592</v>
      </c>
      <c r="H32" s="757">
        <v>1050.6222957872101</v>
      </c>
      <c r="I32" s="757">
        <v>1276.3140675174602</v>
      </c>
      <c r="J32" s="757">
        <v>612.7113275065617</v>
      </c>
      <c r="K32" s="757">
        <v>142.0420888327383</v>
      </c>
      <c r="L32" s="757">
        <v>837.24652921949996</v>
      </c>
      <c r="M32" s="757">
        <v>5.6217230999999999E-3</v>
      </c>
      <c r="N32" s="757">
        <v>84.214644938364302</v>
      </c>
      <c r="O32" s="757">
        <v>1540.2179794882329</v>
      </c>
      <c r="P32" s="757">
        <v>137.86005731906431</v>
      </c>
      <c r="Q32" s="757">
        <v>1512.9774925694169</v>
      </c>
      <c r="R32" s="757">
        <v>191.26410077553001</v>
      </c>
      <c r="S32" s="757">
        <v>11.2857188748045</v>
      </c>
      <c r="T32" s="757">
        <v>1964.6863479373674</v>
      </c>
      <c r="U32" s="757">
        <f t="shared" si="2"/>
        <v>22569.089610000003</v>
      </c>
      <c r="V32" s="27"/>
      <c r="W32" s="27"/>
      <c r="X32" s="27"/>
    </row>
    <row r="33" spans="1:24" s="745" customFormat="1" ht="11.25" customHeight="1">
      <c r="A33" s="537" t="s">
        <v>560</v>
      </c>
      <c r="B33" s="739">
        <v>3190.8184331995863</v>
      </c>
      <c r="C33" s="739">
        <v>4010.2345891768027</v>
      </c>
      <c r="D33" s="739">
        <v>2051.8723893402589</v>
      </c>
      <c r="E33" s="739">
        <v>1539.2401036988299</v>
      </c>
      <c r="F33" s="739">
        <v>3484.3291789691116</v>
      </c>
      <c r="G33" s="739">
        <v>1.6397615081200001</v>
      </c>
      <c r="H33" s="739">
        <v>1037.434967177066</v>
      </c>
      <c r="I33" s="739">
        <v>1271.927199327723</v>
      </c>
      <c r="J33" s="739">
        <v>792.30249251068449</v>
      </c>
      <c r="K33" s="739">
        <v>177.36294572662001</v>
      </c>
      <c r="L33" s="739">
        <v>786.68371486335002</v>
      </c>
      <c r="M33" s="739">
        <v>4.4911403449999998E-2</v>
      </c>
      <c r="N33" s="739">
        <v>232.08724575629012</v>
      </c>
      <c r="O33" s="739">
        <v>2990.7462408962001</v>
      </c>
      <c r="P33" s="739">
        <v>179.58036229007922</v>
      </c>
      <c r="Q33" s="739">
        <v>1800.4468522772324</v>
      </c>
      <c r="R33" s="739">
        <v>156.69066726625002</v>
      </c>
      <c r="S33" s="739">
        <v>13.713087928874998</v>
      </c>
      <c r="T33" s="739">
        <v>2690.1778066834759</v>
      </c>
      <c r="U33" s="739">
        <f t="shared" si="2"/>
        <v>26407.332950000011</v>
      </c>
      <c r="V33" s="27"/>
      <c r="W33" s="27"/>
      <c r="X33" s="27"/>
    </row>
    <row r="34" spans="1:24" s="745" customFormat="1" ht="11.25" customHeight="1">
      <c r="A34" s="540" t="s">
        <v>554</v>
      </c>
      <c r="B34" s="757">
        <v>4145.3181083098125</v>
      </c>
      <c r="C34" s="757">
        <v>4340.6546181464346</v>
      </c>
      <c r="D34" s="757">
        <v>2467.1234381535587</v>
      </c>
      <c r="E34" s="757">
        <v>1357.4748519074467</v>
      </c>
      <c r="F34" s="757">
        <v>4654.4514147273849</v>
      </c>
      <c r="G34" s="757">
        <v>2.6542035899986525</v>
      </c>
      <c r="H34" s="757">
        <v>1063.6410228312541</v>
      </c>
      <c r="I34" s="757">
        <v>1345.4940013147707</v>
      </c>
      <c r="J34" s="757">
        <v>1003.45710581562</v>
      </c>
      <c r="K34" s="757">
        <v>132.04225768545805</v>
      </c>
      <c r="L34" s="757">
        <v>722.76098403207675</v>
      </c>
      <c r="M34" s="757">
        <v>1.2582360000000001E-2</v>
      </c>
      <c r="N34" s="757">
        <v>144.60831176369987</v>
      </c>
      <c r="O34" s="757">
        <v>2845.4617588833034</v>
      </c>
      <c r="P34" s="757">
        <v>213.78482652619573</v>
      </c>
      <c r="Q34" s="757">
        <v>1748.6538585635128</v>
      </c>
      <c r="R34" s="757">
        <v>140.36014555904788</v>
      </c>
      <c r="S34" s="757">
        <v>20.229519443733597</v>
      </c>
      <c r="T34" s="757">
        <v>2501.136990386698</v>
      </c>
      <c r="U34" s="757">
        <f t="shared" si="2"/>
        <v>28849.320000000003</v>
      </c>
      <c r="V34" s="27"/>
      <c r="W34" s="27"/>
      <c r="X34" s="27"/>
    </row>
    <row r="35" spans="1:24" s="745" customFormat="1" ht="11.25" customHeight="1">
      <c r="A35" s="537" t="s">
        <v>561</v>
      </c>
      <c r="B35" s="739">
        <v>3807.3487662616017</v>
      </c>
      <c r="C35" s="739">
        <v>4004.3221091357273</v>
      </c>
      <c r="D35" s="739">
        <v>2374.4804536318493</v>
      </c>
      <c r="E35" s="739">
        <v>1534.7363893453644</v>
      </c>
      <c r="F35" s="739">
        <v>5975.6689648954143</v>
      </c>
      <c r="G35" s="739">
        <v>1.8838517318752999</v>
      </c>
      <c r="H35" s="739">
        <v>1054.989662048522</v>
      </c>
      <c r="I35" s="739">
        <v>1472.976312802959</v>
      </c>
      <c r="J35" s="739">
        <v>760.99982679920777</v>
      </c>
      <c r="K35" s="739">
        <v>161.10202335511909</v>
      </c>
      <c r="L35" s="739">
        <v>867.59839154119504</v>
      </c>
      <c r="M35" s="739">
        <v>0.12374744063450001</v>
      </c>
      <c r="N35" s="739">
        <v>94.301888948890621</v>
      </c>
      <c r="O35" s="739">
        <v>2347.2114241505328</v>
      </c>
      <c r="P35" s="739">
        <v>148.55908278136923</v>
      </c>
      <c r="Q35" s="739">
        <v>1637.3438916079235</v>
      </c>
      <c r="R35" s="739">
        <v>116.45875328054365</v>
      </c>
      <c r="S35" s="739">
        <v>25.516730058710401</v>
      </c>
      <c r="T35" s="739">
        <v>2354.8826649825605</v>
      </c>
      <c r="U35" s="739">
        <f t="shared" si="2"/>
        <v>28740.504934800007</v>
      </c>
      <c r="V35" s="27"/>
      <c r="W35" s="27"/>
      <c r="X35" s="27"/>
    </row>
    <row r="36" spans="1:24" s="745" customFormat="1" ht="11.25" customHeight="1">
      <c r="A36" s="540" t="s">
        <v>562</v>
      </c>
      <c r="B36" s="757">
        <v>3083.4820115398347</v>
      </c>
      <c r="C36" s="757">
        <v>3485.7025243167818</v>
      </c>
      <c r="D36" s="757">
        <v>2249.3297827482434</v>
      </c>
      <c r="E36" s="757">
        <v>1455.4141809223593</v>
      </c>
      <c r="F36" s="757">
        <v>6143.5487052118997</v>
      </c>
      <c r="G36" s="757">
        <v>3.2403499200000008</v>
      </c>
      <c r="H36" s="757">
        <v>954.49852634148942</v>
      </c>
      <c r="I36" s="757">
        <v>1138.0139167940047</v>
      </c>
      <c r="J36" s="757">
        <v>848.49596778293233</v>
      </c>
      <c r="K36" s="757">
        <v>165.24407570990542</v>
      </c>
      <c r="L36" s="757">
        <v>623.03608142462144</v>
      </c>
      <c r="M36" s="757">
        <v>0.62276748000000004</v>
      </c>
      <c r="N36" s="757">
        <v>97.221415163093823</v>
      </c>
      <c r="O36" s="757">
        <v>2304.2948598076305</v>
      </c>
      <c r="P36" s="757">
        <v>146.67095006699341</v>
      </c>
      <c r="Q36" s="757">
        <v>1281.7746877311115</v>
      </c>
      <c r="R36" s="757">
        <v>194.29350312000008</v>
      </c>
      <c r="S36" s="757">
        <v>21.925662599454892</v>
      </c>
      <c r="T36" s="757">
        <v>2203.0700313196385</v>
      </c>
      <c r="U36" s="757">
        <f t="shared" si="2"/>
        <v>26399.879999999997</v>
      </c>
      <c r="V36" s="27"/>
      <c r="W36" s="27"/>
      <c r="X36" s="27"/>
    </row>
    <row r="37" spans="1:24" s="745" customFormat="1" ht="11.25" customHeight="1">
      <c r="A37" s="537" t="s">
        <v>555</v>
      </c>
      <c r="B37" s="739">
        <v>3479.9549322831035</v>
      </c>
      <c r="C37" s="739">
        <v>4450.2311130739554</v>
      </c>
      <c r="D37" s="739">
        <v>2981.751126243943</v>
      </c>
      <c r="E37" s="739">
        <v>1579.6262306410583</v>
      </c>
      <c r="F37" s="739">
        <v>6780.4482388171236</v>
      </c>
      <c r="G37" s="739">
        <v>2.4615769199999997</v>
      </c>
      <c r="H37" s="739">
        <v>1221.8172069505604</v>
      </c>
      <c r="I37" s="739">
        <v>1806.9748062905328</v>
      </c>
      <c r="J37" s="739">
        <v>977.18060294761358</v>
      </c>
      <c r="K37" s="739">
        <v>204.21620315934024</v>
      </c>
      <c r="L37" s="739">
        <v>691.11100998095981</v>
      </c>
      <c r="M37" s="739">
        <v>0.16162499999999996</v>
      </c>
      <c r="N37" s="739">
        <v>89.677711568620538</v>
      </c>
      <c r="O37" s="739">
        <v>3095.9710949853484</v>
      </c>
      <c r="P37" s="739">
        <v>142.14168667653959</v>
      </c>
      <c r="Q37" s="739">
        <v>1332.8664369782298</v>
      </c>
      <c r="R37" s="739">
        <v>212.95971623999995</v>
      </c>
      <c r="S37" s="739">
        <v>15.521655861600005</v>
      </c>
      <c r="T37" s="739">
        <v>2600.1670253814691</v>
      </c>
      <c r="U37" s="739">
        <f t="shared" si="2"/>
        <v>31665.239999999998</v>
      </c>
      <c r="V37" s="27"/>
      <c r="W37" s="27"/>
      <c r="X37" s="27"/>
    </row>
    <row r="38" spans="1:24" s="745" customFormat="1" ht="11.25" customHeight="1">
      <c r="A38" s="540" t="s">
        <v>563</v>
      </c>
      <c r="B38" s="757">
        <v>3293.9470281053714</v>
      </c>
      <c r="C38" s="757">
        <v>3042.7561418603073</v>
      </c>
      <c r="D38" s="757">
        <v>3333.4617701197421</v>
      </c>
      <c r="E38" s="757">
        <v>1657.3859543285944</v>
      </c>
      <c r="F38" s="757">
        <v>4968.7187434486732</v>
      </c>
      <c r="G38" s="757">
        <v>2.5272083627707995</v>
      </c>
      <c r="H38" s="757">
        <v>1175.8596174447659</v>
      </c>
      <c r="I38" s="757">
        <v>1547.453927726292</v>
      </c>
      <c r="J38" s="757">
        <v>790.67985716001078</v>
      </c>
      <c r="K38" s="757">
        <v>183.75698113735217</v>
      </c>
      <c r="L38" s="757">
        <v>533.75662697276812</v>
      </c>
      <c r="M38" s="757">
        <v>2.6467552446100003E-2</v>
      </c>
      <c r="N38" s="757">
        <v>70.338686029172578</v>
      </c>
      <c r="O38" s="757">
        <v>1884.366838138696</v>
      </c>
      <c r="P38" s="757">
        <v>155.11901328063303</v>
      </c>
      <c r="Q38" s="757">
        <v>1597.1918107229301</v>
      </c>
      <c r="R38" s="757">
        <v>190.68645938268247</v>
      </c>
      <c r="S38" s="757">
        <v>10.842205120226208</v>
      </c>
      <c r="T38" s="757">
        <v>2204.7381088065658</v>
      </c>
      <c r="U38" s="757">
        <f t="shared" si="2"/>
        <v>26643.613445699997</v>
      </c>
      <c r="V38" s="27"/>
      <c r="W38" s="27"/>
      <c r="X38" s="27"/>
    </row>
    <row r="39" spans="1:24" s="745" customFormat="1" ht="11.25" customHeight="1">
      <c r="A39" s="537" t="s">
        <v>564</v>
      </c>
      <c r="B39" s="739">
        <v>4011.8560078080054</v>
      </c>
      <c r="C39" s="739">
        <v>4086.2966753783235</v>
      </c>
      <c r="D39" s="739">
        <v>3727.2898215441833</v>
      </c>
      <c r="E39" s="739">
        <v>1721.5003529904759</v>
      </c>
      <c r="F39" s="739">
        <v>5993.3315862668551</v>
      </c>
      <c r="G39" s="739">
        <v>2.9625057480000003</v>
      </c>
      <c r="H39" s="739">
        <v>1220.3689997751806</v>
      </c>
      <c r="I39" s="739">
        <v>1509.3710477618288</v>
      </c>
      <c r="J39" s="739">
        <v>959.21950161614495</v>
      </c>
      <c r="K39" s="739">
        <v>271.60285869359063</v>
      </c>
      <c r="L39" s="739">
        <v>686.24856920938669</v>
      </c>
      <c r="M39" s="739">
        <v>0.11496938400000001</v>
      </c>
      <c r="N39" s="739">
        <v>98.540423289410057</v>
      </c>
      <c r="O39" s="739">
        <v>2243.1721043374628</v>
      </c>
      <c r="P39" s="739">
        <v>145.36072799788093</v>
      </c>
      <c r="Q39" s="739">
        <v>1355.7103138506977</v>
      </c>
      <c r="R39" s="739">
        <v>271.31017680630032</v>
      </c>
      <c r="S39" s="739">
        <v>14.478108690593881</v>
      </c>
      <c r="T39" s="739">
        <v>2518.5952488516791</v>
      </c>
      <c r="U39" s="739">
        <f t="shared" si="2"/>
        <v>30837.33</v>
      </c>
      <c r="V39" s="27"/>
      <c r="W39" s="27"/>
      <c r="X39" s="27"/>
    </row>
    <row r="40" spans="1:24" s="745" customFormat="1" ht="11.25" customHeight="1">
      <c r="A40" s="540" t="s">
        <v>556</v>
      </c>
      <c r="B40" s="757">
        <v>5470.8318524074575</v>
      </c>
      <c r="C40" s="757">
        <v>6201.969998049065</v>
      </c>
      <c r="D40" s="757">
        <v>4723.6874905101067</v>
      </c>
      <c r="E40" s="757">
        <v>2253.2633082633479</v>
      </c>
      <c r="F40" s="757">
        <v>6662.7467117153919</v>
      </c>
      <c r="G40" s="757">
        <v>4.5059938720000003</v>
      </c>
      <c r="H40" s="757">
        <v>1429.3311896334308</v>
      </c>
      <c r="I40" s="757">
        <v>2275.0981577805051</v>
      </c>
      <c r="J40" s="757">
        <v>1160.9143387913959</v>
      </c>
      <c r="K40" s="757">
        <v>234.08192184778736</v>
      </c>
      <c r="L40" s="757">
        <v>649.74040379848395</v>
      </c>
      <c r="M40" s="757">
        <v>0.27236024200000003</v>
      </c>
      <c r="N40" s="757">
        <v>90.756430617505387</v>
      </c>
      <c r="O40" s="757">
        <v>3549.0929446774398</v>
      </c>
      <c r="P40" s="757">
        <v>246.0898850308412</v>
      </c>
      <c r="Q40" s="757">
        <v>1905.2960516666985</v>
      </c>
      <c r="R40" s="757">
        <v>239.80973984865918</v>
      </c>
      <c r="S40" s="757">
        <v>26.567920029616069</v>
      </c>
      <c r="T40" s="757">
        <v>3082.6293012182678</v>
      </c>
      <c r="U40" s="757">
        <f t="shared" si="2"/>
        <v>40206.686000000002</v>
      </c>
      <c r="V40" s="27"/>
      <c r="W40" s="27"/>
      <c r="X40" s="27"/>
    </row>
    <row r="41" spans="1:24" s="745" customFormat="1" ht="11.25" customHeight="1">
      <c r="A41" s="537" t="s">
        <v>565</v>
      </c>
      <c r="B41" s="739">
        <v>5995.3790895125367</v>
      </c>
      <c r="C41" s="739">
        <v>4540.5301899478854</v>
      </c>
      <c r="D41" s="739">
        <v>3588.0396888712107</v>
      </c>
      <c r="E41" s="739">
        <v>1985.2919529617443</v>
      </c>
      <c r="F41" s="739">
        <v>4036.614105385544</v>
      </c>
      <c r="G41" s="739">
        <v>1.2025014180000002</v>
      </c>
      <c r="H41" s="739">
        <v>1271.8837227426079</v>
      </c>
      <c r="I41" s="739">
        <v>1809.7591903637858</v>
      </c>
      <c r="J41" s="739">
        <v>1446.7194910799417</v>
      </c>
      <c r="K41" s="739">
        <v>206.39342783930184</v>
      </c>
      <c r="L41" s="739">
        <v>787.25183914260776</v>
      </c>
      <c r="M41" s="739">
        <v>0.29080566599999996</v>
      </c>
      <c r="N41" s="739">
        <v>103.89858997816991</v>
      </c>
      <c r="O41" s="739">
        <v>2572.925192449432</v>
      </c>
      <c r="P41" s="739">
        <v>199.32699783840181</v>
      </c>
      <c r="Q41" s="739">
        <v>1837.2220537771416</v>
      </c>
      <c r="R41" s="739">
        <v>297.78992545952917</v>
      </c>
      <c r="S41" s="739">
        <v>25.271161709734017</v>
      </c>
      <c r="T41" s="739">
        <v>2872.6360738564217</v>
      </c>
      <c r="U41" s="739">
        <f t="shared" si="2"/>
        <v>33578.425999999992</v>
      </c>
      <c r="V41" s="27"/>
      <c r="W41" s="27"/>
      <c r="X41" s="27"/>
    </row>
    <row r="42" spans="1:24" s="745" customFormat="1" ht="11.25" customHeight="1">
      <c r="A42" s="540" t="s">
        <v>566</v>
      </c>
      <c r="B42" s="757">
        <v>6524.1357828118207</v>
      </c>
      <c r="C42" s="757">
        <v>4295.6955148749557</v>
      </c>
      <c r="D42" s="757">
        <v>4243.8972181036588</v>
      </c>
      <c r="E42" s="757">
        <v>1714.7620115779177</v>
      </c>
      <c r="F42" s="757">
        <v>2736.2905970129709</v>
      </c>
      <c r="G42" s="757">
        <v>2.1550153121369999</v>
      </c>
      <c r="H42" s="757">
        <v>1669.7076235450772</v>
      </c>
      <c r="I42" s="757">
        <v>2219.0661620908968</v>
      </c>
      <c r="J42" s="757">
        <v>1336.4517517558393</v>
      </c>
      <c r="K42" s="757">
        <v>171.25802997054615</v>
      </c>
      <c r="L42" s="757">
        <v>1041.06446343824</v>
      </c>
      <c r="M42" s="757">
        <v>0.24883761745799998</v>
      </c>
      <c r="N42" s="757">
        <v>85.722052615917818</v>
      </c>
      <c r="O42" s="757">
        <v>4164.6138424884366</v>
      </c>
      <c r="P42" s="757">
        <v>229.3714632651558</v>
      </c>
      <c r="Q42" s="757">
        <v>1943.8908625805921</v>
      </c>
      <c r="R42" s="757">
        <v>406.10461176144361</v>
      </c>
      <c r="S42" s="757">
        <v>29.025908799110272</v>
      </c>
      <c r="T42" s="757">
        <v>3515.2444223778248</v>
      </c>
      <c r="U42" s="757">
        <f t="shared" si="2"/>
        <v>36328.706171999998</v>
      </c>
      <c r="V42" s="27"/>
      <c r="W42" s="27"/>
      <c r="X42" s="27"/>
    </row>
    <row r="43" spans="1:24" s="745" customFormat="1" ht="11.25" customHeight="1">
      <c r="A43" s="537" t="s">
        <v>557</v>
      </c>
      <c r="B43" s="739">
        <v>5763.6964752470376</v>
      </c>
      <c r="C43" s="739">
        <v>3988.4690038620743</v>
      </c>
      <c r="D43" s="739">
        <v>4448.8457345927964</v>
      </c>
      <c r="E43" s="739">
        <v>1462.8587769376813</v>
      </c>
      <c r="F43" s="739">
        <v>2926.0635764315793</v>
      </c>
      <c r="G43" s="739">
        <v>3.5367901832081805</v>
      </c>
      <c r="H43" s="739">
        <v>1432.7032805970359</v>
      </c>
      <c r="I43" s="739">
        <v>2115.7238689315809</v>
      </c>
      <c r="J43" s="739">
        <v>1178.8191712432485</v>
      </c>
      <c r="K43" s="739">
        <v>134.79410146781385</v>
      </c>
      <c r="L43" s="739">
        <v>968.83490438108799</v>
      </c>
      <c r="M43" s="739">
        <v>0.16407297952989999</v>
      </c>
      <c r="N43" s="739">
        <v>85.533615585524473</v>
      </c>
      <c r="O43" s="739">
        <v>4409.1779994078815</v>
      </c>
      <c r="P43" s="739">
        <v>197.73805382633947</v>
      </c>
      <c r="Q43" s="739">
        <v>2024.2446712545971</v>
      </c>
      <c r="R43" s="739">
        <v>333.50282757361737</v>
      </c>
      <c r="S43" s="739">
        <v>16.6749354619811</v>
      </c>
      <c r="T43" s="739">
        <v>3189.6934319353868</v>
      </c>
      <c r="U43" s="739">
        <f t="shared" si="2"/>
        <v>34681.075291900008</v>
      </c>
      <c r="V43" s="27"/>
      <c r="W43" s="27"/>
      <c r="X43" s="27"/>
    </row>
    <row r="44" spans="1:24" s="745" customFormat="1" ht="11.25" customHeight="1">
      <c r="A44" s="541" t="s">
        <v>2755</v>
      </c>
      <c r="B44" s="757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  <c r="T44" s="757"/>
      <c r="U44" s="757"/>
      <c r="V44" s="27"/>
      <c r="W44" s="27"/>
      <c r="X44" s="27"/>
    </row>
    <row r="45" spans="1:24" s="745" customFormat="1" ht="11.25" customHeight="1">
      <c r="A45" s="537" t="s">
        <v>559</v>
      </c>
      <c r="B45" s="739">
        <v>5199.9971067370898</v>
      </c>
      <c r="C45" s="739">
        <v>3461.6450344858613</v>
      </c>
      <c r="D45" s="739">
        <v>3446.1322236091119</v>
      </c>
      <c r="E45" s="739">
        <v>1610.9405130847601</v>
      </c>
      <c r="F45" s="739">
        <v>2709.788187165841</v>
      </c>
      <c r="G45" s="739">
        <v>1.9202797948380321</v>
      </c>
      <c r="H45" s="739">
        <v>1288.2149472569049</v>
      </c>
      <c r="I45" s="739">
        <v>1704.9058243575851</v>
      </c>
      <c r="J45" s="739">
        <v>1073.9860637672662</v>
      </c>
      <c r="K45" s="739">
        <v>145.88144753159489</v>
      </c>
      <c r="L45" s="739">
        <v>768.96517304435417</v>
      </c>
      <c r="M45" s="739">
        <v>0.1173574969421</v>
      </c>
      <c r="N45" s="739">
        <v>88.450845395983421</v>
      </c>
      <c r="O45" s="739">
        <v>3255.7713372066</v>
      </c>
      <c r="P45" s="739">
        <v>190.80310827854137</v>
      </c>
      <c r="Q45" s="739">
        <v>2060.6379311587993</v>
      </c>
      <c r="R45" s="739">
        <v>257.55583532305582</v>
      </c>
      <c r="S45" s="739">
        <v>28.237513008345793</v>
      </c>
      <c r="T45" s="739">
        <v>2927.0686031965261</v>
      </c>
      <c r="U45" s="739">
        <f t="shared" si="2"/>
        <v>30221.019331899999</v>
      </c>
      <c r="V45" s="27"/>
      <c r="W45" s="27"/>
      <c r="X45" s="27"/>
    </row>
    <row r="46" spans="1:24" s="745" customFormat="1" ht="11.25" customHeight="1">
      <c r="A46" s="540" t="s">
        <v>560</v>
      </c>
      <c r="B46" s="757">
        <v>4839.0876771983048</v>
      </c>
      <c r="C46" s="757">
        <v>3237.2332014690719</v>
      </c>
      <c r="D46" s="757">
        <v>3402.3455903559525</v>
      </c>
      <c r="E46" s="757">
        <v>1319.5146863732255</v>
      </c>
      <c r="F46" s="757">
        <v>2819.2197542596336</v>
      </c>
      <c r="G46" s="757">
        <v>1.2630362342233212</v>
      </c>
      <c r="H46" s="757">
        <v>1119.5427515389979</v>
      </c>
      <c r="I46" s="757">
        <v>1782.5728160182648</v>
      </c>
      <c r="J46" s="757">
        <v>1346.6135342749617</v>
      </c>
      <c r="K46" s="757">
        <v>134.42489977417418</v>
      </c>
      <c r="L46" s="757">
        <v>670.47256873360857</v>
      </c>
      <c r="M46" s="757">
        <v>0.11380345465769999</v>
      </c>
      <c r="N46" s="757">
        <v>120.14971256728882</v>
      </c>
      <c r="O46" s="757">
        <v>3364.0561176218921</v>
      </c>
      <c r="P46" s="757">
        <v>160.39938865607803</v>
      </c>
      <c r="Q46" s="757">
        <v>2031.0957675079167</v>
      </c>
      <c r="R46" s="757">
        <v>272.80547724093032</v>
      </c>
      <c r="S46" s="757">
        <v>19.067371903382263</v>
      </c>
      <c r="T46" s="757">
        <v>2838.9520791174346</v>
      </c>
      <c r="U46" s="757">
        <f t="shared" si="2"/>
        <v>29478.930234300002</v>
      </c>
      <c r="V46" s="27"/>
      <c r="W46" s="27"/>
      <c r="X46" s="27"/>
    </row>
    <row r="47" spans="1:24" s="745" customFormat="1" ht="11.25" customHeight="1">
      <c r="A47" s="537" t="s">
        <v>554</v>
      </c>
      <c r="B47" s="739">
        <v>4990.660887736818</v>
      </c>
      <c r="C47" s="739">
        <v>4073.2250661613207</v>
      </c>
      <c r="D47" s="739">
        <v>4461.3289980883992</v>
      </c>
      <c r="E47" s="739">
        <v>1544.0543606231736</v>
      </c>
      <c r="F47" s="739">
        <v>2101.898200095889</v>
      </c>
      <c r="G47" s="739">
        <v>1.6283899325962607</v>
      </c>
      <c r="H47" s="739">
        <v>1517.0982607350381</v>
      </c>
      <c r="I47" s="739">
        <v>1807.164396380434</v>
      </c>
      <c r="J47" s="739">
        <v>1572.6490741056086</v>
      </c>
      <c r="K47" s="739">
        <v>143.17009019138294</v>
      </c>
      <c r="L47" s="739">
        <v>1013.3538017948076</v>
      </c>
      <c r="M47" s="739">
        <v>0.1028862982215</v>
      </c>
      <c r="N47" s="739">
        <v>105.92666141859949</v>
      </c>
      <c r="O47" s="739">
        <v>3334.1240579363621</v>
      </c>
      <c r="P47" s="739">
        <v>220.31640124991486</v>
      </c>
      <c r="Q47" s="739">
        <v>2159.1459504369109</v>
      </c>
      <c r="R47" s="739">
        <v>307.48600308762144</v>
      </c>
      <c r="S47" s="739">
        <v>19.60584304109112</v>
      </c>
      <c r="T47" s="739">
        <v>3321.5231603331936</v>
      </c>
      <c r="U47" s="739">
        <f t="shared" si="2"/>
        <v>32694.462489647383</v>
      </c>
      <c r="V47" s="27"/>
      <c r="W47" s="27"/>
      <c r="X47" s="27"/>
    </row>
    <row r="48" spans="1:24" s="745" customFormat="1" ht="11.25" customHeight="1">
      <c r="A48" s="540" t="s">
        <v>561</v>
      </c>
      <c r="B48" s="757">
        <v>4708.4807681678558</v>
      </c>
      <c r="C48" s="757">
        <v>3632.3711825453547</v>
      </c>
      <c r="D48" s="757">
        <v>4425.7708283415504</v>
      </c>
      <c r="E48" s="757">
        <v>1536.9864666084163</v>
      </c>
      <c r="F48" s="757">
        <v>2346.3705761567453</v>
      </c>
      <c r="G48" s="757">
        <v>2.0865973660893302</v>
      </c>
      <c r="H48" s="757">
        <v>1547.2596786147378</v>
      </c>
      <c r="I48" s="757">
        <v>1977.1719112962037</v>
      </c>
      <c r="J48" s="757">
        <v>1276.3781005317271</v>
      </c>
      <c r="K48" s="757">
        <v>153.27030980464568</v>
      </c>
      <c r="L48" s="757">
        <v>787.0056221650774</v>
      </c>
      <c r="M48" s="757">
        <v>7.0133066779999989E-2</v>
      </c>
      <c r="N48" s="757">
        <v>87.657837716361115</v>
      </c>
      <c r="O48" s="757">
        <v>3416.0582509206279</v>
      </c>
      <c r="P48" s="757">
        <v>176.03530638211566</v>
      </c>
      <c r="Q48" s="757">
        <v>1973.4288663287643</v>
      </c>
      <c r="R48" s="757">
        <v>291.75225674881199</v>
      </c>
      <c r="S48" s="757">
        <v>22.524306687728444</v>
      </c>
      <c r="T48" s="757">
        <v>2914.9396095488928</v>
      </c>
      <c r="U48" s="757">
        <f t="shared" si="2"/>
        <v>31275.618608998484</v>
      </c>
      <c r="V48" s="27"/>
      <c r="W48" s="27"/>
      <c r="X48" s="27"/>
    </row>
    <row r="49" spans="1:24" s="745" customFormat="1" ht="11.25" customHeight="1">
      <c r="A49" s="537" t="s">
        <v>562</v>
      </c>
      <c r="B49" s="739">
        <v>5269.6153062126286</v>
      </c>
      <c r="C49" s="739">
        <v>4908.4257836129755</v>
      </c>
      <c r="D49" s="739">
        <v>4628.0363671652394</v>
      </c>
      <c r="E49" s="739">
        <v>1824.7589024759266</v>
      </c>
      <c r="F49" s="739">
        <v>2538.5387294795537</v>
      </c>
      <c r="G49" s="739">
        <v>1.4645228857672747</v>
      </c>
      <c r="H49" s="739">
        <v>1789.2586447544959</v>
      </c>
      <c r="I49" s="739">
        <v>2113.0511357913142</v>
      </c>
      <c r="J49" s="739">
        <v>1433.0111261803208</v>
      </c>
      <c r="K49" s="739">
        <v>169.15930893997208</v>
      </c>
      <c r="L49" s="739">
        <v>1031.4353107892271</v>
      </c>
      <c r="M49" s="739">
        <v>0.17017276149900001</v>
      </c>
      <c r="N49" s="739">
        <v>90.285875154833548</v>
      </c>
      <c r="O49" s="739">
        <v>4050.8972000814319</v>
      </c>
      <c r="P49" s="739">
        <v>204.21637771437048</v>
      </c>
      <c r="Q49" s="739">
        <v>1918.0677291036288</v>
      </c>
      <c r="R49" s="739">
        <v>281.15542253444784</v>
      </c>
      <c r="S49" s="739">
        <v>21.042252487113192</v>
      </c>
      <c r="T49" s="739">
        <v>3074.3565416939377</v>
      </c>
      <c r="U49" s="739">
        <f t="shared" si="2"/>
        <v>35346.946709818687</v>
      </c>
      <c r="V49" s="27"/>
      <c r="W49" s="27"/>
      <c r="X49" s="27"/>
    </row>
    <row r="50" spans="1:24" s="9" customFormat="1" ht="11.25" customHeight="1">
      <c r="A50" s="540" t="s">
        <v>555</v>
      </c>
      <c r="B50" s="757">
        <v>5985.1350111069332</v>
      </c>
      <c r="C50" s="757">
        <v>5821.5719882321773</v>
      </c>
      <c r="D50" s="757">
        <v>4943.1504799722525</v>
      </c>
      <c r="E50" s="757">
        <v>2009.5163050512631</v>
      </c>
      <c r="F50" s="757">
        <v>3162.7239006858449</v>
      </c>
      <c r="G50" s="757">
        <v>2.5495629916823352</v>
      </c>
      <c r="H50" s="757">
        <v>1773.3754782655767</v>
      </c>
      <c r="I50" s="757">
        <v>2201.6434243751473</v>
      </c>
      <c r="J50" s="757">
        <v>1405.9419328025065</v>
      </c>
      <c r="K50" s="757">
        <v>189.72679782408343</v>
      </c>
      <c r="L50" s="757">
        <v>978.21111285028087</v>
      </c>
      <c r="M50" s="757">
        <v>0.30835467982703602</v>
      </c>
      <c r="N50" s="757">
        <v>117.30676179160646</v>
      </c>
      <c r="O50" s="757">
        <v>3947.5787887313904</v>
      </c>
      <c r="P50" s="757">
        <v>335.72449588439952</v>
      </c>
      <c r="Q50" s="757">
        <v>2380.9175186172038</v>
      </c>
      <c r="R50" s="757">
        <v>347.1883790550304</v>
      </c>
      <c r="S50" s="757">
        <v>23.80572222830715</v>
      </c>
      <c r="T50" s="757">
        <v>3796.7160041786929</v>
      </c>
      <c r="U50" s="757">
        <f t="shared" si="2"/>
        <v>39423.092019324205</v>
      </c>
      <c r="W50" s="27"/>
    </row>
    <row r="51" spans="1:24" s="9" customFormat="1" ht="11.25" customHeight="1">
      <c r="A51" s="537" t="s">
        <v>563</v>
      </c>
      <c r="B51" s="739">
        <v>5801.9880964318572</v>
      </c>
      <c r="C51" s="739">
        <v>4746.6694749666012</v>
      </c>
      <c r="D51" s="739">
        <v>5740.9626899520972</v>
      </c>
      <c r="E51" s="739">
        <v>2064.4054743791312</v>
      </c>
      <c r="F51" s="739">
        <v>3363.6115973435235</v>
      </c>
      <c r="G51" s="739">
        <v>2.8096245877489343</v>
      </c>
      <c r="H51" s="739">
        <v>1687.7140036473515</v>
      </c>
      <c r="I51" s="739">
        <v>2227.2061190264312</v>
      </c>
      <c r="J51" s="739">
        <v>1729.9031845852205</v>
      </c>
      <c r="K51" s="739">
        <v>171.19375496778898</v>
      </c>
      <c r="L51" s="739">
        <v>853.32269915488064</v>
      </c>
      <c r="M51" s="739">
        <v>7.7910381928845862E-2</v>
      </c>
      <c r="N51" s="739">
        <v>119.57254405717507</v>
      </c>
      <c r="O51" s="739">
        <v>3427.6136026776126</v>
      </c>
      <c r="P51" s="739">
        <v>326.86679326982141</v>
      </c>
      <c r="Q51" s="739">
        <v>2304.0237846088776</v>
      </c>
      <c r="R51" s="739">
        <v>313.44957873243993</v>
      </c>
      <c r="S51" s="739">
        <v>69.06173101145076</v>
      </c>
      <c r="T51" s="739">
        <v>3837.7359605547654</v>
      </c>
      <c r="U51" s="739">
        <v>38796.630699808426</v>
      </c>
      <c r="W51" s="27"/>
    </row>
    <row r="52" spans="1:24" s="9" customFormat="1" ht="11.25" customHeight="1">
      <c r="A52" s="537" t="s">
        <v>564</v>
      </c>
      <c r="B52" s="757">
        <v>5999.3737058366078</v>
      </c>
      <c r="C52" s="757">
        <v>4580.0183431389642</v>
      </c>
      <c r="D52" s="757">
        <v>5422.7756296130019</v>
      </c>
      <c r="E52" s="757">
        <v>1811.6332656004433</v>
      </c>
      <c r="F52" s="757">
        <v>3380.0400786951941</v>
      </c>
      <c r="G52" s="757">
        <v>1.2725506017761894</v>
      </c>
      <c r="H52" s="757">
        <v>1539.1450246229965</v>
      </c>
      <c r="I52" s="757">
        <v>2177.0118299353921</v>
      </c>
      <c r="J52" s="757">
        <v>1782.9248989547555</v>
      </c>
      <c r="K52" s="757">
        <v>126.37660114955608</v>
      </c>
      <c r="L52" s="757">
        <v>613.7960005013681</v>
      </c>
      <c r="M52" s="757">
        <v>7.4353804874999985E-2</v>
      </c>
      <c r="N52" s="757">
        <v>94.034562281054548</v>
      </c>
      <c r="O52" s="757">
        <v>3883.7804845348655</v>
      </c>
      <c r="P52" s="757">
        <v>310.64033760952304</v>
      </c>
      <c r="Q52" s="757">
        <v>1960.44168627422</v>
      </c>
      <c r="R52" s="757">
        <v>308.14098355483168</v>
      </c>
      <c r="S52" s="757">
        <v>13.276850807875121</v>
      </c>
      <c r="T52" s="757">
        <v>2926.362745059766</v>
      </c>
      <c r="U52" s="757">
        <v>36931.261264116853</v>
      </c>
      <c r="V52" s="157"/>
      <c r="W52" s="27"/>
      <c r="X52" s="157"/>
    </row>
    <row r="53" spans="1:24" s="9" customFormat="1" ht="11.25" customHeight="1" thickBot="1">
      <c r="A53" s="1493" t="s">
        <v>556</v>
      </c>
      <c r="B53" s="1753">
        <v>8640.9040859795969</v>
      </c>
      <c r="C53" s="1753">
        <v>7189.0065021910414</v>
      </c>
      <c r="D53" s="1753">
        <v>6456.9964890155343</v>
      </c>
      <c r="E53" s="1753">
        <v>2190.6069140174141</v>
      </c>
      <c r="F53" s="1753">
        <v>4481.191196626216</v>
      </c>
      <c r="G53" s="1753">
        <v>2.9576812633039009</v>
      </c>
      <c r="H53" s="1753">
        <v>1847.5216218756236</v>
      </c>
      <c r="I53" s="1753">
        <v>2736.8180476482307</v>
      </c>
      <c r="J53" s="1753">
        <v>1604.838279821643</v>
      </c>
      <c r="K53" s="1753">
        <v>146.80187621519855</v>
      </c>
      <c r="L53" s="1753">
        <v>624.37473052194105</v>
      </c>
      <c r="M53" s="1753">
        <v>0.20148949750702566</v>
      </c>
      <c r="N53" s="1753">
        <v>92.994347301320119</v>
      </c>
      <c r="O53" s="1753">
        <v>4362.7185406146555</v>
      </c>
      <c r="P53" s="1753">
        <v>316.93350907378806</v>
      </c>
      <c r="Q53" s="1753">
        <v>1934.1518522492602</v>
      </c>
      <c r="R53" s="1753">
        <v>247.77221460846712</v>
      </c>
      <c r="S53" s="1753">
        <v>21.541979248297068</v>
      </c>
      <c r="T53" s="1753">
        <v>3147.7365101231253</v>
      </c>
      <c r="U53" s="1753">
        <v>46046.067867892169</v>
      </c>
      <c r="V53" s="157"/>
      <c r="W53" s="27"/>
      <c r="X53" s="157"/>
    </row>
    <row r="54" spans="1:24" s="9" customFormat="1">
      <c r="A54" s="51" t="s">
        <v>707</v>
      </c>
      <c r="B54" s="9" t="s">
        <v>1299</v>
      </c>
      <c r="C54" s="172"/>
      <c r="D54" s="172"/>
      <c r="E54" s="172"/>
      <c r="F54" s="172"/>
      <c r="G54" s="172"/>
      <c r="H54" s="172"/>
      <c r="I54" s="172"/>
      <c r="J54" s="172"/>
      <c r="K54" s="627"/>
      <c r="N54" s="581"/>
      <c r="O54" s="581"/>
      <c r="P54" s="581"/>
      <c r="Q54" s="581"/>
      <c r="R54" s="581"/>
      <c r="S54" s="581"/>
      <c r="T54" s="581"/>
      <c r="U54" s="581"/>
      <c r="V54" s="157"/>
      <c r="W54" s="143"/>
      <c r="X54" s="143"/>
    </row>
    <row r="55" spans="1:24" s="9" customFormat="1" ht="12.75">
      <c r="B55" s="62"/>
      <c r="C55" s="52"/>
      <c r="D55" s="7"/>
      <c r="E55" s="7"/>
      <c r="F55" s="7"/>
      <c r="G55" s="7"/>
      <c r="H55" s="52"/>
      <c r="I55" s="7"/>
      <c r="J55" s="7"/>
      <c r="L55" s="581"/>
      <c r="M55" s="581"/>
      <c r="N55" s="96"/>
      <c r="O55" s="15"/>
      <c r="P55" s="172"/>
      <c r="Q55" s="172"/>
      <c r="R55" s="174"/>
      <c r="S55" s="174"/>
      <c r="T55" s="15"/>
      <c r="V55" s="143"/>
      <c r="W55" s="143"/>
      <c r="X55" s="143"/>
    </row>
    <row r="56" spans="1:24" s="9" customFormat="1" ht="12.75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4"/>
      <c r="M56" s="680"/>
      <c r="N56" s="96"/>
      <c r="O56" s="15"/>
      <c r="P56" s="172"/>
      <c r="Q56" s="172"/>
      <c r="R56" s="174"/>
      <c r="S56" s="157"/>
      <c r="T56" s="15"/>
      <c r="V56" s="143"/>
      <c r="W56" s="143"/>
      <c r="X56" s="143"/>
    </row>
    <row r="57" spans="1:24" s="9" customFormat="1" ht="12.75">
      <c r="A57" s="157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96"/>
      <c r="O57" s="15"/>
      <c r="P57" s="172"/>
      <c r="Q57" s="172"/>
      <c r="R57" s="174"/>
      <c r="S57" s="157"/>
      <c r="T57" s="15"/>
      <c r="U57" s="157"/>
      <c r="V57" s="157"/>
      <c r="W57" s="157"/>
      <c r="X57" s="157"/>
    </row>
    <row r="58" spans="1:24" s="9" customFormat="1"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239"/>
    </row>
    <row r="59" spans="1:24" s="9" customFormat="1">
      <c r="A59" s="8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239"/>
    </row>
    <row r="60" spans="1:24" s="9" customFormat="1">
      <c r="A60" s="8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239"/>
    </row>
    <row r="61" spans="1:24" s="9" customFormat="1">
      <c r="A61" s="8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239"/>
    </row>
    <row r="62" spans="1:24" s="9" customFormat="1">
      <c r="A62" s="159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</row>
    <row r="63" spans="1:24" s="9" customFormat="1">
      <c r="A63" s="159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</row>
    <row r="64" spans="1:24" s="9" customFormat="1">
      <c r="A64" s="8"/>
      <c r="B64" s="157"/>
      <c r="C64" s="157"/>
      <c r="D64" s="157"/>
      <c r="E64" s="157"/>
      <c r="F64" s="157"/>
      <c r="G64" s="157"/>
      <c r="H64" s="157"/>
      <c r="I64" s="157"/>
      <c r="N64" s="157"/>
      <c r="O64" s="157"/>
      <c r="P64" s="157"/>
      <c r="Q64" s="157"/>
      <c r="R64" s="157"/>
      <c r="S64" s="157"/>
      <c r="T64" s="157"/>
    </row>
    <row r="65" spans="7:13" s="9" customFormat="1"/>
    <row r="66" spans="7:13" s="9" customFormat="1">
      <c r="J66" s="157"/>
      <c r="K66" s="157"/>
      <c r="L66" s="157"/>
      <c r="M66" s="157"/>
    </row>
    <row r="67" spans="7:13" s="9" customFormat="1">
      <c r="J67" s="157"/>
      <c r="K67" s="157"/>
      <c r="L67" s="157"/>
      <c r="M67" s="157"/>
    </row>
    <row r="68" spans="7:13" s="9" customFormat="1">
      <c r="J68" s="157"/>
      <c r="K68" s="157"/>
      <c r="L68" s="157"/>
      <c r="M68" s="157"/>
    </row>
    <row r="69" spans="7:13" s="9" customFormat="1">
      <c r="J69" s="157"/>
      <c r="K69" s="157"/>
      <c r="L69" s="157"/>
      <c r="M69" s="157"/>
    </row>
    <row r="70" spans="7:13" s="9" customFormat="1">
      <c r="J70" s="157"/>
      <c r="K70" s="157"/>
      <c r="L70" s="157"/>
      <c r="M70" s="157"/>
    </row>
    <row r="71" spans="7:13" s="9" customFormat="1">
      <c r="J71" s="157"/>
      <c r="K71" s="157"/>
      <c r="L71" s="157"/>
      <c r="M71" s="157"/>
    </row>
    <row r="72" spans="7:13" s="9" customFormat="1">
      <c r="J72" s="157"/>
      <c r="K72" s="157"/>
      <c r="L72" s="157"/>
      <c r="M72" s="157"/>
    </row>
    <row r="73" spans="7:13" s="9" customFormat="1">
      <c r="J73" s="157"/>
      <c r="K73" s="157"/>
      <c r="L73" s="157"/>
      <c r="M73" s="157"/>
    </row>
    <row r="74" spans="7:13" s="9" customFormat="1">
      <c r="G74" s="157"/>
      <c r="H74" s="157"/>
      <c r="I74" s="157"/>
      <c r="J74" s="157"/>
      <c r="K74" s="157"/>
      <c r="L74" s="157"/>
      <c r="M74" s="157"/>
    </row>
    <row r="75" spans="7:13" s="9" customFormat="1">
      <c r="G75" s="157"/>
      <c r="H75" s="157"/>
      <c r="I75" s="157"/>
      <c r="J75" s="157"/>
      <c r="K75" s="157"/>
      <c r="L75" s="157"/>
      <c r="M75" s="157"/>
    </row>
    <row r="76" spans="7:13" s="9" customFormat="1">
      <c r="G76" s="157"/>
      <c r="H76" s="157"/>
      <c r="I76" s="157"/>
      <c r="J76" s="157"/>
      <c r="K76" s="157"/>
      <c r="L76" s="157"/>
      <c r="M76" s="157"/>
    </row>
    <row r="77" spans="7:13" s="9" customFormat="1">
      <c r="G77" s="157"/>
      <c r="H77" s="157"/>
      <c r="I77" s="157"/>
      <c r="J77" s="157"/>
    </row>
    <row r="78" spans="7:13" s="9" customFormat="1">
      <c r="G78" s="157"/>
      <c r="H78" s="157"/>
      <c r="I78" s="157"/>
      <c r="J78" s="157"/>
    </row>
    <row r="79" spans="7:13" s="9" customFormat="1">
      <c r="G79" s="157"/>
      <c r="H79" s="157"/>
      <c r="I79" s="157"/>
      <c r="J79" s="157"/>
    </row>
    <row r="80" spans="7:13" s="9" customFormat="1">
      <c r="G80" s="157"/>
      <c r="H80" s="157"/>
      <c r="I80" s="157"/>
      <c r="J80" s="157"/>
    </row>
    <row r="81" spans="7:10" s="9" customFormat="1">
      <c r="G81" s="157"/>
      <c r="H81" s="157"/>
      <c r="I81" s="157"/>
      <c r="J81" s="157"/>
    </row>
    <row r="82" spans="7:10" s="9" customFormat="1">
      <c r="G82" s="157"/>
      <c r="H82" s="157"/>
      <c r="I82" s="157"/>
      <c r="J82" s="157"/>
    </row>
    <row r="83" spans="7:10" s="9" customFormat="1">
      <c r="G83" s="157"/>
      <c r="H83" s="157"/>
      <c r="I83" s="157"/>
      <c r="J83" s="157"/>
    </row>
    <row r="84" spans="7:10" s="9" customFormat="1">
      <c r="G84" s="157"/>
      <c r="H84" s="157"/>
      <c r="I84" s="157"/>
      <c r="J84" s="157"/>
    </row>
    <row r="85" spans="7:10" s="9" customFormat="1">
      <c r="G85" s="157"/>
      <c r="H85" s="157"/>
      <c r="I85" s="157"/>
      <c r="J85" s="157"/>
    </row>
    <row r="86" spans="7:10" s="9" customFormat="1">
      <c r="G86" s="157"/>
      <c r="H86" s="157"/>
      <c r="I86" s="157"/>
      <c r="J86" s="157"/>
    </row>
    <row r="87" spans="7:10" s="9" customFormat="1"/>
    <row r="88" spans="7:10" s="9" customFormat="1"/>
    <row r="89" spans="7:10" s="9" customFormat="1">
      <c r="G89" s="157"/>
      <c r="H89" s="157"/>
      <c r="I89" s="157"/>
      <c r="J89" s="157"/>
    </row>
    <row r="90" spans="7:10" s="9" customFormat="1">
      <c r="G90" s="157"/>
      <c r="H90" s="157"/>
      <c r="I90" s="157"/>
      <c r="J90" s="157"/>
    </row>
    <row r="91" spans="7:10" s="9" customFormat="1">
      <c r="G91" s="157"/>
      <c r="H91" s="157"/>
      <c r="I91" s="157"/>
      <c r="J91" s="157"/>
    </row>
    <row r="92" spans="7:10" s="9" customFormat="1">
      <c r="G92" s="157"/>
      <c r="H92" s="157"/>
      <c r="I92" s="157"/>
      <c r="J92" s="157"/>
    </row>
    <row r="93" spans="7:10" s="9" customFormat="1">
      <c r="G93" s="157"/>
      <c r="H93" s="157"/>
      <c r="I93" s="157"/>
      <c r="J93" s="157"/>
    </row>
    <row r="94" spans="7:10" s="9" customFormat="1">
      <c r="G94" s="157"/>
      <c r="H94" s="157"/>
      <c r="I94" s="157"/>
      <c r="J94" s="157"/>
    </row>
    <row r="95" spans="7:10" s="9" customFormat="1">
      <c r="G95" s="157"/>
      <c r="H95" s="157"/>
      <c r="I95" s="157"/>
      <c r="J95" s="157"/>
    </row>
    <row r="96" spans="7:10" s="9" customFormat="1">
      <c r="G96" s="157"/>
      <c r="H96" s="157"/>
      <c r="I96" s="157"/>
      <c r="J96" s="157"/>
    </row>
    <row r="97" spans="7:10" s="9" customFormat="1">
      <c r="G97" s="157"/>
      <c r="H97" s="157"/>
      <c r="I97" s="157"/>
      <c r="J97" s="157"/>
    </row>
    <row r="98" spans="7:10" s="9" customFormat="1">
      <c r="G98" s="157"/>
      <c r="H98" s="157"/>
      <c r="I98" s="157"/>
      <c r="J98" s="157"/>
    </row>
    <row r="99" spans="7:10" s="9" customFormat="1">
      <c r="G99" s="157"/>
      <c r="H99" s="157"/>
      <c r="I99" s="157"/>
      <c r="J99" s="157"/>
    </row>
    <row r="100" spans="7:10" s="9" customFormat="1"/>
    <row r="101" spans="7:10" s="9" customFormat="1"/>
    <row r="102" spans="7:10" s="9" customFormat="1"/>
    <row r="103" spans="7:10" s="9" customFormat="1"/>
    <row r="104" spans="7:10" s="9" customFormat="1"/>
    <row r="105" spans="7:10" s="9" customFormat="1"/>
    <row r="106" spans="7:10" s="9" customFormat="1"/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</row>
    <row r="356" spans="1:2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</row>
    <row r="357" spans="1:2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</row>
    <row r="358" spans="1:2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</row>
    <row r="359" spans="1:2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</row>
    <row r="360" spans="1:2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4">
    <mergeCell ref="T1:U1"/>
    <mergeCell ref="T2:U2"/>
    <mergeCell ref="A1:J1"/>
    <mergeCell ref="K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62"/>
  <sheetViews>
    <sheetView zoomScale="150" zoomScaleNormal="150" workbookViewId="0">
      <pane xSplit="1" ySplit="6" topLeftCell="B46" activePane="bottomRight" state="frozen"/>
      <selection activeCell="BU10" sqref="BU10"/>
      <selection pane="topRight" activeCell="BU10" sqref="BU10"/>
      <selection pane="bottomLeft" activeCell="BU10" sqref="BU10"/>
      <selection pane="bottomRight" sqref="A1:XFD1048576"/>
    </sheetView>
  </sheetViews>
  <sheetFormatPr defaultColWidth="9.140625" defaultRowHeight="11.25"/>
  <cols>
    <col min="1" max="1" width="9.28515625" style="41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1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1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1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1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7" customFormat="1" ht="14.25" customHeight="1">
      <c r="C1" s="50"/>
      <c r="D1" s="50"/>
      <c r="F1" s="2301" t="s">
        <v>321</v>
      </c>
      <c r="G1" s="2301"/>
      <c r="H1" s="128" t="s">
        <v>319</v>
      </c>
      <c r="M1" s="2301" t="s">
        <v>1086</v>
      </c>
      <c r="N1" s="2301"/>
      <c r="O1" s="2301"/>
      <c r="U1" s="2301" t="s">
        <v>321</v>
      </c>
      <c r="V1" s="2301"/>
      <c r="W1" s="128" t="s">
        <v>319</v>
      </c>
      <c r="AB1" s="2301" t="s">
        <v>1086</v>
      </c>
      <c r="AC1" s="2301"/>
      <c r="AD1" s="2301"/>
      <c r="AJ1" s="2301" t="s">
        <v>321</v>
      </c>
      <c r="AK1" s="2301"/>
      <c r="AL1" s="128" t="s">
        <v>319</v>
      </c>
      <c r="AQ1" s="2301" t="s">
        <v>1086</v>
      </c>
      <c r="AR1" s="2301"/>
      <c r="AS1" s="2301"/>
      <c r="AY1" s="2301" t="s">
        <v>321</v>
      </c>
      <c r="AZ1" s="2301"/>
      <c r="BA1" s="128" t="s">
        <v>319</v>
      </c>
      <c r="BF1" s="2301" t="s">
        <v>1086</v>
      </c>
      <c r="BG1" s="2301"/>
      <c r="BH1" s="2301"/>
      <c r="BN1" s="2301" t="s">
        <v>321</v>
      </c>
      <c r="BO1" s="2301"/>
      <c r="BP1" s="128" t="s">
        <v>319</v>
      </c>
      <c r="BU1" s="2301" t="s">
        <v>1087</v>
      </c>
      <c r="BV1" s="2301"/>
      <c r="BW1" s="2301"/>
    </row>
    <row r="2" spans="1:75" s="58" customFormat="1" ht="12.75" customHeight="1">
      <c r="G2" s="1866" t="s">
        <v>318</v>
      </c>
      <c r="H2" s="923" t="s">
        <v>320</v>
      </c>
      <c r="I2" s="73"/>
      <c r="J2" s="73"/>
      <c r="K2" s="73"/>
      <c r="L2" s="73"/>
      <c r="M2" s="73"/>
      <c r="P2" s="73"/>
      <c r="Q2" s="73"/>
      <c r="R2" s="73"/>
      <c r="S2" s="73"/>
      <c r="T2" s="73"/>
      <c r="V2" s="1866" t="s">
        <v>318</v>
      </c>
      <c r="W2" s="923" t="s">
        <v>320</v>
      </c>
      <c r="AC2" s="2557"/>
      <c r="AD2" s="2557"/>
      <c r="AK2" s="1866" t="s">
        <v>318</v>
      </c>
      <c r="AL2" s="923" t="s">
        <v>320</v>
      </c>
      <c r="AZ2" s="1866" t="s">
        <v>318</v>
      </c>
      <c r="BA2" s="923" t="s">
        <v>320</v>
      </c>
      <c r="BO2" s="1866" t="s">
        <v>318</v>
      </c>
      <c r="BP2" s="923" t="s">
        <v>320</v>
      </c>
    </row>
    <row r="3" spans="1:75" s="80" customFormat="1" ht="11.25" customHeight="1">
      <c r="A3" s="2324" t="s">
        <v>481</v>
      </c>
      <c r="B3" s="2324" t="s">
        <v>612</v>
      </c>
      <c r="C3" s="2324"/>
      <c r="D3" s="2324" t="s">
        <v>514</v>
      </c>
      <c r="E3" s="2324"/>
      <c r="F3" s="2324" t="s">
        <v>515</v>
      </c>
      <c r="G3" s="2324"/>
      <c r="H3" s="2324" t="s">
        <v>516</v>
      </c>
      <c r="I3" s="2324"/>
      <c r="J3" s="2324" t="s">
        <v>56</v>
      </c>
      <c r="K3" s="2324"/>
      <c r="L3" s="2324" t="s">
        <v>517</v>
      </c>
      <c r="M3" s="2324"/>
      <c r="N3" s="2324" t="s">
        <v>1338</v>
      </c>
      <c r="O3" s="2324"/>
      <c r="P3" s="2324" t="s">
        <v>481</v>
      </c>
      <c r="Q3" s="2118" t="s">
        <v>58</v>
      </c>
      <c r="R3" s="2118"/>
      <c r="S3" s="2324" t="s">
        <v>518</v>
      </c>
      <c r="T3" s="2324"/>
      <c r="U3" s="2324" t="s">
        <v>519</v>
      </c>
      <c r="V3" s="2324"/>
      <c r="W3" s="2324" t="s">
        <v>239</v>
      </c>
      <c r="X3" s="2324"/>
      <c r="Y3" s="2324" t="s">
        <v>59</v>
      </c>
      <c r="Z3" s="2324"/>
      <c r="AA3" s="2324" t="s">
        <v>520</v>
      </c>
      <c r="AB3" s="2324"/>
      <c r="AC3" s="2324" t="s">
        <v>613</v>
      </c>
      <c r="AD3" s="2324"/>
      <c r="AE3" s="2324" t="s">
        <v>481</v>
      </c>
      <c r="AF3" s="2324" t="s">
        <v>240</v>
      </c>
      <c r="AG3" s="2324"/>
      <c r="AH3" s="2324" t="s">
        <v>521</v>
      </c>
      <c r="AI3" s="2324"/>
      <c r="AJ3" s="2324" t="s">
        <v>522</v>
      </c>
      <c r="AK3" s="2324"/>
      <c r="AL3" s="2324" t="s">
        <v>523</v>
      </c>
      <c r="AM3" s="2324"/>
      <c r="AN3" s="2324" t="s">
        <v>524</v>
      </c>
      <c r="AO3" s="2324"/>
      <c r="AP3" s="2324" t="s">
        <v>525</v>
      </c>
      <c r="AQ3" s="2324"/>
      <c r="AR3" s="2324" t="s">
        <v>526</v>
      </c>
      <c r="AS3" s="2324"/>
      <c r="AT3" s="2324" t="s">
        <v>481</v>
      </c>
      <c r="AU3" s="2324" t="s">
        <v>527</v>
      </c>
      <c r="AV3" s="2324"/>
      <c r="AW3" s="2324" t="s">
        <v>528</v>
      </c>
      <c r="AX3" s="2324"/>
      <c r="AY3" s="2324" t="s">
        <v>529</v>
      </c>
      <c r="AZ3" s="2324"/>
      <c r="BA3" s="2324" t="s">
        <v>241</v>
      </c>
      <c r="BB3" s="2324"/>
      <c r="BC3" s="2324" t="s">
        <v>530</v>
      </c>
      <c r="BD3" s="2324"/>
      <c r="BE3" s="2324" t="s">
        <v>531</v>
      </c>
      <c r="BF3" s="2324"/>
      <c r="BG3" s="2324" t="s">
        <v>376</v>
      </c>
      <c r="BH3" s="2324"/>
      <c r="BI3" s="2324" t="s">
        <v>481</v>
      </c>
      <c r="BJ3" s="2324" t="s">
        <v>653</v>
      </c>
      <c r="BK3" s="2324"/>
      <c r="BL3" s="2324" t="s">
        <v>614</v>
      </c>
      <c r="BM3" s="2324"/>
      <c r="BN3" s="2324" t="s">
        <v>532</v>
      </c>
      <c r="BO3" s="2324"/>
      <c r="BP3" s="2324" t="s">
        <v>1529</v>
      </c>
      <c r="BQ3" s="2324"/>
      <c r="BR3" s="2324" t="s">
        <v>533</v>
      </c>
      <c r="BS3" s="2324"/>
      <c r="BT3" s="2324" t="s">
        <v>534</v>
      </c>
      <c r="BU3" s="2324"/>
      <c r="BV3" s="2324" t="s">
        <v>1121</v>
      </c>
      <c r="BW3" s="2324"/>
    </row>
    <row r="4" spans="1:75" s="1871" customFormat="1" ht="20.25" customHeight="1">
      <c r="A4" s="2324"/>
      <c r="B4" s="2556" t="s">
        <v>1000</v>
      </c>
      <c r="C4" s="2556" t="s">
        <v>1001</v>
      </c>
      <c r="D4" s="2556" t="s">
        <v>1000</v>
      </c>
      <c r="E4" s="2556" t="s">
        <v>1001</v>
      </c>
      <c r="F4" s="2556" t="s">
        <v>1000</v>
      </c>
      <c r="G4" s="2556" t="s">
        <v>1002</v>
      </c>
      <c r="H4" s="2556" t="s">
        <v>1000</v>
      </c>
      <c r="I4" s="2556" t="s">
        <v>1001</v>
      </c>
      <c r="J4" s="2556" t="s">
        <v>1000</v>
      </c>
      <c r="K4" s="2556" t="s">
        <v>1001</v>
      </c>
      <c r="L4" s="2556" t="s">
        <v>1000</v>
      </c>
      <c r="M4" s="2556" t="s">
        <v>1001</v>
      </c>
      <c r="N4" s="2556" t="s">
        <v>1000</v>
      </c>
      <c r="O4" s="2556" t="s">
        <v>1001</v>
      </c>
      <c r="P4" s="2324"/>
      <c r="Q4" s="2556" t="s">
        <v>1000</v>
      </c>
      <c r="R4" s="2556" t="s">
        <v>1001</v>
      </c>
      <c r="S4" s="2556" t="s">
        <v>1000</v>
      </c>
      <c r="T4" s="2556" t="s">
        <v>1001</v>
      </c>
      <c r="U4" s="2556" t="s">
        <v>1000</v>
      </c>
      <c r="V4" s="2556" t="s">
        <v>1002</v>
      </c>
      <c r="W4" s="2556" t="s">
        <v>1000</v>
      </c>
      <c r="X4" s="2556" t="s">
        <v>1001</v>
      </c>
      <c r="Y4" s="2556" t="s">
        <v>1000</v>
      </c>
      <c r="Z4" s="2556" t="s">
        <v>1001</v>
      </c>
      <c r="AA4" s="2556" t="s">
        <v>1000</v>
      </c>
      <c r="AB4" s="2556" t="s">
        <v>1001</v>
      </c>
      <c r="AC4" s="2556" t="s">
        <v>1000</v>
      </c>
      <c r="AD4" s="2556" t="s">
        <v>1001</v>
      </c>
      <c r="AE4" s="2324"/>
      <c r="AF4" s="2556" t="s">
        <v>1000</v>
      </c>
      <c r="AG4" s="2556" t="s">
        <v>1001</v>
      </c>
      <c r="AH4" s="2556" t="s">
        <v>1000</v>
      </c>
      <c r="AI4" s="2556" t="s">
        <v>1001</v>
      </c>
      <c r="AJ4" s="2556" t="s">
        <v>1000</v>
      </c>
      <c r="AK4" s="2556" t="s">
        <v>1002</v>
      </c>
      <c r="AL4" s="2556" t="s">
        <v>1000</v>
      </c>
      <c r="AM4" s="2556" t="s">
        <v>1001</v>
      </c>
      <c r="AN4" s="2556" t="s">
        <v>1000</v>
      </c>
      <c r="AO4" s="2556" t="s">
        <v>1001</v>
      </c>
      <c r="AP4" s="2556" t="s">
        <v>1000</v>
      </c>
      <c r="AQ4" s="2556" t="s">
        <v>1001</v>
      </c>
      <c r="AR4" s="2556" t="s">
        <v>1000</v>
      </c>
      <c r="AS4" s="2556" t="s">
        <v>1001</v>
      </c>
      <c r="AT4" s="2324"/>
      <c r="AU4" s="2556" t="s">
        <v>1000</v>
      </c>
      <c r="AV4" s="2556" t="s">
        <v>1001</v>
      </c>
      <c r="AW4" s="2556" t="s">
        <v>1000</v>
      </c>
      <c r="AX4" s="2556" t="s">
        <v>1001</v>
      </c>
      <c r="AY4" s="2556" t="s">
        <v>1000</v>
      </c>
      <c r="AZ4" s="2556" t="s">
        <v>1002</v>
      </c>
      <c r="BA4" s="2556" t="s">
        <v>1000</v>
      </c>
      <c r="BB4" s="2556" t="s">
        <v>1001</v>
      </c>
      <c r="BC4" s="2556" t="s">
        <v>1000</v>
      </c>
      <c r="BD4" s="2556" t="s">
        <v>1001</v>
      </c>
      <c r="BE4" s="2556" t="s">
        <v>1000</v>
      </c>
      <c r="BF4" s="2556" t="s">
        <v>1001</v>
      </c>
      <c r="BG4" s="2556" t="s">
        <v>1000</v>
      </c>
      <c r="BH4" s="2556" t="s">
        <v>1001</v>
      </c>
      <c r="BI4" s="2324"/>
      <c r="BJ4" s="2556" t="s">
        <v>1000</v>
      </c>
      <c r="BK4" s="2556" t="s">
        <v>1001</v>
      </c>
      <c r="BL4" s="2556" t="s">
        <v>1000</v>
      </c>
      <c r="BM4" s="2556" t="s">
        <v>1001</v>
      </c>
      <c r="BN4" s="2556" t="s">
        <v>1000</v>
      </c>
      <c r="BO4" s="2556" t="s">
        <v>1002</v>
      </c>
      <c r="BP4" s="2556" t="s">
        <v>1000</v>
      </c>
      <c r="BQ4" s="2556" t="s">
        <v>1001</v>
      </c>
      <c r="BR4" s="2556" t="s">
        <v>1000</v>
      </c>
      <c r="BS4" s="2556" t="s">
        <v>1001</v>
      </c>
      <c r="BT4" s="2556" t="s">
        <v>1000</v>
      </c>
      <c r="BU4" s="2556" t="s">
        <v>1001</v>
      </c>
      <c r="BV4" s="2556" t="s">
        <v>1000</v>
      </c>
      <c r="BW4" s="2556" t="s">
        <v>1001</v>
      </c>
    </row>
    <row r="5" spans="1:75" s="1871" customFormat="1" ht="15.75" customHeight="1">
      <c r="A5" s="2324"/>
      <c r="B5" s="2117"/>
      <c r="C5" s="2117"/>
      <c r="D5" s="2117"/>
      <c r="E5" s="2117"/>
      <c r="F5" s="2117"/>
      <c r="G5" s="2117"/>
      <c r="H5" s="2117"/>
      <c r="I5" s="2117"/>
      <c r="J5" s="2117"/>
      <c r="K5" s="2117"/>
      <c r="L5" s="2117"/>
      <c r="M5" s="2117"/>
      <c r="N5" s="2117"/>
      <c r="O5" s="2117"/>
      <c r="P5" s="2324"/>
      <c r="Q5" s="2117"/>
      <c r="R5" s="2117"/>
      <c r="S5" s="2117"/>
      <c r="T5" s="2117"/>
      <c r="U5" s="2117"/>
      <c r="V5" s="2117"/>
      <c r="W5" s="2117"/>
      <c r="X5" s="2117"/>
      <c r="Y5" s="2117"/>
      <c r="Z5" s="2117"/>
      <c r="AA5" s="2117"/>
      <c r="AB5" s="2117"/>
      <c r="AC5" s="2117"/>
      <c r="AD5" s="2117"/>
      <c r="AE5" s="2324"/>
      <c r="AF5" s="2117"/>
      <c r="AG5" s="2117"/>
      <c r="AH5" s="2117"/>
      <c r="AI5" s="2117"/>
      <c r="AJ5" s="2117"/>
      <c r="AK5" s="2117"/>
      <c r="AL5" s="2117"/>
      <c r="AM5" s="2117"/>
      <c r="AN5" s="2117"/>
      <c r="AO5" s="2117"/>
      <c r="AP5" s="2117"/>
      <c r="AQ5" s="2117"/>
      <c r="AR5" s="2117"/>
      <c r="AS5" s="2117"/>
      <c r="AT5" s="2324"/>
      <c r="AU5" s="2117"/>
      <c r="AV5" s="2117"/>
      <c r="AW5" s="2117"/>
      <c r="AX5" s="2117"/>
      <c r="AY5" s="2117"/>
      <c r="AZ5" s="2117"/>
      <c r="BA5" s="2117"/>
      <c r="BB5" s="2117"/>
      <c r="BC5" s="2117"/>
      <c r="BD5" s="2117"/>
      <c r="BE5" s="2117"/>
      <c r="BF5" s="2117"/>
      <c r="BG5" s="2117"/>
      <c r="BH5" s="2117"/>
      <c r="BI5" s="2324"/>
      <c r="BJ5" s="2117"/>
      <c r="BK5" s="2117"/>
      <c r="BL5" s="2117"/>
      <c r="BM5" s="2117"/>
      <c r="BN5" s="2117"/>
      <c r="BO5" s="2117"/>
      <c r="BP5" s="2117"/>
      <c r="BQ5" s="2117"/>
      <c r="BR5" s="2117"/>
      <c r="BS5" s="2117"/>
      <c r="BT5" s="2117"/>
      <c r="BU5" s="2117"/>
      <c r="BV5" s="2117"/>
      <c r="BW5" s="2117"/>
    </row>
    <row r="6" spans="1:75" s="129" customFormat="1" ht="12">
      <c r="A6" s="2324"/>
      <c r="B6" s="1877">
        <v>1</v>
      </c>
      <c r="C6" s="1877">
        <v>2</v>
      </c>
      <c r="D6" s="1877">
        <v>3</v>
      </c>
      <c r="E6" s="1877">
        <v>4</v>
      </c>
      <c r="F6" s="1877">
        <v>5</v>
      </c>
      <c r="G6" s="1877">
        <v>6</v>
      </c>
      <c r="H6" s="1877">
        <v>7</v>
      </c>
      <c r="I6" s="1877">
        <v>8</v>
      </c>
      <c r="J6" s="1877">
        <v>9</v>
      </c>
      <c r="K6" s="1877">
        <v>10</v>
      </c>
      <c r="L6" s="1877">
        <v>11</v>
      </c>
      <c r="M6" s="1877">
        <v>12</v>
      </c>
      <c r="N6" s="1877">
        <v>13</v>
      </c>
      <c r="O6" s="1877">
        <v>14</v>
      </c>
      <c r="P6" s="2324"/>
      <c r="Q6" s="1877">
        <v>15</v>
      </c>
      <c r="R6" s="1877">
        <v>16</v>
      </c>
      <c r="S6" s="1877">
        <v>17</v>
      </c>
      <c r="T6" s="1877">
        <v>18</v>
      </c>
      <c r="U6" s="1877">
        <v>19</v>
      </c>
      <c r="V6" s="1877">
        <v>20</v>
      </c>
      <c r="W6" s="1877">
        <v>21</v>
      </c>
      <c r="X6" s="1877">
        <v>22</v>
      </c>
      <c r="Y6" s="1877">
        <v>23</v>
      </c>
      <c r="Z6" s="1877">
        <v>24</v>
      </c>
      <c r="AA6" s="1877">
        <v>25</v>
      </c>
      <c r="AB6" s="1877">
        <v>26</v>
      </c>
      <c r="AC6" s="1877">
        <v>27</v>
      </c>
      <c r="AD6" s="1877">
        <v>28</v>
      </c>
      <c r="AE6" s="2324"/>
      <c r="AF6" s="1877">
        <v>29</v>
      </c>
      <c r="AG6" s="1877">
        <v>30</v>
      </c>
      <c r="AH6" s="1877">
        <v>31</v>
      </c>
      <c r="AI6" s="1877">
        <v>32</v>
      </c>
      <c r="AJ6" s="1877">
        <v>33</v>
      </c>
      <c r="AK6" s="1877">
        <v>34</v>
      </c>
      <c r="AL6" s="1877">
        <v>35</v>
      </c>
      <c r="AM6" s="1877">
        <v>36</v>
      </c>
      <c r="AN6" s="1877">
        <v>37</v>
      </c>
      <c r="AO6" s="1877">
        <v>38</v>
      </c>
      <c r="AP6" s="1877">
        <v>39</v>
      </c>
      <c r="AQ6" s="1877">
        <v>40</v>
      </c>
      <c r="AR6" s="1877">
        <v>41</v>
      </c>
      <c r="AS6" s="1877">
        <v>42</v>
      </c>
      <c r="AT6" s="2324"/>
      <c r="AU6" s="1877">
        <v>43</v>
      </c>
      <c r="AV6" s="1877">
        <v>44</v>
      </c>
      <c r="AW6" s="1877">
        <v>45</v>
      </c>
      <c r="AX6" s="1877">
        <v>46</v>
      </c>
      <c r="AY6" s="1877">
        <v>47</v>
      </c>
      <c r="AZ6" s="1877">
        <v>48</v>
      </c>
      <c r="BA6" s="1877">
        <v>49</v>
      </c>
      <c r="BB6" s="1877">
        <v>50</v>
      </c>
      <c r="BC6" s="1877">
        <v>51</v>
      </c>
      <c r="BD6" s="1877">
        <v>52</v>
      </c>
      <c r="BE6" s="1877">
        <v>53</v>
      </c>
      <c r="BF6" s="1877">
        <v>54</v>
      </c>
      <c r="BG6" s="1877">
        <v>55</v>
      </c>
      <c r="BH6" s="1877">
        <v>56</v>
      </c>
      <c r="BI6" s="2324"/>
      <c r="BJ6" s="1877">
        <v>57</v>
      </c>
      <c r="BK6" s="1877">
        <v>58</v>
      </c>
      <c r="BL6" s="1877">
        <v>59</v>
      </c>
      <c r="BM6" s="1877">
        <v>60</v>
      </c>
      <c r="BN6" s="1877">
        <v>61</v>
      </c>
      <c r="BO6" s="1877">
        <v>62</v>
      </c>
      <c r="BP6" s="1877">
        <v>63</v>
      </c>
      <c r="BQ6" s="1877">
        <v>64</v>
      </c>
      <c r="BR6" s="1877">
        <v>65</v>
      </c>
      <c r="BS6" s="1877">
        <v>66</v>
      </c>
      <c r="BT6" s="1877">
        <v>67</v>
      </c>
      <c r="BU6" s="1877">
        <v>68</v>
      </c>
      <c r="BV6" s="1877">
        <v>69</v>
      </c>
      <c r="BW6" s="1877">
        <v>70</v>
      </c>
    </row>
    <row r="7" spans="1:75" ht="11.45" customHeight="1">
      <c r="A7" s="238" t="s">
        <v>705</v>
      </c>
      <c r="B7" s="15">
        <v>81.650000000000006</v>
      </c>
      <c r="C7" s="15">
        <v>83.78</v>
      </c>
      <c r="D7" s="15">
        <v>79.099999999999994</v>
      </c>
      <c r="E7" s="15">
        <v>81.819999999999993</v>
      </c>
      <c r="F7" s="15">
        <v>209.8</v>
      </c>
      <c r="G7" s="15">
        <v>217.03</v>
      </c>
      <c r="H7" s="15">
        <v>78.84</v>
      </c>
      <c r="I7" s="15">
        <v>80.45</v>
      </c>
      <c r="J7" s="15">
        <v>12.47</v>
      </c>
      <c r="K7" s="15">
        <v>12.94</v>
      </c>
      <c r="L7" s="15">
        <v>14.22</v>
      </c>
      <c r="M7" s="15">
        <v>13.91</v>
      </c>
      <c r="N7" s="15">
        <v>105.78</v>
      </c>
      <c r="O7" s="15">
        <v>103.45</v>
      </c>
      <c r="P7" s="238" t="s">
        <v>705</v>
      </c>
      <c r="Q7" s="15">
        <v>10.18</v>
      </c>
      <c r="R7" s="15">
        <v>10.55</v>
      </c>
      <c r="S7" s="15">
        <v>1.58</v>
      </c>
      <c r="T7" s="15">
        <v>1.47</v>
      </c>
      <c r="U7" s="15">
        <v>0.01</v>
      </c>
      <c r="V7" s="15">
        <v>0.01</v>
      </c>
      <c r="W7" s="15">
        <v>0.01</v>
      </c>
      <c r="X7" s="15">
        <v>0.01</v>
      </c>
      <c r="Y7" s="15">
        <v>1.01</v>
      </c>
      <c r="Z7" s="15">
        <v>1.02</v>
      </c>
      <c r="AA7" s="15">
        <v>285.58</v>
      </c>
      <c r="AB7" s="15">
        <v>292.27</v>
      </c>
      <c r="AC7" s="15">
        <v>25.63</v>
      </c>
      <c r="AD7" s="15">
        <v>25.81</v>
      </c>
      <c r="AE7" s="238" t="s">
        <v>705</v>
      </c>
      <c r="AF7" s="15">
        <v>12.32</v>
      </c>
      <c r="AG7" s="15">
        <v>12.74</v>
      </c>
      <c r="AH7" s="15">
        <v>0.99</v>
      </c>
      <c r="AI7" s="15">
        <v>0.9</v>
      </c>
      <c r="AJ7" s="15">
        <v>63.62</v>
      </c>
      <c r="AK7" s="15">
        <v>65.52</v>
      </c>
      <c r="AL7" s="15">
        <v>13.79</v>
      </c>
      <c r="AM7" s="15">
        <v>13.72</v>
      </c>
      <c r="AN7" s="15">
        <v>205.3</v>
      </c>
      <c r="AO7" s="15">
        <v>212.52</v>
      </c>
      <c r="AP7" s="15">
        <v>0.89</v>
      </c>
      <c r="AQ7" s="15">
        <v>0.87</v>
      </c>
      <c r="AR7" s="15">
        <v>1.84</v>
      </c>
      <c r="AS7" s="15">
        <v>1.94</v>
      </c>
      <c r="AT7" s="238" t="s">
        <v>705</v>
      </c>
      <c r="AU7" s="15">
        <v>21.72</v>
      </c>
      <c r="AV7" s="15">
        <v>22.47</v>
      </c>
      <c r="AW7" s="15">
        <v>2.61</v>
      </c>
      <c r="AX7" s="15">
        <v>2.4900000000000002</v>
      </c>
      <c r="AY7" s="15">
        <v>21.09</v>
      </c>
      <c r="AZ7" s="15">
        <v>21.82</v>
      </c>
      <c r="BA7" s="15">
        <v>7.0000000000000007E-2</v>
      </c>
      <c r="BB7" s="15">
        <v>7.0000000000000007E-2</v>
      </c>
      <c r="BC7" s="15">
        <v>62.78</v>
      </c>
      <c r="BD7" s="15">
        <v>64.650000000000006</v>
      </c>
      <c r="BE7" s="15">
        <v>11.76</v>
      </c>
      <c r="BF7" s="15">
        <v>11.82</v>
      </c>
      <c r="BG7" s="15">
        <v>0.68</v>
      </c>
      <c r="BH7" s="15">
        <v>0.61</v>
      </c>
      <c r="BI7" s="238" t="s">
        <v>705</v>
      </c>
      <c r="BJ7" s="15">
        <v>88.18</v>
      </c>
      <c r="BK7" s="15">
        <v>86.11</v>
      </c>
      <c r="BL7" s="15">
        <v>1.47</v>
      </c>
      <c r="BM7" s="15">
        <v>1.28</v>
      </c>
      <c r="BN7" s="15">
        <v>123.03</v>
      </c>
      <c r="BO7" s="15">
        <v>124.16</v>
      </c>
      <c r="BP7" s="15">
        <v>2.56</v>
      </c>
      <c r="BQ7" s="15">
        <v>2.59</v>
      </c>
      <c r="BR7" s="15">
        <v>21.53</v>
      </c>
      <c r="BS7" s="15">
        <v>22.28</v>
      </c>
      <c r="BT7" s="15">
        <v>79.099999999999994</v>
      </c>
      <c r="BU7" s="15">
        <v>81.819999999999993</v>
      </c>
      <c r="BV7" s="15">
        <v>125.28</v>
      </c>
      <c r="BW7" s="15">
        <v>128.19999999999999</v>
      </c>
    </row>
    <row r="8" spans="1:75" ht="11.45" customHeight="1">
      <c r="A8" s="329" t="s">
        <v>814</v>
      </c>
      <c r="B8" s="294">
        <v>82.13</v>
      </c>
      <c r="C8" s="294">
        <v>71.099999999999994</v>
      </c>
      <c r="D8" s="294">
        <v>79.930000000000007</v>
      </c>
      <c r="E8" s="294">
        <v>77.77</v>
      </c>
      <c r="F8" s="294">
        <v>212.02</v>
      </c>
      <c r="G8" s="294">
        <v>206.27</v>
      </c>
      <c r="H8" s="294">
        <v>79.62</v>
      </c>
      <c r="I8" s="294">
        <v>73.900000000000006</v>
      </c>
      <c r="J8" s="294">
        <v>12.72</v>
      </c>
      <c r="K8" s="294">
        <v>12.59</v>
      </c>
      <c r="L8" s="294">
        <v>13.87</v>
      </c>
      <c r="M8" s="294">
        <v>13.57</v>
      </c>
      <c r="N8" s="294">
        <v>103.37</v>
      </c>
      <c r="O8" s="294">
        <v>101.19</v>
      </c>
      <c r="P8" s="329" t="s">
        <v>814</v>
      </c>
      <c r="Q8" s="294">
        <v>10.31</v>
      </c>
      <c r="R8" s="294">
        <v>10.029999999999999</v>
      </c>
      <c r="S8" s="294">
        <v>1.46</v>
      </c>
      <c r="T8" s="294">
        <v>1.31</v>
      </c>
      <c r="U8" s="294">
        <v>0.01</v>
      </c>
      <c r="V8" s="294">
        <v>0.01</v>
      </c>
      <c r="W8" s="294">
        <v>0.01</v>
      </c>
      <c r="X8" s="294">
        <v>0.01</v>
      </c>
      <c r="Y8" s="294">
        <v>0.92</v>
      </c>
      <c r="Z8" s="294">
        <v>0.78</v>
      </c>
      <c r="AA8" s="294">
        <v>282.77999999999997</v>
      </c>
      <c r="AB8" s="294">
        <v>272.62</v>
      </c>
      <c r="AC8" s="294">
        <v>25.93</v>
      </c>
      <c r="AD8" s="294">
        <v>24.61</v>
      </c>
      <c r="AE8" s="329" t="s">
        <v>814</v>
      </c>
      <c r="AF8" s="294">
        <v>12.45</v>
      </c>
      <c r="AG8" s="294">
        <v>12.11</v>
      </c>
      <c r="AH8" s="294">
        <v>0.91</v>
      </c>
      <c r="AI8" s="294">
        <v>0.81</v>
      </c>
      <c r="AJ8" s="294">
        <v>65.7</v>
      </c>
      <c r="AK8" s="294">
        <v>60.24</v>
      </c>
      <c r="AL8" s="294">
        <v>13.88</v>
      </c>
      <c r="AM8" s="294">
        <v>12.81</v>
      </c>
      <c r="AN8" s="294">
        <v>207.59</v>
      </c>
      <c r="AO8" s="294">
        <v>201.99</v>
      </c>
      <c r="AP8" s="294">
        <v>0.83</v>
      </c>
      <c r="AQ8" s="294">
        <v>0.78</v>
      </c>
      <c r="AR8" s="294">
        <v>1.93</v>
      </c>
      <c r="AS8" s="294">
        <v>1.8</v>
      </c>
      <c r="AT8" s="329" t="s">
        <v>814</v>
      </c>
      <c r="AU8" s="294">
        <v>21.95</v>
      </c>
      <c r="AV8" s="294">
        <v>21.36</v>
      </c>
      <c r="AW8" s="294">
        <v>2.56</v>
      </c>
      <c r="AX8" s="294">
        <v>2.36</v>
      </c>
      <c r="AY8" s="294">
        <v>21.31</v>
      </c>
      <c r="AZ8" s="294">
        <v>20.74</v>
      </c>
      <c r="BA8" s="294">
        <v>7.0000000000000007E-2</v>
      </c>
      <c r="BB8" s="294">
        <v>7.0000000000000007E-2</v>
      </c>
      <c r="BC8" s="294">
        <v>64.540000000000006</v>
      </c>
      <c r="BD8" s="294">
        <v>61.36</v>
      </c>
      <c r="BE8" s="294">
        <v>12.12</v>
      </c>
      <c r="BF8" s="294">
        <v>11.6</v>
      </c>
      <c r="BG8" s="294">
        <v>0.62</v>
      </c>
      <c r="BH8" s="294">
        <v>0.6</v>
      </c>
      <c r="BI8" s="329" t="s">
        <v>814</v>
      </c>
      <c r="BJ8" s="294">
        <v>84.91</v>
      </c>
      <c r="BK8" s="294">
        <v>82.32</v>
      </c>
      <c r="BL8" s="294">
        <v>1.1200000000000001</v>
      </c>
      <c r="BM8" s="294">
        <v>0.77</v>
      </c>
      <c r="BN8" s="294">
        <v>121.56</v>
      </c>
      <c r="BO8" s="294">
        <v>116.96</v>
      </c>
      <c r="BP8" s="294">
        <v>2.63</v>
      </c>
      <c r="BQ8" s="294">
        <v>2.5</v>
      </c>
      <c r="BR8" s="294">
        <v>21.76</v>
      </c>
      <c r="BS8" s="294">
        <v>21.17</v>
      </c>
      <c r="BT8" s="294">
        <v>79.930000000000007</v>
      </c>
      <c r="BU8" s="294">
        <v>77.77</v>
      </c>
      <c r="BV8" s="294">
        <v>125.45</v>
      </c>
      <c r="BW8" s="294">
        <v>118.24</v>
      </c>
    </row>
    <row r="9" spans="1:75" s="142" customFormat="1" ht="11.45" customHeight="1">
      <c r="A9" s="589" t="s">
        <v>991</v>
      </c>
      <c r="B9" s="330">
        <v>71.366500000000002</v>
      </c>
      <c r="C9" s="330">
        <v>73.17</v>
      </c>
      <c r="D9" s="330">
        <v>77.721800000000002</v>
      </c>
      <c r="E9" s="330">
        <v>77.63</v>
      </c>
      <c r="F9" s="330">
        <v>206.1584</v>
      </c>
      <c r="G9" s="330">
        <v>205.92</v>
      </c>
      <c r="H9" s="330">
        <v>72.688100000000006</v>
      </c>
      <c r="I9" s="330">
        <v>72.81</v>
      </c>
      <c r="J9" s="330">
        <v>12.6509</v>
      </c>
      <c r="K9" s="330">
        <v>12.62</v>
      </c>
      <c r="L9" s="330">
        <v>14.135199999999999</v>
      </c>
      <c r="M9" s="330">
        <v>14.21</v>
      </c>
      <c r="N9" s="330">
        <v>105.4555</v>
      </c>
      <c r="O9" s="330">
        <v>105.96</v>
      </c>
      <c r="P9" s="589" t="s">
        <v>991</v>
      </c>
      <c r="Q9" s="330">
        <v>10.021800000000001</v>
      </c>
      <c r="R9" s="330">
        <v>10.02</v>
      </c>
      <c r="S9" s="330">
        <v>1.2666999999999999</v>
      </c>
      <c r="T9" s="330">
        <v>1.29</v>
      </c>
      <c r="U9" s="330">
        <v>6.7999999999999996E-3</v>
      </c>
      <c r="V9" s="330">
        <v>0.01</v>
      </c>
      <c r="W9" s="330">
        <v>3.0999999999999999E-3</v>
      </c>
      <c r="X9" s="330">
        <v>0</v>
      </c>
      <c r="Y9" s="330">
        <v>0.76949999999999996</v>
      </c>
      <c r="Z9" s="330">
        <v>0.77</v>
      </c>
      <c r="AA9" s="330">
        <v>274.81169999999997</v>
      </c>
      <c r="AB9" s="330">
        <v>275.48</v>
      </c>
      <c r="AC9" s="330">
        <v>23.951899999999998</v>
      </c>
      <c r="AD9" s="330">
        <v>24.19</v>
      </c>
      <c r="AE9" s="589" t="s">
        <v>991</v>
      </c>
      <c r="AF9" s="330">
        <v>12.106199999999999</v>
      </c>
      <c r="AG9" s="330">
        <v>12.09</v>
      </c>
      <c r="AH9" s="330">
        <v>0.79120000000000001</v>
      </c>
      <c r="AI9" s="330">
        <v>0.81</v>
      </c>
      <c r="AJ9" s="330">
        <v>64.542199999999994</v>
      </c>
      <c r="AK9" s="330">
        <v>68.16</v>
      </c>
      <c r="AL9" s="330">
        <v>12.898300000000001</v>
      </c>
      <c r="AM9" s="330">
        <v>12.68</v>
      </c>
      <c r="AN9" s="330">
        <v>201.87649999999999</v>
      </c>
      <c r="AO9" s="330">
        <v>201.64</v>
      </c>
      <c r="AP9" s="330">
        <v>0.75619999999999998</v>
      </c>
      <c r="AQ9" s="330">
        <v>0.79</v>
      </c>
      <c r="AR9" s="330">
        <v>1.7890999999999999</v>
      </c>
      <c r="AS9" s="330">
        <v>1.78</v>
      </c>
      <c r="AT9" s="589" t="s">
        <v>991</v>
      </c>
      <c r="AU9" s="330">
        <v>21.345800000000001</v>
      </c>
      <c r="AV9" s="330">
        <v>21.32</v>
      </c>
      <c r="AW9" s="330">
        <v>2.3018000000000001</v>
      </c>
      <c r="AX9" s="330">
        <v>2.2999999999999998</v>
      </c>
      <c r="AY9" s="330">
        <v>20.723500000000001</v>
      </c>
      <c r="AZ9" s="330">
        <v>20.7</v>
      </c>
      <c r="BA9" s="330">
        <v>7.3099999999999998E-2</v>
      </c>
      <c r="BB9" s="330">
        <v>0.08</v>
      </c>
      <c r="BC9" s="330">
        <v>61.703600000000002</v>
      </c>
      <c r="BD9" s="330">
        <v>62.12</v>
      </c>
      <c r="BE9" s="330">
        <v>11.901199999999999</v>
      </c>
      <c r="BF9" s="330">
        <v>11.52</v>
      </c>
      <c r="BG9" s="330">
        <v>0.5927</v>
      </c>
      <c r="BH9" s="330">
        <v>0.6</v>
      </c>
      <c r="BI9" s="589" t="s">
        <v>991</v>
      </c>
      <c r="BJ9" s="330">
        <v>85.985900000000001</v>
      </c>
      <c r="BK9" s="330">
        <v>87.15</v>
      </c>
      <c r="BL9" s="330">
        <v>0.57769999999999999</v>
      </c>
      <c r="BM9" s="330">
        <v>0.52</v>
      </c>
      <c r="BN9" s="330">
        <v>119.22799999999999</v>
      </c>
      <c r="BO9" s="330">
        <v>119.87</v>
      </c>
      <c r="BP9" s="330">
        <v>2.4632000000000001</v>
      </c>
      <c r="BQ9" s="330">
        <v>2.39</v>
      </c>
      <c r="BR9" s="330">
        <v>21.160299999999999</v>
      </c>
      <c r="BS9" s="330">
        <v>21.14</v>
      </c>
      <c r="BT9" s="330">
        <v>77.721800000000002</v>
      </c>
      <c r="BU9" s="330">
        <v>77.63</v>
      </c>
      <c r="BV9" s="330">
        <v>126.401</v>
      </c>
      <c r="BW9" s="330">
        <v>132.24</v>
      </c>
    </row>
    <row r="10" spans="1:75" s="27" customFormat="1" ht="11.45" customHeight="1">
      <c r="A10" s="484" t="s">
        <v>1042</v>
      </c>
      <c r="B10" s="371">
        <v>65.014200000000002</v>
      </c>
      <c r="C10" s="371">
        <v>59.81</v>
      </c>
      <c r="D10" s="371">
        <v>77.674599999999998</v>
      </c>
      <c r="E10" s="371">
        <v>77.81</v>
      </c>
      <c r="F10" s="371">
        <v>206.0292</v>
      </c>
      <c r="G10" s="371">
        <v>206.35</v>
      </c>
      <c r="H10" s="371">
        <v>66.458699999999993</v>
      </c>
      <c r="I10" s="371">
        <v>62.78</v>
      </c>
      <c r="J10" s="371">
        <v>12.6549</v>
      </c>
      <c r="K10" s="371">
        <v>12.73</v>
      </c>
      <c r="L10" s="371">
        <v>12.5419</v>
      </c>
      <c r="M10" s="371">
        <v>11.72</v>
      </c>
      <c r="N10" s="371">
        <v>93.459400000000002</v>
      </c>
      <c r="O10" s="371">
        <v>87.43</v>
      </c>
      <c r="P10" s="484" t="s">
        <v>1042</v>
      </c>
      <c r="Q10" s="371">
        <v>10.017799999999999</v>
      </c>
      <c r="R10" s="371">
        <v>10.039999999999999</v>
      </c>
      <c r="S10" s="371">
        <v>1.2528999999999999</v>
      </c>
      <c r="T10" s="371">
        <v>1.22</v>
      </c>
      <c r="U10" s="371">
        <v>6.1999999999999998E-3</v>
      </c>
      <c r="V10" s="371">
        <v>0.01</v>
      </c>
      <c r="W10" s="371">
        <v>2.8E-3</v>
      </c>
      <c r="X10" s="371">
        <v>0</v>
      </c>
      <c r="Y10" s="371">
        <v>0.6804</v>
      </c>
      <c r="Z10" s="371">
        <v>0.63</v>
      </c>
      <c r="AA10" s="371">
        <v>265.0548</v>
      </c>
      <c r="AB10" s="371">
        <v>257.42</v>
      </c>
      <c r="AC10" s="371">
        <v>22.543600000000001</v>
      </c>
      <c r="AD10" s="371">
        <v>20.55</v>
      </c>
      <c r="AE10" s="484" t="s">
        <v>1042</v>
      </c>
      <c r="AF10" s="371">
        <v>7.5800000000000006E-2</v>
      </c>
      <c r="AG10" s="371">
        <v>7.0000000000000007E-2</v>
      </c>
      <c r="AH10" s="371">
        <v>0.78300000000000003</v>
      </c>
      <c r="AI10" s="371">
        <v>0.76</v>
      </c>
      <c r="AJ10" s="371">
        <v>60.438099999999999</v>
      </c>
      <c r="AK10" s="371">
        <v>53.34</v>
      </c>
      <c r="AL10" s="371">
        <v>10.959300000000001</v>
      </c>
      <c r="AM10" s="371">
        <v>9.9</v>
      </c>
      <c r="AN10" s="371">
        <v>201.7544</v>
      </c>
      <c r="AO10" s="371">
        <v>202.12</v>
      </c>
      <c r="AP10" s="371">
        <v>0.76639999999999997</v>
      </c>
      <c r="AQ10" s="371">
        <v>0.76</v>
      </c>
      <c r="AR10" s="371">
        <v>1.7483</v>
      </c>
      <c r="AS10" s="371">
        <v>1.72</v>
      </c>
      <c r="AT10" s="484" t="s">
        <v>1042</v>
      </c>
      <c r="AU10" s="371">
        <v>21.332699999999999</v>
      </c>
      <c r="AV10" s="371">
        <v>21.37</v>
      </c>
      <c r="AW10" s="371">
        <v>1.6351</v>
      </c>
      <c r="AX10" s="371">
        <v>1.4</v>
      </c>
      <c r="AY10" s="371">
        <v>20.705300000000001</v>
      </c>
      <c r="AZ10" s="371">
        <v>20.74</v>
      </c>
      <c r="BA10" s="371">
        <v>7.2099999999999997E-2</v>
      </c>
      <c r="BB10" s="371">
        <v>7.0000000000000007E-2</v>
      </c>
      <c r="BC10" s="371">
        <v>59.317100000000003</v>
      </c>
      <c r="BD10" s="371">
        <v>57.8</v>
      </c>
      <c r="BE10" s="371">
        <v>10.058400000000001</v>
      </c>
      <c r="BF10" s="371">
        <v>9.44</v>
      </c>
      <c r="BG10" s="371">
        <v>0.58940000000000003</v>
      </c>
      <c r="BH10" s="371">
        <v>0.57999999999999996</v>
      </c>
      <c r="BI10" s="484" t="s">
        <v>1042</v>
      </c>
      <c r="BJ10" s="371">
        <v>82.442999999999998</v>
      </c>
      <c r="BK10" s="371">
        <v>84.03</v>
      </c>
      <c r="BL10" s="371">
        <v>0.43109999999999998</v>
      </c>
      <c r="BM10" s="371">
        <v>0.36</v>
      </c>
      <c r="BN10" s="371">
        <v>112.64660000000001</v>
      </c>
      <c r="BO10" s="371">
        <v>109.18</v>
      </c>
      <c r="BP10" s="371">
        <v>2.3778999999999999</v>
      </c>
      <c r="BQ10" s="371">
        <v>2.2999999999999998</v>
      </c>
      <c r="BR10" s="371">
        <v>21.147400000000001</v>
      </c>
      <c r="BS10" s="371">
        <v>21.18</v>
      </c>
      <c r="BT10" s="371">
        <v>77.674599999999998</v>
      </c>
      <c r="BU10" s="371">
        <v>77.81</v>
      </c>
      <c r="BV10" s="371">
        <v>122.4104</v>
      </c>
      <c r="BW10" s="371">
        <v>122.42</v>
      </c>
    </row>
    <row r="11" spans="1:75" s="250" customFormat="1" ht="11.45" customHeight="1">
      <c r="A11" s="489" t="s">
        <v>1163</v>
      </c>
      <c r="B11" s="357">
        <v>57.023499999999999</v>
      </c>
      <c r="C11" s="357">
        <v>58.42</v>
      </c>
      <c r="D11" s="357">
        <v>78.2637</v>
      </c>
      <c r="E11" s="357">
        <v>78.400000000000006</v>
      </c>
      <c r="F11" s="357">
        <v>207.56620000000001</v>
      </c>
      <c r="G11" s="357">
        <v>207.76</v>
      </c>
      <c r="H11" s="357">
        <v>59.080199999999998</v>
      </c>
      <c r="I11" s="357">
        <v>60.63</v>
      </c>
      <c r="J11" s="357">
        <v>12.1837</v>
      </c>
      <c r="K11" s="357">
        <v>11.82</v>
      </c>
      <c r="L11" s="357">
        <v>11.653600000000001</v>
      </c>
      <c r="M11" s="357">
        <v>11.73</v>
      </c>
      <c r="N11" s="357">
        <v>86.882900000000006</v>
      </c>
      <c r="O11" s="357">
        <v>87.21</v>
      </c>
      <c r="P11" s="489" t="s">
        <v>1163</v>
      </c>
      <c r="Q11" s="357">
        <v>10.0863</v>
      </c>
      <c r="R11" s="357">
        <v>10.1</v>
      </c>
      <c r="S11" s="357">
        <v>1.1812</v>
      </c>
      <c r="T11" s="357">
        <v>1.1599999999999999</v>
      </c>
      <c r="U11" s="357">
        <v>5.7999999999999996E-3</v>
      </c>
      <c r="V11" s="357">
        <v>0.01</v>
      </c>
      <c r="W11" s="357">
        <v>2.5999999999999999E-3</v>
      </c>
      <c r="X11" s="357">
        <v>0</v>
      </c>
      <c r="Y11" s="357">
        <v>0.67200000000000004</v>
      </c>
      <c r="Z11" s="357">
        <v>0.76</v>
      </c>
      <c r="AA11" s="357">
        <v>258.94290000000001</v>
      </c>
      <c r="AB11" s="357">
        <v>259.52</v>
      </c>
      <c r="AC11" s="357">
        <v>18.955200000000001</v>
      </c>
      <c r="AD11" s="357">
        <v>19.5</v>
      </c>
      <c r="AE11" s="489" t="s">
        <v>1163</v>
      </c>
      <c r="AF11" s="357">
        <v>6.3100000000000003E-2</v>
      </c>
      <c r="AG11" s="357">
        <v>7.0000000000000007E-2</v>
      </c>
      <c r="AH11" s="357">
        <v>0.73850000000000005</v>
      </c>
      <c r="AI11" s="357">
        <v>0.72</v>
      </c>
      <c r="AJ11" s="357">
        <v>52.3</v>
      </c>
      <c r="AK11" s="357">
        <v>55.76</v>
      </c>
      <c r="AL11" s="357">
        <v>9.3177000000000003</v>
      </c>
      <c r="AM11" s="357">
        <v>9.34</v>
      </c>
      <c r="AN11" s="357">
        <v>203.2773</v>
      </c>
      <c r="AO11" s="357">
        <v>203.63</v>
      </c>
      <c r="AP11" s="357">
        <v>0.75029999999999997</v>
      </c>
      <c r="AQ11" s="357">
        <v>0.75</v>
      </c>
      <c r="AR11" s="357">
        <v>1.6767000000000001</v>
      </c>
      <c r="AS11" s="357">
        <v>1.67</v>
      </c>
      <c r="AT11" s="489" t="s">
        <v>1163</v>
      </c>
      <c r="AU11" s="357">
        <v>21.494900000000001</v>
      </c>
      <c r="AV11" s="357">
        <v>21.53</v>
      </c>
      <c r="AW11" s="357">
        <v>1.1691</v>
      </c>
      <c r="AX11" s="357">
        <v>1.22</v>
      </c>
      <c r="AY11" s="357">
        <v>20.8674</v>
      </c>
      <c r="AZ11" s="357">
        <v>20.9</v>
      </c>
      <c r="BA11" s="357">
        <v>6.6699999999999995E-2</v>
      </c>
      <c r="BB11" s="357">
        <v>7.0000000000000007E-2</v>
      </c>
      <c r="BC11" s="357">
        <v>56.334699999999998</v>
      </c>
      <c r="BD11" s="357">
        <v>58.16</v>
      </c>
      <c r="BE11" s="357">
        <v>9.3073999999999995</v>
      </c>
      <c r="BF11" s="357">
        <v>9.25</v>
      </c>
      <c r="BG11" s="357">
        <v>0.55110000000000003</v>
      </c>
      <c r="BH11" s="357">
        <v>0.54</v>
      </c>
      <c r="BI11" s="489" t="s">
        <v>1163</v>
      </c>
      <c r="BJ11" s="357">
        <v>79.908100000000005</v>
      </c>
      <c r="BK11" s="357">
        <v>80.02</v>
      </c>
      <c r="BL11" s="357">
        <v>0.35630000000000001</v>
      </c>
      <c r="BM11" s="357">
        <v>0.36</v>
      </c>
      <c r="BN11" s="357">
        <v>109.4175</v>
      </c>
      <c r="BO11" s="357">
        <v>109.44</v>
      </c>
      <c r="BP11" s="357">
        <v>2.2054999999999998</v>
      </c>
      <c r="BQ11" s="357">
        <v>2.2200000000000002</v>
      </c>
      <c r="BR11" s="357">
        <v>21.308199999999999</v>
      </c>
      <c r="BS11" s="357">
        <v>21.35</v>
      </c>
      <c r="BT11" s="357">
        <v>78.2637</v>
      </c>
      <c r="BU11" s="357">
        <v>78.400000000000006</v>
      </c>
      <c r="BV11" s="357">
        <v>116.15600000000001</v>
      </c>
      <c r="BW11" s="357">
        <v>105.25</v>
      </c>
    </row>
    <row r="12" spans="1:75" s="250" customFormat="1" ht="11.45" customHeight="1">
      <c r="A12" s="484" t="s">
        <v>1187</v>
      </c>
      <c r="B12" s="371">
        <v>59.658900000000003</v>
      </c>
      <c r="C12" s="371">
        <v>61.93</v>
      </c>
      <c r="D12" s="371">
        <v>79.119200000000006</v>
      </c>
      <c r="E12" s="371">
        <v>80.599999999999994</v>
      </c>
      <c r="F12" s="371">
        <v>209.82980000000001</v>
      </c>
      <c r="G12" s="371">
        <v>213.64</v>
      </c>
      <c r="H12" s="371">
        <v>59.645600000000002</v>
      </c>
      <c r="I12" s="371">
        <v>61.98</v>
      </c>
      <c r="J12" s="371">
        <v>11.6242</v>
      </c>
      <c r="K12" s="371">
        <v>11.9</v>
      </c>
      <c r="L12" s="371">
        <v>11.596</v>
      </c>
      <c r="M12" s="371">
        <v>12.4</v>
      </c>
      <c r="N12" s="371">
        <v>86.2637</v>
      </c>
      <c r="O12" s="371">
        <v>92.21</v>
      </c>
      <c r="P12" s="484" t="s">
        <v>1187</v>
      </c>
      <c r="Q12" s="371">
        <v>10.189</v>
      </c>
      <c r="R12" s="371">
        <v>10.33</v>
      </c>
      <c r="S12" s="371">
        <v>1.1911</v>
      </c>
      <c r="T12" s="371">
        <v>1.25</v>
      </c>
      <c r="U12" s="371">
        <v>6.0000000000000001E-3</v>
      </c>
      <c r="V12" s="371">
        <v>0.01</v>
      </c>
      <c r="W12" s="371">
        <v>2.5000000000000001E-3</v>
      </c>
      <c r="X12" s="371">
        <v>0</v>
      </c>
      <c r="Y12" s="371">
        <v>0.7268</v>
      </c>
      <c r="Z12" s="371">
        <v>0.72</v>
      </c>
      <c r="AA12" s="371">
        <v>260.45460000000003</v>
      </c>
      <c r="AB12" s="371">
        <v>265.73</v>
      </c>
      <c r="AC12" s="371">
        <v>18.4786</v>
      </c>
      <c r="AD12" s="371">
        <v>18.77</v>
      </c>
      <c r="AE12" s="484" t="s">
        <v>1187</v>
      </c>
      <c r="AF12" s="371">
        <v>6.0699999999999997E-2</v>
      </c>
      <c r="AG12" s="371">
        <v>0.06</v>
      </c>
      <c r="AH12" s="371">
        <v>0.74399999999999999</v>
      </c>
      <c r="AI12" s="371">
        <v>0.78</v>
      </c>
      <c r="AJ12" s="371">
        <v>56.3782</v>
      </c>
      <c r="AK12" s="371">
        <v>58.84</v>
      </c>
      <c r="AL12" s="371">
        <v>9.4036000000000008</v>
      </c>
      <c r="AM12" s="371">
        <v>9.61</v>
      </c>
      <c r="AN12" s="371">
        <v>205.4922</v>
      </c>
      <c r="AO12" s="371">
        <v>209.23</v>
      </c>
      <c r="AP12" s="371">
        <v>0.75529999999999997</v>
      </c>
      <c r="AQ12" s="371">
        <v>0.77</v>
      </c>
      <c r="AR12" s="371">
        <v>1.6155999999999999</v>
      </c>
      <c r="AS12" s="371">
        <v>1.6</v>
      </c>
      <c r="AT12" s="484" t="s">
        <v>1187</v>
      </c>
      <c r="AU12" s="371">
        <v>21.713799999999999</v>
      </c>
      <c r="AV12" s="371">
        <v>21.58</v>
      </c>
      <c r="AW12" s="371">
        <v>1.3027</v>
      </c>
      <c r="AX12" s="371">
        <v>1.36</v>
      </c>
      <c r="AY12" s="371">
        <v>21.095400000000001</v>
      </c>
      <c r="AZ12" s="371">
        <v>21.49</v>
      </c>
      <c r="BA12" s="371">
        <v>6.9400000000000003E-2</v>
      </c>
      <c r="BB12" s="371">
        <v>7.0000000000000007E-2</v>
      </c>
      <c r="BC12" s="371">
        <v>56.838999999999999</v>
      </c>
      <c r="BD12" s="371">
        <v>58.43</v>
      </c>
      <c r="BE12" s="371">
        <v>8.9743999999999993</v>
      </c>
      <c r="BF12" s="371">
        <v>9.52</v>
      </c>
      <c r="BG12" s="371">
        <v>0.53</v>
      </c>
      <c r="BH12" s="371">
        <v>0.52</v>
      </c>
      <c r="BI12" s="484" t="s">
        <v>1187</v>
      </c>
      <c r="BJ12" s="371">
        <v>79.829700000000003</v>
      </c>
      <c r="BK12" s="371">
        <v>84.32</v>
      </c>
      <c r="BL12" s="371">
        <v>0.2079</v>
      </c>
      <c r="BM12" s="371">
        <v>0.16</v>
      </c>
      <c r="BN12" s="371">
        <v>108.5568</v>
      </c>
      <c r="BO12" s="371">
        <v>112.08</v>
      </c>
      <c r="BP12" s="371">
        <v>2.2667000000000002</v>
      </c>
      <c r="BQ12" s="371">
        <v>2.37</v>
      </c>
      <c r="BR12" s="371">
        <v>21.540900000000001</v>
      </c>
      <c r="BS12" s="371">
        <v>21.94</v>
      </c>
      <c r="BT12" s="371">
        <v>79.119200000000006</v>
      </c>
      <c r="BU12" s="371">
        <v>80.599999999999994</v>
      </c>
      <c r="BV12" s="371">
        <v>100.3793</v>
      </c>
      <c r="BW12" s="371">
        <v>104.82</v>
      </c>
    </row>
    <row r="13" spans="1:75" s="250" customFormat="1" ht="11.45" customHeight="1">
      <c r="A13" s="489" t="s">
        <v>1311</v>
      </c>
      <c r="B13" s="357">
        <v>63.658630000000002</v>
      </c>
      <c r="C13" s="357">
        <v>61.58</v>
      </c>
      <c r="D13" s="357">
        <v>82.100874000000005</v>
      </c>
      <c r="E13" s="357">
        <v>83.73</v>
      </c>
      <c r="F13" s="357">
        <v>217.64671100000001</v>
      </c>
      <c r="G13" s="357">
        <v>221.47</v>
      </c>
      <c r="H13" s="357">
        <v>64.688146000000003</v>
      </c>
      <c r="I13" s="357">
        <v>63.21</v>
      </c>
      <c r="J13" s="357">
        <v>12.660601</v>
      </c>
      <c r="K13" s="357">
        <v>12.65</v>
      </c>
      <c r="L13" s="357">
        <v>13.163303000000001</v>
      </c>
      <c r="M13" s="357">
        <v>13</v>
      </c>
      <c r="N13" s="357">
        <v>97.992005000000006</v>
      </c>
      <c r="O13" s="357">
        <v>96.86</v>
      </c>
      <c r="P13" s="489" t="s">
        <v>1311</v>
      </c>
      <c r="Q13" s="357">
        <v>10.493054000000001</v>
      </c>
      <c r="R13" s="357">
        <v>10.67</v>
      </c>
      <c r="S13" s="357">
        <v>1.2622720000000001</v>
      </c>
      <c r="T13" s="357">
        <v>1.22</v>
      </c>
      <c r="U13" s="357">
        <v>6.0390000000000001E-3</v>
      </c>
      <c r="V13" s="357">
        <v>0.01</v>
      </c>
      <c r="W13" s="357">
        <v>2.258E-3</v>
      </c>
      <c r="X13" s="357">
        <v>0</v>
      </c>
      <c r="Y13" s="357">
        <v>0.74442600000000003</v>
      </c>
      <c r="Z13" s="357">
        <v>0.76</v>
      </c>
      <c r="AA13" s="357">
        <v>272.38111300000003</v>
      </c>
      <c r="AB13" s="357">
        <v>276.82</v>
      </c>
      <c r="AC13" s="357">
        <v>20.178184999999999</v>
      </c>
      <c r="AD13" s="357">
        <v>20.74</v>
      </c>
      <c r="AE13" s="489" t="s">
        <v>1311</v>
      </c>
      <c r="AF13" s="357">
        <v>6.0657999999999997E-2</v>
      </c>
      <c r="AG13" s="357">
        <v>0.06</v>
      </c>
      <c r="AH13" s="357">
        <v>0.78928299999999996</v>
      </c>
      <c r="AI13" s="357">
        <v>0.77</v>
      </c>
      <c r="AJ13" s="357">
        <v>58.730638999999996</v>
      </c>
      <c r="AK13" s="357">
        <v>56.56</v>
      </c>
      <c r="AL13" s="357">
        <v>10.272456</v>
      </c>
      <c r="AM13" s="357">
        <v>10.220000000000001</v>
      </c>
      <c r="AN13" s="357">
        <v>213.226247</v>
      </c>
      <c r="AO13" s="357">
        <v>217.47</v>
      </c>
      <c r="AP13" s="357">
        <v>0.74837200000000004</v>
      </c>
      <c r="AQ13" s="357">
        <v>0.69</v>
      </c>
      <c r="AR13" s="357">
        <v>1.597353</v>
      </c>
      <c r="AS13" s="357">
        <v>1.57</v>
      </c>
      <c r="AT13" s="489" t="s">
        <v>1311</v>
      </c>
      <c r="AU13" s="536">
        <v>22.433156</v>
      </c>
      <c r="AV13" s="357">
        <v>23</v>
      </c>
      <c r="AW13" s="357">
        <v>1.392849</v>
      </c>
      <c r="AX13" s="357">
        <v>1.33</v>
      </c>
      <c r="AY13" s="357">
        <v>21.892281000000001</v>
      </c>
      <c r="AZ13" s="357">
        <v>22.32</v>
      </c>
      <c r="BA13" s="357">
        <v>7.4847999999999998E-2</v>
      </c>
      <c r="BB13" s="357">
        <v>0.08</v>
      </c>
      <c r="BC13" s="357">
        <v>61.194586000000001</v>
      </c>
      <c r="BD13" s="357">
        <v>61.21</v>
      </c>
      <c r="BE13" s="357">
        <v>9.896687</v>
      </c>
      <c r="BF13" s="357">
        <v>9.34</v>
      </c>
      <c r="BG13" s="357">
        <v>0.53053300000000003</v>
      </c>
      <c r="BH13" s="357">
        <v>0.53</v>
      </c>
      <c r="BI13" s="489" t="s">
        <v>1311</v>
      </c>
      <c r="BJ13" s="357">
        <v>84.626541000000003</v>
      </c>
      <c r="BK13" s="357">
        <v>83.94</v>
      </c>
      <c r="BL13" s="357">
        <v>0.159326</v>
      </c>
      <c r="BM13" s="357">
        <v>0.16</v>
      </c>
      <c r="BN13" s="357">
        <v>116.904573</v>
      </c>
      <c r="BO13" s="357">
        <v>117.62</v>
      </c>
      <c r="BP13" s="357">
        <v>2.5323829999999998</v>
      </c>
      <c r="BQ13" s="357">
        <v>2.5299999999999998</v>
      </c>
      <c r="BR13" s="357">
        <v>22.35247</v>
      </c>
      <c r="BS13" s="357">
        <v>22.79</v>
      </c>
      <c r="BT13" s="357">
        <v>82.100874000000005</v>
      </c>
      <c r="BU13" s="357">
        <v>83.73</v>
      </c>
      <c r="BV13" s="357">
        <v>110.612995</v>
      </c>
      <c r="BW13" s="357">
        <v>109.5</v>
      </c>
    </row>
    <row r="14" spans="1:75" s="250" customFormat="1" ht="11.45" customHeight="1">
      <c r="A14" s="563" t="s">
        <v>1420</v>
      </c>
      <c r="B14" s="371">
        <v>60.13044</v>
      </c>
      <c r="C14" s="371">
        <v>59.32</v>
      </c>
      <c r="D14" s="371">
        <v>84.026285999999999</v>
      </c>
      <c r="E14" s="371">
        <v>84.5</v>
      </c>
      <c r="F14" s="371">
        <v>222.77708799999999</v>
      </c>
      <c r="G14" s="371">
        <v>224.14</v>
      </c>
      <c r="H14" s="371">
        <v>63.498502999999999</v>
      </c>
      <c r="I14" s="371">
        <v>64.540000000000006</v>
      </c>
      <c r="J14" s="371">
        <v>12.329136</v>
      </c>
      <c r="K14" s="371">
        <v>12.29</v>
      </c>
      <c r="L14" s="371">
        <v>12.848271</v>
      </c>
      <c r="M14" s="371">
        <v>12.87</v>
      </c>
      <c r="N14" s="371">
        <v>95.877876000000001</v>
      </c>
      <c r="O14" s="371">
        <v>96.08</v>
      </c>
      <c r="P14" s="563" t="s">
        <v>1420</v>
      </c>
      <c r="Q14" s="371">
        <v>10.717393</v>
      </c>
      <c r="R14" s="371">
        <v>10.82</v>
      </c>
      <c r="S14" s="371">
        <v>1.1916819999999999</v>
      </c>
      <c r="T14" s="371">
        <v>1.23</v>
      </c>
      <c r="U14" s="371">
        <v>5.8180000000000003E-3</v>
      </c>
      <c r="V14" s="371">
        <v>0.01</v>
      </c>
      <c r="W14" s="371">
        <v>1.9940000000000001E-3</v>
      </c>
      <c r="X14" s="371">
        <v>0</v>
      </c>
      <c r="Y14" s="371">
        <v>0.75638300000000003</v>
      </c>
      <c r="Z14" s="371">
        <v>0.78</v>
      </c>
      <c r="AA14" s="371">
        <v>276.78387400000003</v>
      </c>
      <c r="AB14" s="371">
        <v>278.45999999999998</v>
      </c>
      <c r="AC14" s="371">
        <v>20.365683000000001</v>
      </c>
      <c r="AD14" s="371">
        <v>20.45</v>
      </c>
      <c r="AE14" s="563" t="s">
        <v>1420</v>
      </c>
      <c r="AF14" s="371">
        <v>5.4908999999999999E-2</v>
      </c>
      <c r="AG14" s="371">
        <v>0.06</v>
      </c>
      <c r="AH14" s="371">
        <v>0.738479</v>
      </c>
      <c r="AI14" s="371">
        <v>0.74</v>
      </c>
      <c r="AJ14" s="371">
        <v>56.357278000000001</v>
      </c>
      <c r="AK14" s="371">
        <v>56.78</v>
      </c>
      <c r="AL14" s="371">
        <v>9.9208660000000002</v>
      </c>
      <c r="AM14" s="371">
        <v>9.9</v>
      </c>
      <c r="AN14" s="371">
        <v>218.257195</v>
      </c>
      <c r="AO14" s="371">
        <v>219.48</v>
      </c>
      <c r="AP14" s="371">
        <v>0.61963699999999999</v>
      </c>
      <c r="AQ14" s="371">
        <v>0.52</v>
      </c>
      <c r="AR14" s="371">
        <v>1.5919129999999999</v>
      </c>
      <c r="AS14" s="371">
        <v>1.65</v>
      </c>
      <c r="AT14" s="563" t="s">
        <v>1420</v>
      </c>
      <c r="AU14" s="440">
        <v>23.075112000000001</v>
      </c>
      <c r="AV14" s="371">
        <v>23.21</v>
      </c>
      <c r="AW14" s="371">
        <v>1.2804949999999999</v>
      </c>
      <c r="AX14" s="371">
        <v>1.34</v>
      </c>
      <c r="AY14" s="371">
        <v>22.402844999999999</v>
      </c>
      <c r="AZ14" s="371">
        <v>22.53</v>
      </c>
      <c r="BA14" s="371">
        <v>7.4062000000000003E-2</v>
      </c>
      <c r="BB14" s="371">
        <v>7.0000000000000007E-2</v>
      </c>
      <c r="BC14" s="371">
        <v>61.545448</v>
      </c>
      <c r="BD14" s="371">
        <v>62.47</v>
      </c>
      <c r="BE14" s="371">
        <v>9.1900670000000009</v>
      </c>
      <c r="BF14" s="371">
        <v>9.1</v>
      </c>
      <c r="BG14" s="371">
        <v>0.48621799999999998</v>
      </c>
      <c r="BH14" s="371">
        <v>0.48</v>
      </c>
      <c r="BI14" s="540" t="s">
        <v>1420</v>
      </c>
      <c r="BJ14" s="371">
        <v>84.462277</v>
      </c>
      <c r="BK14" s="371">
        <v>86.56</v>
      </c>
      <c r="BL14" s="371">
        <v>0.16306300000000001</v>
      </c>
      <c r="BM14" s="371">
        <v>0.16</v>
      </c>
      <c r="BN14" s="371">
        <v>116.893812</v>
      </c>
      <c r="BO14" s="371">
        <v>117.48</v>
      </c>
      <c r="BP14" s="371">
        <v>2.6052249999999999</v>
      </c>
      <c r="BQ14" s="371">
        <v>2.75</v>
      </c>
      <c r="BR14" s="371">
        <v>22.875958000000001</v>
      </c>
      <c r="BS14" s="371">
        <v>23</v>
      </c>
      <c r="BT14" s="371">
        <v>84.026285999999999</v>
      </c>
      <c r="BU14" s="371">
        <v>84.5</v>
      </c>
      <c r="BV14" s="371">
        <v>108.79983300000001</v>
      </c>
      <c r="BW14" s="371">
        <v>107.27</v>
      </c>
    </row>
    <row r="15" spans="1:75" s="170" customFormat="1" ht="11.45" customHeight="1">
      <c r="A15" s="523" t="s">
        <v>1502</v>
      </c>
      <c r="B15" s="584">
        <v>56.938333333333333</v>
      </c>
      <c r="C15" s="357">
        <v>58.28</v>
      </c>
      <c r="D15" s="584">
        <v>84.781146000000007</v>
      </c>
      <c r="E15" s="357">
        <v>84.9</v>
      </c>
      <c r="F15" s="584">
        <v>224.80451299999999</v>
      </c>
      <c r="G15" s="357">
        <v>224.84</v>
      </c>
      <c r="H15" s="357">
        <v>63.281075000000001</v>
      </c>
      <c r="I15" s="357">
        <v>62.16</v>
      </c>
      <c r="J15" s="584">
        <v>12.082319</v>
      </c>
      <c r="K15" s="357">
        <v>11.99</v>
      </c>
      <c r="L15" s="584">
        <v>12.557464</v>
      </c>
      <c r="M15" s="357">
        <v>12.81</v>
      </c>
      <c r="N15" s="584">
        <v>93.728005999999993</v>
      </c>
      <c r="O15" s="357">
        <v>95.44</v>
      </c>
      <c r="P15" s="523" t="s">
        <v>1502</v>
      </c>
      <c r="Q15" s="357">
        <v>10.875048</v>
      </c>
      <c r="R15" s="357">
        <v>10.95</v>
      </c>
      <c r="S15" s="357">
        <v>1.1732959999999999</v>
      </c>
      <c r="T15" s="357">
        <v>1.1200000000000001</v>
      </c>
      <c r="U15" s="357">
        <v>5.947E-3</v>
      </c>
      <c r="V15" s="357">
        <v>0.01</v>
      </c>
      <c r="W15" s="357">
        <v>2.019E-3</v>
      </c>
      <c r="X15" s="357">
        <v>0</v>
      </c>
      <c r="Y15" s="357">
        <v>0.78395800000000004</v>
      </c>
      <c r="Z15" s="357">
        <v>0.79</v>
      </c>
      <c r="AA15" s="357">
        <v>277.50460600000002</v>
      </c>
      <c r="AB15" s="357">
        <v>275.87</v>
      </c>
      <c r="AC15" s="357">
        <v>20.179838</v>
      </c>
      <c r="AD15" s="357">
        <v>19.84</v>
      </c>
      <c r="AE15" s="523" t="s">
        <v>1502</v>
      </c>
      <c r="AF15" s="357">
        <v>5.7696999999999998E-2</v>
      </c>
      <c r="AG15" s="357">
        <v>0.06</v>
      </c>
      <c r="AH15" s="357">
        <v>0.73525200000000002</v>
      </c>
      <c r="AI15" s="357">
        <v>0.74</v>
      </c>
      <c r="AJ15" s="357">
        <v>54.053877999999997</v>
      </c>
      <c r="AK15" s="357">
        <v>54.51</v>
      </c>
      <c r="AL15" s="357">
        <v>9.1142979999999998</v>
      </c>
      <c r="AM15" s="357">
        <v>8.7799999999999994</v>
      </c>
      <c r="AN15" s="357">
        <v>220.280869</v>
      </c>
      <c r="AO15" s="357">
        <v>220.52</v>
      </c>
      <c r="AP15" s="357">
        <v>0.53694600000000003</v>
      </c>
      <c r="AQ15" s="357">
        <v>0.51</v>
      </c>
      <c r="AR15" s="357">
        <v>1.6620809999999999</v>
      </c>
      <c r="AS15" s="357">
        <v>1.71</v>
      </c>
      <c r="AT15" s="523" t="s">
        <v>1502</v>
      </c>
      <c r="AU15" s="536">
        <v>23.267150999999998</v>
      </c>
      <c r="AV15" s="357">
        <v>23.32</v>
      </c>
      <c r="AW15" s="357">
        <v>1.2791429999999999</v>
      </c>
      <c r="AX15" s="357">
        <v>1.21</v>
      </c>
      <c r="AY15" s="357">
        <v>22.595566999999999</v>
      </c>
      <c r="AZ15" s="357">
        <v>22.63</v>
      </c>
      <c r="BA15" s="357">
        <v>7.0989999999999998E-2</v>
      </c>
      <c r="BB15" s="357">
        <v>7.0000000000000007E-2</v>
      </c>
      <c r="BC15" s="357">
        <v>61.346919</v>
      </c>
      <c r="BD15" s="357">
        <v>60.92</v>
      </c>
      <c r="BE15" s="357">
        <v>8.8075340000000004</v>
      </c>
      <c r="BF15" s="357">
        <v>9.1</v>
      </c>
      <c r="BG15" s="357">
        <v>0.46550399999999997</v>
      </c>
      <c r="BH15" s="357">
        <v>0.46</v>
      </c>
      <c r="BI15" s="537" t="s">
        <v>1502</v>
      </c>
      <c r="BJ15" s="584">
        <v>86.748475999999997</v>
      </c>
      <c r="BK15" s="357">
        <v>89.24</v>
      </c>
      <c r="BL15" s="584">
        <v>0.180815</v>
      </c>
      <c r="BM15" s="357">
        <v>0.17</v>
      </c>
      <c r="BN15" s="584">
        <v>116.43907</v>
      </c>
      <c r="BO15" s="357">
        <v>117.14</v>
      </c>
      <c r="BP15" s="584">
        <v>2.7366299999999999</v>
      </c>
      <c r="BQ15" s="357">
        <v>2.75</v>
      </c>
      <c r="BR15" s="584">
        <v>23.081669999999999</v>
      </c>
      <c r="BS15" s="357">
        <v>23.11</v>
      </c>
      <c r="BT15" s="584">
        <v>84.781146000000007</v>
      </c>
      <c r="BU15" s="357">
        <v>84.9</v>
      </c>
      <c r="BV15" s="584">
        <v>106.809804</v>
      </c>
      <c r="BW15" s="357">
        <v>104.41</v>
      </c>
    </row>
    <row r="16" spans="1:75" s="170" customFormat="1" ht="11.45" customHeight="1">
      <c r="A16" s="563" t="s">
        <v>1555</v>
      </c>
      <c r="B16" s="583">
        <v>63.341738999999997</v>
      </c>
      <c r="C16" s="583">
        <v>63.71</v>
      </c>
      <c r="D16" s="583">
        <v>84.806312000000005</v>
      </c>
      <c r="E16" s="711">
        <v>84.81</v>
      </c>
      <c r="F16" s="583">
        <v>224.924701</v>
      </c>
      <c r="G16" s="711">
        <v>224.97</v>
      </c>
      <c r="H16" s="583">
        <v>66.165549999999996</v>
      </c>
      <c r="I16" s="583">
        <v>68.39</v>
      </c>
      <c r="J16" s="583">
        <v>12.812291999999999</v>
      </c>
      <c r="K16" s="583">
        <v>13.13</v>
      </c>
      <c r="L16" s="583">
        <v>13.594389</v>
      </c>
      <c r="M16" s="583">
        <v>13.57</v>
      </c>
      <c r="N16" s="583">
        <v>101.153004</v>
      </c>
      <c r="O16" s="583">
        <v>100.9</v>
      </c>
      <c r="P16" s="563" t="s">
        <v>1555</v>
      </c>
      <c r="Q16" s="371">
        <v>10.933994999999999</v>
      </c>
      <c r="R16" s="371">
        <v>10.92</v>
      </c>
      <c r="S16" s="371">
        <v>1.150649</v>
      </c>
      <c r="T16" s="371">
        <v>1.1399999999999999</v>
      </c>
      <c r="U16" s="371">
        <v>5.8910000000000004E-3</v>
      </c>
      <c r="V16" s="371">
        <v>0.01</v>
      </c>
      <c r="W16" s="371">
        <v>2.019E-3</v>
      </c>
      <c r="X16" s="371">
        <v>0</v>
      </c>
      <c r="Y16" s="371">
        <v>0.79669900000000005</v>
      </c>
      <c r="Z16" s="371">
        <v>0.77</v>
      </c>
      <c r="AA16" s="371">
        <v>279.00494600000002</v>
      </c>
      <c r="AB16" s="371">
        <v>281.68</v>
      </c>
      <c r="AC16" s="371">
        <v>20.559958000000002</v>
      </c>
      <c r="AD16" s="371">
        <v>20.420000000000002</v>
      </c>
      <c r="AE16" s="563" t="s">
        <v>1555</v>
      </c>
      <c r="AF16" s="371">
        <v>6.0921000000000003E-2</v>
      </c>
      <c r="AG16" s="371">
        <v>0.05</v>
      </c>
      <c r="AH16" s="371">
        <v>0.76285199999999997</v>
      </c>
      <c r="AI16" s="371">
        <v>0.77</v>
      </c>
      <c r="AJ16" s="371">
        <v>58.96931</v>
      </c>
      <c r="AK16" s="371">
        <v>59.29</v>
      </c>
      <c r="AL16" s="371">
        <v>9.6923999999999992</v>
      </c>
      <c r="AM16" s="371">
        <v>9.9</v>
      </c>
      <c r="AN16" s="371">
        <v>220.282085</v>
      </c>
      <c r="AO16" s="371">
        <v>220.29</v>
      </c>
      <c r="AP16" s="371">
        <v>0.52952200000000005</v>
      </c>
      <c r="AQ16" s="371">
        <v>0.54</v>
      </c>
      <c r="AR16" s="371">
        <v>1.751452</v>
      </c>
      <c r="AS16" s="371">
        <v>1.74</v>
      </c>
      <c r="AT16" s="563" t="s">
        <v>1555</v>
      </c>
      <c r="AU16" s="440">
        <v>23.249677999999999</v>
      </c>
      <c r="AV16" s="371">
        <v>22.91</v>
      </c>
      <c r="AW16" s="371">
        <v>1.13683</v>
      </c>
      <c r="AX16" s="371">
        <v>1.1599999999999999</v>
      </c>
      <c r="AY16" s="371">
        <v>22.610361999999999</v>
      </c>
      <c r="AZ16" s="371">
        <v>22.61</v>
      </c>
      <c r="BA16" s="371">
        <v>7.4756000000000003E-2</v>
      </c>
      <c r="BB16" s="371">
        <v>0.08</v>
      </c>
      <c r="BC16" s="371">
        <v>62.987192999999998</v>
      </c>
      <c r="BD16" s="371">
        <v>63.04</v>
      </c>
      <c r="BE16" s="371">
        <v>9.8980940000000004</v>
      </c>
      <c r="BF16" s="371">
        <v>9.9499999999999993</v>
      </c>
      <c r="BG16" s="371">
        <v>0.44517299999999999</v>
      </c>
      <c r="BH16" s="371">
        <v>0.43</v>
      </c>
      <c r="BI16" s="563" t="s">
        <v>1555</v>
      </c>
      <c r="BJ16" s="583">
        <v>93.197113000000002</v>
      </c>
      <c r="BK16" s="371">
        <v>92.11</v>
      </c>
      <c r="BL16" s="583">
        <v>6.0878000000000002E-2</v>
      </c>
      <c r="BM16" s="371">
        <v>0.03</v>
      </c>
      <c r="BN16" s="583">
        <v>120.843248</v>
      </c>
      <c r="BO16" s="371">
        <v>121.01</v>
      </c>
      <c r="BP16" s="583">
        <v>2.7461980000000001</v>
      </c>
      <c r="BQ16" s="371">
        <v>2.65</v>
      </c>
      <c r="BR16" s="583">
        <v>23.088276</v>
      </c>
      <c r="BS16" s="371">
        <v>23.09</v>
      </c>
      <c r="BT16" s="583">
        <v>84.806312000000005</v>
      </c>
      <c r="BU16" s="371">
        <v>84.81</v>
      </c>
      <c r="BV16" s="583">
        <v>114.20348300000001</v>
      </c>
      <c r="BW16" s="371">
        <v>117.36</v>
      </c>
    </row>
    <row r="17" spans="1:75" s="170" customFormat="1" ht="11.45" customHeight="1">
      <c r="A17" s="523" t="s">
        <v>1836</v>
      </c>
      <c r="B17" s="584">
        <v>62.632107885953701</v>
      </c>
      <c r="C17" s="584">
        <v>64.312288642109806</v>
      </c>
      <c r="D17" s="584">
        <v>86.300625801282095</v>
      </c>
      <c r="E17" s="1595">
        <v>93.45</v>
      </c>
      <c r="F17" s="584">
        <v>228.90339795048399</v>
      </c>
      <c r="G17" s="584">
        <v>247.87798408488101</v>
      </c>
      <c r="H17" s="584">
        <v>68.192807053052405</v>
      </c>
      <c r="I17" s="584">
        <v>72.4811913441402</v>
      </c>
      <c r="J17" s="584">
        <v>13.3677632698337</v>
      </c>
      <c r="K17" s="584">
        <v>13.924069493697299</v>
      </c>
      <c r="L17" s="584">
        <v>13.0828722420963</v>
      </c>
      <c r="M17" s="584">
        <v>13.1145010314776</v>
      </c>
      <c r="N17" s="584">
        <v>97.316128944854796</v>
      </c>
      <c r="O17" s="584">
        <v>97.571141419883105</v>
      </c>
      <c r="P17" s="523" t="s">
        <v>1836</v>
      </c>
      <c r="Q17" s="357">
        <v>11.057872111094801</v>
      </c>
      <c r="R17" s="357">
        <v>11.909465125466699</v>
      </c>
      <c r="S17" s="357">
        <v>1.1454707387132601</v>
      </c>
      <c r="T17" s="357">
        <v>1.1837355120653601</v>
      </c>
      <c r="U17" s="357">
        <v>5.9986516404194898E-3</v>
      </c>
      <c r="V17" s="357">
        <v>6.2791869645556896E-3</v>
      </c>
      <c r="W17" s="357">
        <v>2.0547768047924301E-3</v>
      </c>
      <c r="X17" s="357">
        <v>2.225E-3</v>
      </c>
      <c r="Y17" s="357">
        <v>0.73792922776657999</v>
      </c>
      <c r="Z17" s="357">
        <v>0.68413924374977098</v>
      </c>
      <c r="AA17" s="357">
        <v>284.79494477316598</v>
      </c>
      <c r="AB17" s="357">
        <v>304.59582790091298</v>
      </c>
      <c r="AC17" s="357">
        <v>20.4044480830926</v>
      </c>
      <c r="AD17" s="357">
        <v>21.209714026327699</v>
      </c>
      <c r="AE17" s="523" t="s">
        <v>1836</v>
      </c>
      <c r="AF17" s="357">
        <v>4.8513262948088498E-2</v>
      </c>
      <c r="AG17" s="357">
        <v>5.0472589792060499E-2</v>
      </c>
      <c r="AH17" s="357">
        <v>0.75722637675896198</v>
      </c>
      <c r="AI17" s="357">
        <v>0.78847119274724597</v>
      </c>
      <c r="AJ17" s="357">
        <v>58.7731230587749</v>
      </c>
      <c r="AK17" s="357">
        <v>58.102537124246098</v>
      </c>
      <c r="AL17" s="357">
        <v>9.6705436584064195</v>
      </c>
      <c r="AM17" s="357">
        <v>9.4238303408007997</v>
      </c>
      <c r="AN17" s="357">
        <v>224.15752312170301</v>
      </c>
      <c r="AO17" s="357">
        <v>242.727272727273</v>
      </c>
      <c r="AP17" s="357">
        <v>0.48789368554130003</v>
      </c>
      <c r="AQ17" s="357">
        <v>0.45752753977968202</v>
      </c>
      <c r="AR17" s="357">
        <v>1.68568591537709</v>
      </c>
      <c r="AS17" s="357">
        <v>1.7028061224489801</v>
      </c>
      <c r="AT17" s="523" t="s">
        <v>1836</v>
      </c>
      <c r="AU17" s="536">
        <v>23.6001978973406</v>
      </c>
      <c r="AV17" s="357">
        <v>25.511875511875498</v>
      </c>
      <c r="AW17" s="357">
        <v>1.1694251333424299</v>
      </c>
      <c r="AX17" s="357">
        <v>1.7690487458589701</v>
      </c>
      <c r="AY17" s="357">
        <v>23.005250020056899</v>
      </c>
      <c r="AZ17" s="357">
        <v>24.906052610538101</v>
      </c>
      <c r="BA17" s="357">
        <v>7.18486640819683E-2</v>
      </c>
      <c r="BB17" s="357">
        <v>7.1928879310344807E-2</v>
      </c>
      <c r="BC17" s="357">
        <v>63.469752162503802</v>
      </c>
      <c r="BD17" s="357">
        <v>67.0493273542601</v>
      </c>
      <c r="BE17" s="357">
        <v>9.4821334587212203</v>
      </c>
      <c r="BF17" s="357">
        <v>9.1328886608517195</v>
      </c>
      <c r="BG17" s="357">
        <v>0.37657004942998001</v>
      </c>
      <c r="BH17" s="357">
        <v>0.25886426592797801</v>
      </c>
      <c r="BI17" s="523" t="s">
        <v>1836</v>
      </c>
      <c r="BJ17" s="584">
        <v>92.631618793016997</v>
      </c>
      <c r="BK17" s="357">
        <v>97.827793771264098</v>
      </c>
      <c r="BL17" s="584">
        <v>3.43529430421185E-2</v>
      </c>
      <c r="BM17" s="357">
        <v>3.7194029850746303E-2</v>
      </c>
      <c r="BN17" s="584">
        <v>120.167964158673</v>
      </c>
      <c r="BO17" s="357">
        <v>124.08710662594601</v>
      </c>
      <c r="BP17" s="584">
        <v>2.5815933240538902</v>
      </c>
      <c r="BQ17" s="357">
        <v>2.6476838079048002</v>
      </c>
      <c r="BR17" s="584">
        <v>23.495424609959599</v>
      </c>
      <c r="BS17" s="357">
        <v>25.441724973455699</v>
      </c>
      <c r="BT17" s="584">
        <v>86.300625801282095</v>
      </c>
      <c r="BU17" s="357">
        <v>93.45</v>
      </c>
      <c r="BV17" s="584">
        <v>114.891880227879</v>
      </c>
      <c r="BW17" s="357">
        <v>113.326811917622</v>
      </c>
    </row>
    <row r="18" spans="1:75" s="170" customFormat="1" ht="11.45" customHeight="1">
      <c r="A18" s="598" t="s">
        <v>2088</v>
      </c>
      <c r="B18" s="916">
        <v>66.962726434477901</v>
      </c>
      <c r="C18" s="916">
        <v>70.786798412698403</v>
      </c>
      <c r="D18" s="916">
        <v>99.457405033238302</v>
      </c>
      <c r="E18" s="916">
        <v>106</v>
      </c>
      <c r="F18" s="916">
        <v>263.790933102991</v>
      </c>
      <c r="G18" s="916">
        <v>281.16710875331597</v>
      </c>
      <c r="H18" s="916">
        <v>74.260788473910196</v>
      </c>
      <c r="I18" s="916">
        <v>80.403534721432095</v>
      </c>
      <c r="J18" s="916">
        <v>14.3315080422354</v>
      </c>
      <c r="K18" s="916">
        <v>14.7107805040524</v>
      </c>
      <c r="L18" s="916">
        <v>14.0118337590119</v>
      </c>
      <c r="M18" s="916">
        <v>15.507505047254</v>
      </c>
      <c r="N18" s="916">
        <v>104.284585209852</v>
      </c>
      <c r="O18" s="916">
        <v>115.444596106877</v>
      </c>
      <c r="P18" s="598" t="s">
        <v>2088</v>
      </c>
      <c r="Q18" s="529">
        <v>12.6905904001521</v>
      </c>
      <c r="R18" s="916">
        <v>13.537762054674699</v>
      </c>
      <c r="S18" s="529">
        <v>1.21949019522715</v>
      </c>
      <c r="T18" s="916">
        <v>1.29291943648228</v>
      </c>
      <c r="U18" s="529">
        <v>6.5674701106130402E-3</v>
      </c>
      <c r="V18" s="916">
        <v>7.0537348194975903E-3</v>
      </c>
      <c r="W18" s="529">
        <v>2.3679287805333199E-3</v>
      </c>
      <c r="X18" s="916">
        <v>2.5236593059936902E-3</v>
      </c>
      <c r="Y18" s="529">
        <v>0.72529589117079796</v>
      </c>
      <c r="Z18" s="916">
        <v>0.73767354466056601</v>
      </c>
      <c r="AA18" s="529">
        <v>323.64031586335</v>
      </c>
      <c r="AB18" s="916">
        <v>344.77150756220499</v>
      </c>
      <c r="AC18" s="529">
        <v>22.156097467835</v>
      </c>
      <c r="AD18" s="916">
        <v>22.627815135019699</v>
      </c>
      <c r="AE18" s="598" t="s">
        <v>2088</v>
      </c>
      <c r="AF18" s="529">
        <v>4.8009859112513299E-2</v>
      </c>
      <c r="AG18" s="916">
        <v>5.0476190476190501E-2</v>
      </c>
      <c r="AH18" s="529">
        <v>0.83168799222397405</v>
      </c>
      <c r="AI18" s="916">
        <v>0.89241890143233205</v>
      </c>
      <c r="AJ18" s="529">
        <v>61.334728638673099</v>
      </c>
      <c r="AK18" s="916">
        <v>65.105193096711204</v>
      </c>
      <c r="AL18" s="529">
        <v>9.6828386732266605</v>
      </c>
      <c r="AM18" s="916">
        <v>9.7922382654805098</v>
      </c>
      <c r="AN18" s="529">
        <v>258.33117304075</v>
      </c>
      <c r="AO18" s="916">
        <v>275.32467532467501</v>
      </c>
      <c r="AP18" s="529">
        <v>0.40540064524465602</v>
      </c>
      <c r="AQ18" s="916">
        <v>0.36949891067538099</v>
      </c>
      <c r="AR18" s="529">
        <v>1.77552705814055</v>
      </c>
      <c r="AS18" s="916">
        <v>1.9013452914798199</v>
      </c>
      <c r="AT18" s="598" t="s">
        <v>2088</v>
      </c>
      <c r="AU18" s="599">
        <v>27.1894410334999</v>
      </c>
      <c r="AV18" s="916">
        <v>29.0960994757212</v>
      </c>
      <c r="AW18" s="529">
        <v>1.4556590647005301</v>
      </c>
      <c r="AX18" s="916">
        <v>1.26718469814704</v>
      </c>
      <c r="AY18" s="529">
        <v>26.4846636399181</v>
      </c>
      <c r="AZ18" s="916">
        <v>28.2583775425875</v>
      </c>
      <c r="BA18" s="529">
        <v>7.5355456564335399E-2</v>
      </c>
      <c r="BB18" s="916">
        <v>8.1377896688457005E-2</v>
      </c>
      <c r="BC18" s="529">
        <v>72.992704996318196</v>
      </c>
      <c r="BD18" s="916">
        <v>78.405266466955098</v>
      </c>
      <c r="BE18" s="529">
        <v>9.4282679094709891</v>
      </c>
      <c r="BF18" s="916">
        <v>9.9008976191143407</v>
      </c>
      <c r="BG18" s="529">
        <v>0.28801197172235798</v>
      </c>
      <c r="BH18" s="916">
        <v>0.34527687296416898</v>
      </c>
      <c r="BI18" s="598" t="s">
        <v>2088</v>
      </c>
      <c r="BJ18" s="916">
        <v>106.17056906989799</v>
      </c>
      <c r="BK18" s="916">
        <v>118.11242966182</v>
      </c>
      <c r="BL18" s="916">
        <v>3.9590655314694898E-2</v>
      </c>
      <c r="BM18" s="916">
        <v>4.2189054726368198E-2</v>
      </c>
      <c r="BN18" s="916">
        <v>131.65247142856401</v>
      </c>
      <c r="BO18" s="916">
        <v>141.38988928904899</v>
      </c>
      <c r="BP18" s="916">
        <v>2.82572198213329</v>
      </c>
      <c r="BQ18" s="916">
        <v>3.0100809314212702</v>
      </c>
      <c r="BR18" s="916">
        <v>27.077377690671</v>
      </c>
      <c r="BS18" s="916">
        <v>28.860028860028901</v>
      </c>
      <c r="BT18" s="916">
        <v>99.457405033238302</v>
      </c>
      <c r="BU18" s="916">
        <v>106</v>
      </c>
      <c r="BV18" s="916">
        <v>119.88750660689399</v>
      </c>
      <c r="BW18" s="916">
        <v>134.75249812389399</v>
      </c>
    </row>
    <row r="19" spans="1:75" s="1427" customFormat="1" ht="11.45" customHeight="1">
      <c r="A19" s="548" t="s">
        <v>2228</v>
      </c>
      <c r="B19" s="663">
        <f>AVERAGE(B20:B31)</f>
        <v>72.849200930955817</v>
      </c>
      <c r="C19" s="663">
        <f>C31</f>
        <v>78.682398230353897</v>
      </c>
      <c r="D19" s="663">
        <f t="shared" ref="D19" si="0">AVERAGE(D20:D31)</f>
        <v>111.05630536562209</v>
      </c>
      <c r="E19" s="663">
        <f t="shared" ref="E19" si="1">E31</f>
        <v>118</v>
      </c>
      <c r="F19" s="663">
        <f t="shared" ref="F19" si="2">AVERAGE(F20:F31)</f>
        <v>294.63446962114062</v>
      </c>
      <c r="G19" s="663">
        <f t="shared" ref="G19" si="3">G31</f>
        <v>312.99734748010599</v>
      </c>
      <c r="H19" s="663">
        <f t="shared" ref="H19" si="4">AVERAGE(H20:H31)</f>
        <v>81.979640992119684</v>
      </c>
      <c r="I19" s="663">
        <f t="shared" ref="I19" si="5">I31</f>
        <v>86.260462736211096</v>
      </c>
      <c r="J19" s="663">
        <f>AVERAGE(J20:J31)</f>
        <v>15.572032320779185</v>
      </c>
      <c r="K19" s="663">
        <f t="shared" ref="K19" si="6">K31</f>
        <v>16.557220631980702</v>
      </c>
      <c r="L19" s="663">
        <f t="shared" ref="L19" si="7">AVERAGE(L20:L31)</f>
        <v>16.042156854822178</v>
      </c>
      <c r="M19" s="663">
        <f t="shared" ref="M19" si="8">M31</f>
        <v>16.953048675363501</v>
      </c>
      <c r="N19" s="663">
        <f t="shared" ref="N19" si="9">AVERAGE(N20:N31)</f>
        <v>120.2301079059264</v>
      </c>
      <c r="O19" s="663">
        <f t="shared" ref="O19" si="10">O31</f>
        <v>126.43699559496</v>
      </c>
      <c r="P19" s="548" t="s">
        <v>2228</v>
      </c>
      <c r="Q19" s="600">
        <f t="shared" ref="Q19" si="11">AVERAGE(Q20:Q31)</f>
        <v>14.204907534902766</v>
      </c>
      <c r="R19" s="600">
        <f t="shared" ref="R19" si="12">R31</f>
        <v>15.1124145924451</v>
      </c>
      <c r="S19" s="600">
        <f t="shared" ref="S19" si="13">AVERAGE(S20:S31)</f>
        <v>1.3361777773263956</v>
      </c>
      <c r="T19" s="600">
        <f t="shared" ref="T19" si="14">T31</f>
        <v>1.4155470249520199</v>
      </c>
      <c r="U19" s="600">
        <f t="shared" ref="U19" si="15">AVERAGE(U20:U31)</f>
        <v>7.3419486171309124E-3</v>
      </c>
      <c r="V19" s="600">
        <f t="shared" ref="V19" si="16">V31</f>
        <v>7.2061068702290098E-3</v>
      </c>
      <c r="W19" s="600">
        <f t="shared" ref="W19" si="17">AVERAGE(W20:W31)</f>
        <v>2.4256393208076433E-3</v>
      </c>
      <c r="X19" s="600">
        <f t="shared" ref="X19" si="18">X31</f>
        <v>2.8093565859175001E-3</v>
      </c>
      <c r="Y19" s="600">
        <f t="shared" ref="Y19" si="19">AVERAGE(Y20:Y31)</f>
        <v>0.74470057280099722</v>
      </c>
      <c r="Z19" s="600">
        <f t="shared" ref="Z19" si="20">Z31</f>
        <v>0.73357993223710805</v>
      </c>
      <c r="AA19" s="600">
        <f t="shared" ref="AA19" si="21">AVERAGE(AA20:AA31)</f>
        <v>360.78723912449578</v>
      </c>
      <c r="AB19" s="600">
        <f t="shared" ref="AB19" si="22">AB31</f>
        <v>384.67807660961699</v>
      </c>
      <c r="AC19" s="600">
        <f t="shared" ref="AC19" si="23">AVERAGE(AC20:AC31)</f>
        <v>23.659676743879846</v>
      </c>
      <c r="AD19" s="600">
        <f t="shared" ref="AD19" si="24">AD31</f>
        <v>25.0132485426603</v>
      </c>
      <c r="AE19" s="548" t="s">
        <v>2228</v>
      </c>
      <c r="AF19" s="600">
        <f t="shared" ref="AF19" si="25">AVERAGE(AF20:AF31)</f>
        <v>5.268554184331712E-2</v>
      </c>
      <c r="AG19" s="600">
        <f t="shared" ref="AG19" si="26">AG31</f>
        <v>5.61904761904762E-2</v>
      </c>
      <c r="AH19" s="600">
        <f t="shared" ref="AH19" si="27">AVERAGE(AH20:AH31)</f>
        <v>0.93158628120650355</v>
      </c>
      <c r="AI19" s="600">
        <f t="shared" ref="AI19" si="28">AI31</f>
        <v>0.97996226314810397</v>
      </c>
      <c r="AJ19" s="600">
        <f t="shared" ref="AJ19" si="29">AVERAGE(AJ20:AJ31)</f>
        <v>67.400436060470881</v>
      </c>
      <c r="AK19" s="600">
        <f t="shared" ref="AK19" si="30">AK31</f>
        <v>71.814792244495607</v>
      </c>
      <c r="AL19" s="600">
        <f t="shared" ref="AL19" si="31">AVERAGE(AL20:AL31)</f>
        <v>10.442313512233316</v>
      </c>
      <c r="AM19" s="600">
        <f t="shared" ref="AM19" si="32">AM31</f>
        <v>11.0484822381603</v>
      </c>
      <c r="AN19" s="600">
        <f t="shared" ref="AN19" si="33">AVERAGE(AN20:AN31)</f>
        <v>288.56344552782491</v>
      </c>
      <c r="AO19" s="600">
        <f t="shared" ref="AO19" si="34">AO31</f>
        <v>306.493506493506</v>
      </c>
      <c r="AP19" s="600">
        <f t="shared" ref="AP19" si="35">AVERAGE(AP20:AP31)</f>
        <v>0.3928547638790722</v>
      </c>
      <c r="AQ19" s="600">
        <f t="shared" ref="AQ19" si="36">AQ31</f>
        <v>0.42400287459576003</v>
      </c>
      <c r="AR19" s="600">
        <f t="shared" ref="AR19" si="37">AVERAGE(AR20:AR31)</f>
        <v>1.9671362531245087</v>
      </c>
      <c r="AS19" s="600">
        <f t="shared" ref="AS19" si="38">AS31</f>
        <v>2.01743887844076</v>
      </c>
      <c r="AT19" s="548" t="s">
        <v>2228</v>
      </c>
      <c r="AU19" s="530">
        <f t="shared" ref="AU19" si="39">AVERAGE(AU20:AU31)</f>
        <v>30.363094942719005</v>
      </c>
      <c r="AV19" s="600">
        <f t="shared" ref="AV19" si="40">AV31</f>
        <v>32.364234777838703</v>
      </c>
      <c r="AW19" s="600">
        <f t="shared" ref="AW19" si="41">AVERAGE(AW20:AW31)</f>
        <v>1.206178765899715</v>
      </c>
      <c r="AX19" s="600">
        <f t="shared" ref="AX19" si="42">AX31</f>
        <v>1.3760932944606401</v>
      </c>
      <c r="AY19" s="600">
        <f t="shared" ref="AY19" si="43">AVERAGE(AY20:AY31)</f>
        <v>29.608751526156265</v>
      </c>
      <c r="AZ19" s="600">
        <f t="shared" ref="AZ19" si="44">AZ31</f>
        <v>31.451569913108401</v>
      </c>
      <c r="BA19" s="600">
        <f t="shared" ref="BA19" si="45">AVERAGE(BA20:BA31)</f>
        <v>8.308882743861655E-2</v>
      </c>
      <c r="BB19" s="600">
        <f t="shared" ref="BB19" si="46">BB31</f>
        <v>8.5428318039492496E-2</v>
      </c>
      <c r="BC19" s="600">
        <f t="shared" ref="BC19" si="47">AVERAGE(BC20:BC31)</f>
        <v>82.385206483922516</v>
      </c>
      <c r="BD19" s="600">
        <f t="shared" ref="BD19" si="48">BD31</f>
        <v>87.023857811866193</v>
      </c>
      <c r="BE19" s="600">
        <f t="shared" ref="BE19" si="49">AVERAGE(BE20:BE31)</f>
        <v>10.427695498349435</v>
      </c>
      <c r="BF19" s="600">
        <f t="shared" ref="BF19" si="50">BF31</f>
        <v>11.1333358493414</v>
      </c>
      <c r="BG19" s="600">
        <f t="shared" ref="BG19" si="51">AVERAGE(BG20:BG31)</f>
        <v>0.3528710066354443</v>
      </c>
      <c r="BH19" s="600">
        <f t="shared" ref="BH19" si="52">BH31</f>
        <v>0.385683935283543</v>
      </c>
      <c r="BI19" s="548" t="s">
        <v>2228</v>
      </c>
      <c r="BJ19" s="663">
        <f t="shared" ref="BJ19" si="53">AVERAGE(BJ20:BJ31)</f>
        <v>125.22245156594776</v>
      </c>
      <c r="BK19" s="663">
        <f t="shared" ref="BK19" si="54">BK31</f>
        <v>131.27155412170401</v>
      </c>
      <c r="BL19" s="663">
        <f t="shared" ref="BL19" si="55">AVERAGE(BL20:BL31)</f>
        <v>1.1575831447914154E-2</v>
      </c>
      <c r="BM19" s="663">
        <f t="shared" ref="BM19" si="56">BM31</f>
        <v>9.0758758604776394E-3</v>
      </c>
      <c r="BN19" s="663">
        <f t="shared" ref="BN19" si="57">AVERAGE(BN20:BN31)</f>
        <v>147.2989139891755</v>
      </c>
      <c r="BO19" s="663">
        <f t="shared" ref="BO19" si="58">BO31</f>
        <v>155.20189398921499</v>
      </c>
      <c r="BP19" s="663">
        <f t="shared" ref="BP19" si="59">AVERAGE(BP20:BP31)</f>
        <v>3.1036922986489817</v>
      </c>
      <c r="BQ19" s="663">
        <f t="shared" ref="BQ19" si="60">BQ31</f>
        <v>3.2091378841446798</v>
      </c>
      <c r="BR19" s="663">
        <f t="shared" ref="BR19" si="61">AVERAGE(BR20:BR31)</f>
        <v>30.236750889564011</v>
      </c>
      <c r="BS19" s="663">
        <f t="shared" ref="BS19" si="62">BS31</f>
        <v>32.126327252926799</v>
      </c>
      <c r="BT19" s="663">
        <f t="shared" ref="BT19" si="63">AVERAGE(BT20:BT31)</f>
        <v>111.05630536562209</v>
      </c>
      <c r="BU19" s="663">
        <f t="shared" ref="BU19" si="64">BU31</f>
        <v>118</v>
      </c>
      <c r="BV19" s="663">
        <f t="shared" ref="BV19" si="65">AVERAGE(BV20:BV31)</f>
        <v>139.93605728545054</v>
      </c>
      <c r="BW19" s="663">
        <f t="shared" ref="BW19" si="66">BW31</f>
        <v>149.199196267004</v>
      </c>
    </row>
    <row r="20" spans="1:75" s="170" customFormat="1" ht="11.45" customHeight="1">
      <c r="A20" s="540" t="s">
        <v>559</v>
      </c>
      <c r="B20" s="583">
        <v>73.197052655735604</v>
      </c>
      <c r="C20" s="583">
        <v>72.484998360902196</v>
      </c>
      <c r="D20" s="583">
        <v>108.757173076923</v>
      </c>
      <c r="E20" s="583">
        <v>109</v>
      </c>
      <c r="F20" s="583">
        <v>288.48057009148698</v>
      </c>
      <c r="G20" s="583">
        <v>289.12466843501301</v>
      </c>
      <c r="H20" s="583">
        <v>82.253054684621603</v>
      </c>
      <c r="I20" s="583">
        <v>82.239323977667098</v>
      </c>
      <c r="J20" s="583">
        <v>15.181810080346301</v>
      </c>
      <c r="K20" s="583">
        <v>15.286445550802901</v>
      </c>
      <c r="L20" s="583">
        <v>16.138422462681898</v>
      </c>
      <c r="M20" s="583">
        <v>16.115916315517101</v>
      </c>
      <c r="N20" s="583">
        <v>120.22882847917199</v>
      </c>
      <c r="O20" s="583">
        <v>120.07439901053</v>
      </c>
      <c r="P20" s="540" t="s">
        <v>559</v>
      </c>
      <c r="Q20" s="371">
        <v>13.9267899466756</v>
      </c>
      <c r="R20" s="371">
        <v>13.981259980888</v>
      </c>
      <c r="S20" s="371">
        <v>1.3241662256336799</v>
      </c>
      <c r="T20" s="371">
        <v>1.32517962870655</v>
      </c>
      <c r="U20" s="371">
        <v>7.23426285021566E-3</v>
      </c>
      <c r="V20" s="371">
        <v>7.22141248178084E-3</v>
      </c>
      <c r="W20" s="371">
        <v>2.5886893795587099E-3</v>
      </c>
      <c r="X20" s="371">
        <v>2.5950836259746399E-3</v>
      </c>
      <c r="Y20" s="371">
        <v>0.77001510414516705</v>
      </c>
      <c r="Z20" s="371">
        <v>0.77214607020153703</v>
      </c>
      <c r="AA20" s="371">
        <v>354.38570549662597</v>
      </c>
      <c r="AB20" s="371">
        <v>354.81770833333297</v>
      </c>
      <c r="AC20" s="371">
        <v>23.683304700583001</v>
      </c>
      <c r="AD20" s="371">
        <v>24.032631462903701</v>
      </c>
      <c r="AE20" s="540" t="s">
        <v>559</v>
      </c>
      <c r="AF20" s="371">
        <v>5.1789125305261599E-2</v>
      </c>
      <c r="AG20" s="371">
        <v>5.1904761904761898E-2</v>
      </c>
      <c r="AH20" s="371">
        <v>0.92149637202462797</v>
      </c>
      <c r="AI20" s="371">
        <v>0.92435157584983096</v>
      </c>
      <c r="AJ20" s="371">
        <v>67.665544456068702</v>
      </c>
      <c r="AK20" s="371">
        <v>67.220292930111896</v>
      </c>
      <c r="AL20" s="371">
        <v>10.564268824129099</v>
      </c>
      <c r="AM20" s="371">
        <v>10.6884750782024</v>
      </c>
      <c r="AN20" s="371">
        <v>282.48193054835002</v>
      </c>
      <c r="AO20" s="371">
        <v>283.116883116883</v>
      </c>
      <c r="AP20" s="371">
        <v>0.387889727484796</v>
      </c>
      <c r="AQ20" s="371">
        <v>0.38525430318453302</v>
      </c>
      <c r="AR20" s="371">
        <v>1.9821834783779899</v>
      </c>
      <c r="AS20" s="371">
        <v>1.98832542867567</v>
      </c>
      <c r="AT20" s="540" t="s">
        <v>559</v>
      </c>
      <c r="AU20" s="440">
        <v>29.844243299954702</v>
      </c>
      <c r="AV20" s="371">
        <v>29.9072600559732</v>
      </c>
      <c r="AW20" s="371">
        <v>1.2027133603048801</v>
      </c>
      <c r="AX20" s="371">
        <v>1.18917739471962</v>
      </c>
      <c r="AY20" s="371">
        <v>28.993211910954201</v>
      </c>
      <c r="AZ20" s="371">
        <v>29.062016743987598</v>
      </c>
      <c r="BA20" s="371">
        <v>8.47548739696245E-2</v>
      </c>
      <c r="BB20" s="371">
        <v>8.5482150699542001E-2</v>
      </c>
      <c r="BC20" s="371">
        <v>81.442629973172103</v>
      </c>
      <c r="BD20" s="371">
        <v>81.877934272300493</v>
      </c>
      <c r="BE20" s="371">
        <v>10.3379367325863</v>
      </c>
      <c r="BF20" s="371">
        <v>10.3339084927663</v>
      </c>
      <c r="BG20" s="371">
        <v>0.34159888097073698</v>
      </c>
      <c r="BH20" s="371">
        <v>0.33130699088145898</v>
      </c>
      <c r="BI20" s="540" t="s">
        <v>559</v>
      </c>
      <c r="BJ20" s="583">
        <v>124.35968792857901</v>
      </c>
      <c r="BK20" s="583">
        <v>125.287356321839</v>
      </c>
      <c r="BL20" s="583">
        <v>4.3287745683289698E-2</v>
      </c>
      <c r="BM20" s="583">
        <v>4.33830845771144E-2</v>
      </c>
      <c r="BN20" s="583">
        <v>146.00365616264901</v>
      </c>
      <c r="BO20" s="583">
        <v>146.387322052109</v>
      </c>
      <c r="BP20" s="583">
        <v>3.1419411896027198</v>
      </c>
      <c r="BQ20" s="583">
        <v>3.1778425655976701</v>
      </c>
      <c r="BR20" s="583">
        <v>29.6103841019778</v>
      </c>
      <c r="BS20" s="583">
        <v>29.675206229070799</v>
      </c>
      <c r="BT20" s="583">
        <v>108.757173076923</v>
      </c>
      <c r="BU20" s="583">
        <v>109</v>
      </c>
      <c r="BV20" s="583">
        <v>140.080170540685</v>
      </c>
      <c r="BW20" s="583">
        <v>140.08134809166199</v>
      </c>
    </row>
    <row r="21" spans="1:75" s="170" customFormat="1" ht="11.45" customHeight="1">
      <c r="A21" s="537" t="s">
        <v>560</v>
      </c>
      <c r="B21" s="584">
        <v>71.071665882624103</v>
      </c>
      <c r="C21" s="584">
        <v>70.923148309402507</v>
      </c>
      <c r="D21" s="584">
        <v>109.45777777777801</v>
      </c>
      <c r="E21" s="584">
        <v>109.5</v>
      </c>
      <c r="F21" s="584">
        <v>290.34463283907502</v>
      </c>
      <c r="G21" s="584">
        <v>290.45092838196302</v>
      </c>
      <c r="H21" s="584">
        <v>81.289896231848502</v>
      </c>
      <c r="I21" s="584">
        <v>80.913322988250897</v>
      </c>
      <c r="J21" s="584">
        <v>15.259102963463301</v>
      </c>
      <c r="K21" s="584">
        <v>15.248360279065899</v>
      </c>
      <c r="L21" s="584">
        <v>16.0886535033742</v>
      </c>
      <c r="M21" s="584">
        <v>16.048423737010999</v>
      </c>
      <c r="N21" s="584">
        <v>119.477560256676</v>
      </c>
      <c r="O21" s="584">
        <v>119.639695991214</v>
      </c>
      <c r="P21" s="537" t="s">
        <v>560</v>
      </c>
      <c r="Q21" s="357">
        <v>13.988553970361499</v>
      </c>
      <c r="R21" s="357">
        <v>13.953488372093</v>
      </c>
      <c r="S21" s="357">
        <v>1.32177652327002</v>
      </c>
      <c r="T21" s="357">
        <v>1.32541714327215</v>
      </c>
      <c r="U21" s="357">
        <v>7.1782926864351502E-3</v>
      </c>
      <c r="V21" s="357">
        <v>7.1878692398582101E-3</v>
      </c>
      <c r="W21" s="357">
        <v>2.6047944291674998E-3</v>
      </c>
      <c r="X21" s="357">
        <v>2.6069876793048002E-3</v>
      </c>
      <c r="Y21" s="357">
        <v>0.75661336083587805</v>
      </c>
      <c r="Z21" s="357">
        <v>0.74869235239820897</v>
      </c>
      <c r="AA21" s="357">
        <v>355.555751312111</v>
      </c>
      <c r="AB21" s="357">
        <v>355.51948051948102</v>
      </c>
      <c r="AC21" s="357">
        <v>23.750462058470099</v>
      </c>
      <c r="AD21" s="357">
        <v>23.599137931034502</v>
      </c>
      <c r="AE21" s="537" t="s">
        <v>560</v>
      </c>
      <c r="AF21" s="357">
        <v>5.21227513227513E-2</v>
      </c>
      <c r="AG21" s="357">
        <v>5.2142857142857102E-2</v>
      </c>
      <c r="AH21" s="357">
        <v>0.92175640960987304</v>
      </c>
      <c r="AI21" s="357">
        <v>0.91676908805336899</v>
      </c>
      <c r="AJ21" s="357">
        <v>65.713126673086293</v>
      </c>
      <c r="AK21" s="357">
        <v>65.229142647305693</v>
      </c>
      <c r="AL21" s="357">
        <v>10.4812945639618</v>
      </c>
      <c r="AM21" s="357">
        <v>10.335356357424001</v>
      </c>
      <c r="AN21" s="357">
        <v>284.29634751307299</v>
      </c>
      <c r="AO21" s="357">
        <v>284.41558441558402</v>
      </c>
      <c r="AP21" s="357">
        <v>0.37349325255368199</v>
      </c>
      <c r="AQ21" s="357">
        <v>0.35960591133004899</v>
      </c>
      <c r="AR21" s="357">
        <v>1.94462373810801</v>
      </c>
      <c r="AS21" s="357">
        <v>1.9301956636700199</v>
      </c>
      <c r="AT21" s="537" t="s">
        <v>560</v>
      </c>
      <c r="AU21" s="536">
        <v>30.033642343336702</v>
      </c>
      <c r="AV21" s="357">
        <v>30.039916052837299</v>
      </c>
      <c r="AW21" s="357">
        <v>1.1443263714382399</v>
      </c>
      <c r="AX21" s="357">
        <v>1.13707165109034</v>
      </c>
      <c r="AY21" s="357">
        <v>29.1785831991942</v>
      </c>
      <c r="AZ21" s="357">
        <v>29.189880841308302</v>
      </c>
      <c r="BA21" s="357">
        <v>8.2804509628842199E-2</v>
      </c>
      <c r="BB21" s="357">
        <v>8.2742361444326507E-2</v>
      </c>
      <c r="BC21" s="357">
        <v>81.091284587132606</v>
      </c>
      <c r="BD21" s="357">
        <v>81.129139808846404</v>
      </c>
      <c r="BE21" s="357">
        <v>10.117851227002401</v>
      </c>
      <c r="BF21" s="357">
        <v>10.097749907783101</v>
      </c>
      <c r="BG21" s="357">
        <v>0.341089607414443</v>
      </c>
      <c r="BH21" s="357">
        <v>0.34326018808777398</v>
      </c>
      <c r="BI21" s="537" t="s">
        <v>560</v>
      </c>
      <c r="BJ21" s="584">
        <v>124.65797951387</v>
      </c>
      <c r="BK21" s="584">
        <v>124.701059104886</v>
      </c>
      <c r="BL21" s="584">
        <v>8.3649372615941103E-3</v>
      </c>
      <c r="BM21" s="584">
        <v>8.4221051417144206E-3</v>
      </c>
      <c r="BN21" s="584">
        <v>145.943162146997</v>
      </c>
      <c r="BO21" s="584">
        <v>145.650438946528</v>
      </c>
      <c r="BP21" s="584">
        <v>3.1258693698274498</v>
      </c>
      <c r="BQ21" s="584">
        <v>3.1330472103004299</v>
      </c>
      <c r="BR21" s="584">
        <v>29.800722368277899</v>
      </c>
      <c r="BS21" s="584">
        <v>29.813360197122101</v>
      </c>
      <c r="BT21" s="584">
        <v>109.45777777777801</v>
      </c>
      <c r="BU21" s="584">
        <v>109.5</v>
      </c>
      <c r="BV21" s="584">
        <v>139.174480918163</v>
      </c>
      <c r="BW21" s="584">
        <v>139.283996556604</v>
      </c>
    </row>
    <row r="22" spans="1:75" s="170" customFormat="1" ht="11.45" customHeight="1">
      <c r="A22" s="540" t="s">
        <v>554</v>
      </c>
      <c r="B22" s="583">
        <v>70.674205747704804</v>
      </c>
      <c r="C22" s="583">
        <v>70.521412069100293</v>
      </c>
      <c r="D22" s="583">
        <v>109.97</v>
      </c>
      <c r="E22" s="583">
        <v>110.25</v>
      </c>
      <c r="F22" s="583">
        <v>291.74416089473499</v>
      </c>
      <c r="G22" s="583">
        <v>292.44031830238703</v>
      </c>
      <c r="H22" s="583">
        <v>81.062875399841403</v>
      </c>
      <c r="I22" s="583">
        <v>81.563956499223195</v>
      </c>
      <c r="J22" s="583">
        <v>15.3108439062197</v>
      </c>
      <c r="K22" s="583">
        <v>15.3729241323535</v>
      </c>
      <c r="L22" s="583">
        <v>15.7812456308311</v>
      </c>
      <c r="M22" s="583">
        <v>15.631867742347101</v>
      </c>
      <c r="N22" s="583">
        <v>117.670449585732</v>
      </c>
      <c r="O22" s="583">
        <v>116.55629582860399</v>
      </c>
      <c r="P22" s="540" t="s">
        <v>554</v>
      </c>
      <c r="Q22" s="371">
        <v>14.0453130432763</v>
      </c>
      <c r="R22" s="371">
        <v>14.0959419029841</v>
      </c>
      <c r="S22" s="371">
        <v>1.3248753740783701</v>
      </c>
      <c r="T22" s="371">
        <v>1.3242447901026999</v>
      </c>
      <c r="U22" s="371">
        <v>7.1575136670212402E-3</v>
      </c>
      <c r="V22" s="371">
        <v>7.09573612228479E-3</v>
      </c>
      <c r="W22" s="371">
        <v>2.6181774894351501E-3</v>
      </c>
      <c r="X22" s="371">
        <v>2.6248437593000399E-3</v>
      </c>
      <c r="Y22" s="371">
        <v>0.74468592005868794</v>
      </c>
      <c r="Z22" s="371">
        <v>0.73958542966391605</v>
      </c>
      <c r="AA22" s="371">
        <v>356.15256987749302</v>
      </c>
      <c r="AB22" s="371">
        <v>356.39243575238402</v>
      </c>
      <c r="AC22" s="371">
        <v>23.497546125251599</v>
      </c>
      <c r="AD22" s="371">
        <v>23.425050462126801</v>
      </c>
      <c r="AE22" s="540" t="s">
        <v>554</v>
      </c>
      <c r="AF22" s="371">
        <v>5.23666666666667E-2</v>
      </c>
      <c r="AG22" s="371">
        <v>5.2499999999999998E-2</v>
      </c>
      <c r="AH22" s="371">
        <v>0.91726095384464501</v>
      </c>
      <c r="AI22" s="371">
        <v>0.91580872763640797</v>
      </c>
      <c r="AJ22" s="371">
        <v>65.163039448610206</v>
      </c>
      <c r="AK22" s="371">
        <v>65.560150912301296</v>
      </c>
      <c r="AL22" s="371">
        <v>10.250369957738499</v>
      </c>
      <c r="AM22" s="371">
        <v>10.191630383538101</v>
      </c>
      <c r="AN22" s="371">
        <v>285.596336210164</v>
      </c>
      <c r="AO22" s="371">
        <v>286.36363636363598</v>
      </c>
      <c r="AP22" s="371">
        <v>0.37021955229956599</v>
      </c>
      <c r="AQ22" s="371">
        <v>0.38663861125723298</v>
      </c>
      <c r="AR22" s="371">
        <v>1.93660957456927</v>
      </c>
      <c r="AS22" s="371">
        <v>1.93624868282403</v>
      </c>
      <c r="AT22" s="540" t="s">
        <v>554</v>
      </c>
      <c r="AU22" s="440">
        <v>30.162944511754301</v>
      </c>
      <c r="AV22" s="371">
        <v>30.2411059604465</v>
      </c>
      <c r="AW22" s="371">
        <v>1.14031468772844</v>
      </c>
      <c r="AX22" s="371">
        <v>1.1447409407122799</v>
      </c>
      <c r="AY22" s="371">
        <v>29.3179368107992</v>
      </c>
      <c r="AZ22" s="371">
        <v>29.389811532002199</v>
      </c>
      <c r="BA22" s="371">
        <v>8.2549703701710803E-2</v>
      </c>
      <c r="BB22" s="371">
        <v>8.1630688696463394E-2</v>
      </c>
      <c r="BC22" s="371">
        <v>80.725585150250893</v>
      </c>
      <c r="BD22" s="371">
        <v>80.542060854001505</v>
      </c>
      <c r="BE22" s="371">
        <v>9.9180031569107001</v>
      </c>
      <c r="BF22" s="371">
        <v>10.012168985433499</v>
      </c>
      <c r="BG22" s="371">
        <v>0.34083560907911398</v>
      </c>
      <c r="BH22" s="371">
        <v>0.34133126934984498</v>
      </c>
      <c r="BI22" s="540" t="s">
        <v>554</v>
      </c>
      <c r="BJ22" s="583">
        <v>122.65270426302899</v>
      </c>
      <c r="BK22" s="583">
        <v>120.39312039312</v>
      </c>
      <c r="BL22" s="583">
        <v>8.4582548167519093E-3</v>
      </c>
      <c r="BM22" s="583">
        <v>8.4797907933700008E-3</v>
      </c>
      <c r="BN22" s="583">
        <v>145.203885308054</v>
      </c>
      <c r="BO22" s="583">
        <v>144.571203776554</v>
      </c>
      <c r="BP22" s="583">
        <v>3.07350086192158</v>
      </c>
      <c r="BQ22" s="583">
        <v>3.0164158686730498</v>
      </c>
      <c r="BR22" s="583">
        <v>29.940151661039799</v>
      </c>
      <c r="BS22" s="583">
        <v>30.015518227110601</v>
      </c>
      <c r="BT22" s="583">
        <v>109.97</v>
      </c>
      <c r="BU22" s="583">
        <v>110.25</v>
      </c>
      <c r="BV22" s="583">
        <v>136.57194002811701</v>
      </c>
      <c r="BW22" s="583">
        <v>134.04194909319</v>
      </c>
    </row>
    <row r="23" spans="1:75" s="170" customFormat="1" ht="11.45" customHeight="1">
      <c r="A23" s="537" t="s">
        <v>561</v>
      </c>
      <c r="B23" s="584">
        <v>70.199808625089304</v>
      </c>
      <c r="C23" s="584">
        <v>70.443748266666702</v>
      </c>
      <c r="D23" s="584">
        <v>110.490555555556</v>
      </c>
      <c r="E23" s="584">
        <v>110.5</v>
      </c>
      <c r="F23" s="584">
        <v>293.13609025553899</v>
      </c>
      <c r="G23" s="584">
        <v>292.948038176034</v>
      </c>
      <c r="H23" s="584">
        <v>80.679638351776902</v>
      </c>
      <c r="I23" s="584">
        <v>79.921886301171696</v>
      </c>
      <c r="J23" s="584">
        <v>15.390935671938401</v>
      </c>
      <c r="K23" s="584">
        <v>15.394474707086999</v>
      </c>
      <c r="L23" s="584">
        <v>15.6437819083731</v>
      </c>
      <c r="M23" s="584">
        <v>15.7135442218951</v>
      </c>
      <c r="N23" s="584">
        <v>116.696525656121</v>
      </c>
      <c r="O23" s="584">
        <v>117.295745836081</v>
      </c>
      <c r="P23" s="537" t="s">
        <v>561</v>
      </c>
      <c r="Q23" s="357">
        <v>14.1194160454168</v>
      </c>
      <c r="R23" s="357">
        <v>14.1290796918454</v>
      </c>
      <c r="S23" s="357">
        <v>1.3281115265235</v>
      </c>
      <c r="T23" s="357">
        <v>1.32724761275599</v>
      </c>
      <c r="U23" s="357">
        <v>7.0156417419649604E-3</v>
      </c>
      <c r="V23" s="357">
        <v>6.9496855345911896E-3</v>
      </c>
      <c r="W23" s="357">
        <v>2.63057093162444E-3</v>
      </c>
      <c r="X23" s="357">
        <v>2.6307957859651198E-3</v>
      </c>
      <c r="Y23" s="357">
        <v>0.73903818483115702</v>
      </c>
      <c r="Z23" s="357">
        <v>0.74103879556047303</v>
      </c>
      <c r="AA23" s="357">
        <v>357.26851195467202</v>
      </c>
      <c r="AB23" s="357">
        <v>357.200581865201</v>
      </c>
      <c r="AC23" s="357">
        <v>23.289732998152299</v>
      </c>
      <c r="AD23" s="357">
        <v>23.185060847671</v>
      </c>
      <c r="AE23" s="537" t="s">
        <v>561</v>
      </c>
      <c r="AF23" s="357">
        <v>5.2614550264550301E-2</v>
      </c>
      <c r="AG23" s="357">
        <v>5.26190476190476E-2</v>
      </c>
      <c r="AH23" s="357">
        <v>0.91507869148770504</v>
      </c>
      <c r="AI23" s="357">
        <v>0.91418794876907306</v>
      </c>
      <c r="AJ23" s="357">
        <v>65.2624648980606</v>
      </c>
      <c r="AK23" s="357">
        <v>64.565142435392801</v>
      </c>
      <c r="AL23" s="357">
        <v>10.0629286985248</v>
      </c>
      <c r="AM23" s="357">
        <v>9.9130700015250905</v>
      </c>
      <c r="AN23" s="357">
        <v>286.99397919968197</v>
      </c>
      <c r="AO23" s="357">
        <v>287.01298701298703</v>
      </c>
      <c r="AP23" s="357">
        <v>0.39422100046506198</v>
      </c>
      <c r="AQ23" s="357">
        <v>0.39295874822190602</v>
      </c>
      <c r="AR23" s="357">
        <v>1.94495351620669</v>
      </c>
      <c r="AS23" s="357">
        <v>1.94439556572233</v>
      </c>
      <c r="AT23" s="537" t="s">
        <v>561</v>
      </c>
      <c r="AU23" s="536">
        <v>30.2947389724517</v>
      </c>
      <c r="AV23" s="357">
        <v>30.232558139534898</v>
      </c>
      <c r="AW23" s="357">
        <v>1.13461916445038</v>
      </c>
      <c r="AX23" s="357">
        <v>1.18731028554544</v>
      </c>
      <c r="AY23" s="357">
        <v>29.456147773121799</v>
      </c>
      <c r="AZ23" s="357">
        <v>29.453314497427801</v>
      </c>
      <c r="BA23" s="357">
        <v>8.1736701902408504E-2</v>
      </c>
      <c r="BB23" s="357">
        <v>8.1803981373862703E-2</v>
      </c>
      <c r="BC23" s="357">
        <v>80.718127235054396</v>
      </c>
      <c r="BD23" s="357">
        <v>80.990948070509802</v>
      </c>
      <c r="BE23" s="357">
        <v>10.026223735116099</v>
      </c>
      <c r="BF23" s="357">
        <v>9.8899131835675291</v>
      </c>
      <c r="BG23" s="357">
        <v>0.34025245326683101</v>
      </c>
      <c r="BH23" s="357">
        <v>0.33753340969835799</v>
      </c>
      <c r="BI23" s="537" t="s">
        <v>561</v>
      </c>
      <c r="BJ23" s="584">
        <v>122.219407866574</v>
      </c>
      <c r="BK23" s="584">
        <v>122.505543237251</v>
      </c>
      <c r="BL23" s="584">
        <v>8.4982929320121196E-3</v>
      </c>
      <c r="BM23" s="584">
        <v>8.4990193439218598E-3</v>
      </c>
      <c r="BN23" s="584">
        <v>144.920105437524</v>
      </c>
      <c r="BO23" s="584">
        <v>144.93704092339999</v>
      </c>
      <c r="BP23" s="584">
        <v>3.02637679664325</v>
      </c>
      <c r="BQ23" s="584">
        <v>3.0622142164334201</v>
      </c>
      <c r="BR23" s="584">
        <v>30.0819042722358</v>
      </c>
      <c r="BS23" s="584">
        <v>30.0843996732916</v>
      </c>
      <c r="BT23" s="584">
        <v>110.490555555556</v>
      </c>
      <c r="BU23" s="584">
        <v>110.5</v>
      </c>
      <c r="BV23" s="584">
        <v>134.516811689066</v>
      </c>
      <c r="BW23" s="584">
        <v>134.46744909195499</v>
      </c>
    </row>
    <row r="24" spans="1:75" s="170" customFormat="1" ht="11.45" customHeight="1">
      <c r="A24" s="540" t="s">
        <v>562</v>
      </c>
      <c r="B24" s="583">
        <v>71.969735583881501</v>
      </c>
      <c r="C24" s="583">
        <v>73.128898330311301</v>
      </c>
      <c r="D24" s="583">
        <v>110.880769230769</v>
      </c>
      <c r="E24" s="583">
        <v>110.5</v>
      </c>
      <c r="F24" s="583">
        <v>294.25151545893999</v>
      </c>
      <c r="G24" s="583">
        <v>293.414763674987</v>
      </c>
      <c r="H24" s="583">
        <v>80.820752580072096</v>
      </c>
      <c r="I24" s="583">
        <v>81.312778247911993</v>
      </c>
      <c r="J24" s="583">
        <v>15.495770767620201</v>
      </c>
      <c r="K24" s="583">
        <v>15.5594356360359</v>
      </c>
      <c r="L24" s="583">
        <v>16.1125345459008</v>
      </c>
      <c r="M24" s="583">
        <v>16.257650659133699</v>
      </c>
      <c r="N24" s="583">
        <v>119.791771191755</v>
      </c>
      <c r="O24" s="583">
        <v>121.21849597083001</v>
      </c>
      <c r="P24" s="540" t="s">
        <v>562</v>
      </c>
      <c r="Q24" s="371">
        <v>14.2024944501063</v>
      </c>
      <c r="R24" s="371">
        <v>14.158770429311801</v>
      </c>
      <c r="S24" s="371">
        <v>1.3317689313454899</v>
      </c>
      <c r="T24" s="371">
        <v>1.3256235229194899</v>
      </c>
      <c r="U24" s="371">
        <v>7.1035915936571801E-3</v>
      </c>
      <c r="V24" s="371">
        <v>7.1354772052176201E-3</v>
      </c>
      <c r="W24" s="371">
        <v>2.6398611804242401E-3</v>
      </c>
      <c r="X24" s="371">
        <v>2.6307957859651198E-3</v>
      </c>
      <c r="Y24" s="371">
        <v>0.73923772422914602</v>
      </c>
      <c r="Z24" s="371">
        <v>0.75044993038812902</v>
      </c>
      <c r="AA24" s="371">
        <v>359.34100715323399</v>
      </c>
      <c r="AB24" s="371">
        <v>358.35900762121003</v>
      </c>
      <c r="AC24" s="371">
        <v>23.6355402767526</v>
      </c>
      <c r="AD24" s="371">
        <v>23.748119492800299</v>
      </c>
      <c r="AE24" s="540" t="s">
        <v>562</v>
      </c>
      <c r="AF24" s="371">
        <v>5.2800366300366303E-2</v>
      </c>
      <c r="AG24" s="371">
        <v>5.26190476190476E-2</v>
      </c>
      <c r="AH24" s="371">
        <v>0.92579886443692905</v>
      </c>
      <c r="AI24" s="371">
        <v>0.93037432200549997</v>
      </c>
      <c r="AJ24" s="371">
        <v>66.363603252281806</v>
      </c>
      <c r="AK24" s="371">
        <v>68.034833847653104</v>
      </c>
      <c r="AL24" s="371">
        <v>10.157426814439001</v>
      </c>
      <c r="AM24" s="371">
        <v>10.365853658536601</v>
      </c>
      <c r="AN24" s="371">
        <v>289.30058462551801</v>
      </c>
      <c r="AO24" s="371">
        <v>287.01298701298703</v>
      </c>
      <c r="AP24" s="371">
        <v>0.38863888963080301</v>
      </c>
      <c r="AQ24" s="371">
        <v>0.38636363636363602</v>
      </c>
      <c r="AR24" s="371">
        <v>1.98555644601988</v>
      </c>
      <c r="AS24" s="371">
        <v>1.99260661797854</v>
      </c>
      <c r="AT24" s="540" t="s">
        <v>562</v>
      </c>
      <c r="AU24" s="440">
        <v>30.415406497988101</v>
      </c>
      <c r="AV24" s="371">
        <v>30.305107987658499</v>
      </c>
      <c r="AW24" s="371">
        <v>1.2238661051213999</v>
      </c>
      <c r="AX24" s="371">
        <v>1.24577226606539</v>
      </c>
      <c r="AY24" s="371">
        <v>29.5616091460282</v>
      </c>
      <c r="AZ24" s="371">
        <v>29.456455095566898</v>
      </c>
      <c r="BA24" s="371">
        <v>8.48003156244896E-2</v>
      </c>
      <c r="BB24" s="371">
        <v>8.57177210722085E-2</v>
      </c>
      <c r="BC24" s="371">
        <v>82.161208423295605</v>
      </c>
      <c r="BD24" s="371">
        <v>82.892614680619602</v>
      </c>
      <c r="BE24" s="371">
        <v>10.3744609070992</v>
      </c>
      <c r="BF24" s="371">
        <v>10.6764832340565</v>
      </c>
      <c r="BG24" s="371">
        <v>0.33784443718933099</v>
      </c>
      <c r="BH24" s="371">
        <v>0.33779136415743199</v>
      </c>
      <c r="BI24" s="540" t="s">
        <v>562</v>
      </c>
      <c r="BJ24" s="583">
        <v>124.276114849991</v>
      </c>
      <c r="BK24" s="583">
        <v>126.43743921277</v>
      </c>
      <c r="BL24" s="583">
        <v>8.5283059055316097E-3</v>
      </c>
      <c r="BM24" s="583">
        <v>8.4990193439218598E-3</v>
      </c>
      <c r="BN24" s="583">
        <v>146.70611318316699</v>
      </c>
      <c r="BO24" s="583">
        <v>147.687784014969</v>
      </c>
      <c r="BP24" s="583">
        <v>3.1266961951249899</v>
      </c>
      <c r="BQ24" s="583">
        <v>3.1657355679701999</v>
      </c>
      <c r="BR24" s="583">
        <v>30.188824469109999</v>
      </c>
      <c r="BS24" s="583">
        <v>30.088495575221199</v>
      </c>
      <c r="BT24" s="583">
        <v>110.880769230769</v>
      </c>
      <c r="BU24" s="583">
        <v>110.5</v>
      </c>
      <c r="BV24" s="583">
        <v>137.605116892034</v>
      </c>
      <c r="BW24" s="583">
        <v>140.27974912957899</v>
      </c>
    </row>
    <row r="25" spans="1:75" s="170" customFormat="1" ht="11.45" customHeight="1">
      <c r="A25" s="537" t="s">
        <v>555</v>
      </c>
      <c r="B25" s="584">
        <v>73.669329711932093</v>
      </c>
      <c r="C25" s="584">
        <v>74.9209983849655</v>
      </c>
      <c r="D25" s="584">
        <v>110.153846153846</v>
      </c>
      <c r="E25" s="584">
        <v>110</v>
      </c>
      <c r="F25" s="584">
        <v>292.25251040499597</v>
      </c>
      <c r="G25" s="584">
        <v>291.77718832891202</v>
      </c>
      <c r="H25" s="584">
        <v>82.029237994758802</v>
      </c>
      <c r="I25" s="584">
        <v>83.034534817890105</v>
      </c>
      <c r="J25" s="584">
        <v>15.5059985610428</v>
      </c>
      <c r="K25" s="584">
        <v>15.530800400977</v>
      </c>
      <c r="L25" s="584">
        <v>16.1182105758825</v>
      </c>
      <c r="M25" s="584">
        <v>16.284957140953701</v>
      </c>
      <c r="N25" s="584">
        <v>120.893070953625</v>
      </c>
      <c r="O25" s="584">
        <v>121.406999003352</v>
      </c>
      <c r="P25" s="537" t="s">
        <v>555</v>
      </c>
      <c r="Q25" s="357">
        <v>14.1061323276457</v>
      </c>
      <c r="R25" s="357">
        <v>14.0869420450398</v>
      </c>
      <c r="S25" s="357">
        <v>1.3230147700311501</v>
      </c>
      <c r="T25" s="357">
        <v>1.3218373539219499</v>
      </c>
      <c r="U25" s="357">
        <v>7.10548603051231E-3</v>
      </c>
      <c r="V25" s="357">
        <v>7.1442488796518797E-3</v>
      </c>
      <c r="W25" s="357">
        <v>2.6225545182750102E-3</v>
      </c>
      <c r="X25" s="357">
        <v>2.61889173263496E-3</v>
      </c>
      <c r="Y25" s="357">
        <v>0.763966487256313</v>
      </c>
      <c r="Z25" s="357">
        <v>0.77978236982951099</v>
      </c>
      <c r="AA25" s="357">
        <v>357.739013383204</v>
      </c>
      <c r="AB25" s="357">
        <v>358.01464605370199</v>
      </c>
      <c r="AC25" s="357">
        <v>23.651966714633598</v>
      </c>
      <c r="AD25" s="357">
        <v>23.939064200217601</v>
      </c>
      <c r="AE25" s="537" t="s">
        <v>555</v>
      </c>
      <c r="AF25" s="357">
        <v>5.2454212454212501E-2</v>
      </c>
      <c r="AG25" s="357">
        <v>5.2380952380952403E-2</v>
      </c>
      <c r="AH25" s="357">
        <v>0.94961348344409102</v>
      </c>
      <c r="AI25" s="357">
        <v>0.93185986521917796</v>
      </c>
      <c r="AJ25" s="357">
        <v>68.469714733838202</v>
      </c>
      <c r="AK25" s="357">
        <v>69.574993043478301</v>
      </c>
      <c r="AL25" s="357">
        <v>10.447952601299299</v>
      </c>
      <c r="AM25" s="357">
        <v>10.827837385569399</v>
      </c>
      <c r="AN25" s="357">
        <v>286.112459897137</v>
      </c>
      <c r="AO25" s="357">
        <v>285.71428571428601</v>
      </c>
      <c r="AP25" s="357">
        <v>0.389814944954257</v>
      </c>
      <c r="AQ25" s="357">
        <v>0.39128501556247203</v>
      </c>
      <c r="AR25" s="357">
        <v>1.98290389160712</v>
      </c>
      <c r="AS25" s="357">
        <v>1.9856312502256399</v>
      </c>
      <c r="AT25" s="537" t="s">
        <v>555</v>
      </c>
      <c r="AU25" s="536">
        <v>29.068268218706901</v>
      </c>
      <c r="AV25" s="357">
        <v>30.174187354272402</v>
      </c>
      <c r="AW25" s="357">
        <v>1.21025444164514</v>
      </c>
      <c r="AX25" s="357">
        <v>1.20054570259209</v>
      </c>
      <c r="AY25" s="357">
        <v>29.368091978718201</v>
      </c>
      <c r="AZ25" s="357">
        <v>29.330986854384999</v>
      </c>
      <c r="BA25" s="357">
        <v>8.4490137903987197E-2</v>
      </c>
      <c r="BB25" s="357">
        <v>8.4938477516398894E-2</v>
      </c>
      <c r="BC25" s="357">
        <v>82.668899312645905</v>
      </c>
      <c r="BD25" s="357">
        <v>83.361752112462597</v>
      </c>
      <c r="BE25" s="357">
        <v>10.7490639219209</v>
      </c>
      <c r="BF25" s="357">
        <v>10.925162635943799</v>
      </c>
      <c r="BG25" s="357">
        <v>0.33766036296156599</v>
      </c>
      <c r="BH25" s="357">
        <v>0.33961099104661902</v>
      </c>
      <c r="BI25" s="537" t="s">
        <v>555</v>
      </c>
      <c r="BJ25" s="584">
        <v>127.24629407564601</v>
      </c>
      <c r="BK25" s="584">
        <v>130.68789354877001</v>
      </c>
      <c r="BL25" s="584">
        <v>8.4723951970038999E-3</v>
      </c>
      <c r="BM25" s="584">
        <v>8.4605622428181402E-3</v>
      </c>
      <c r="BN25" s="584">
        <v>147.04443119274799</v>
      </c>
      <c r="BO25" s="584">
        <v>147.59157386287399</v>
      </c>
      <c r="BP25" s="584">
        <v>3.1507147104297402</v>
      </c>
      <c r="BQ25" s="584">
        <v>3.2</v>
      </c>
      <c r="BR25" s="584">
        <v>29.9936444953074</v>
      </c>
      <c r="BS25" s="584">
        <v>29.949901982139</v>
      </c>
      <c r="BT25" s="584">
        <v>110.153846153846</v>
      </c>
      <c r="BU25" s="584">
        <v>110</v>
      </c>
      <c r="BV25" s="584">
        <v>139.41041201348</v>
      </c>
      <c r="BW25" s="584">
        <v>140.040996543869</v>
      </c>
    </row>
    <row r="26" spans="1:75" s="170" customFormat="1" ht="11.45" customHeight="1">
      <c r="A26" s="540" t="s">
        <v>563</v>
      </c>
      <c r="B26" s="583">
        <v>73.201941271744403</v>
      </c>
      <c r="C26" s="583">
        <v>72.621998333838206</v>
      </c>
      <c r="D26" s="583">
        <v>110</v>
      </c>
      <c r="E26" s="583">
        <v>110</v>
      </c>
      <c r="F26" s="583">
        <v>291.90884707515102</v>
      </c>
      <c r="G26" s="583">
        <v>291.73849622066001</v>
      </c>
      <c r="H26" s="583">
        <v>82.035205800392802</v>
      </c>
      <c r="I26" s="583">
        <v>82.1018062397373</v>
      </c>
      <c r="J26" s="583">
        <v>15.481563665870899</v>
      </c>
      <c r="K26" s="583">
        <v>15.484452202311401</v>
      </c>
      <c r="L26" s="583">
        <v>16.1032848792218</v>
      </c>
      <c r="M26" s="583">
        <v>16.004190187976501</v>
      </c>
      <c r="N26" s="583">
        <v>120.081700902653</v>
      </c>
      <c r="O26" s="583">
        <v>119.26199594170799</v>
      </c>
      <c r="P26" s="540" t="s">
        <v>563</v>
      </c>
      <c r="Q26" s="371">
        <v>14.0735818039535</v>
      </c>
      <c r="R26" s="371">
        <v>14.070094653364</v>
      </c>
      <c r="S26" s="371">
        <v>1.3234083722197501</v>
      </c>
      <c r="T26" s="371">
        <v>1.3233082706766901</v>
      </c>
      <c r="U26" s="371">
        <v>7.0434234470618503E-3</v>
      </c>
      <c r="V26" s="371">
        <v>6.9701866109051699E-3</v>
      </c>
      <c r="W26" s="371">
        <v>2.61889173263496E-3</v>
      </c>
      <c r="X26" s="371">
        <v>2.61889173263496E-3</v>
      </c>
      <c r="Y26" s="371">
        <v>0.75456548455304095</v>
      </c>
      <c r="Z26" s="371">
        <v>0.74523220758104403</v>
      </c>
      <c r="AA26" s="371">
        <v>357.64190381287199</v>
      </c>
      <c r="AB26" s="371">
        <v>357.49106272343198</v>
      </c>
      <c r="AC26" s="371">
        <v>23.500639657379999</v>
      </c>
      <c r="AD26" s="371">
        <v>23.253355882042101</v>
      </c>
      <c r="AE26" s="540" t="s">
        <v>563</v>
      </c>
      <c r="AF26" s="371">
        <v>5.2380952380952403E-2</v>
      </c>
      <c r="AG26" s="371">
        <v>5.2380952380952403E-2</v>
      </c>
      <c r="AH26" s="371">
        <v>0.92650721427360005</v>
      </c>
      <c r="AI26" s="371">
        <v>0.92317814988384705</v>
      </c>
      <c r="AJ26" s="371">
        <v>68.026439411837998</v>
      </c>
      <c r="AK26" s="371">
        <v>67.501499551861798</v>
      </c>
      <c r="AL26" s="371">
        <v>10.586328229432601</v>
      </c>
      <c r="AM26" s="371">
        <v>10.5355911424412</v>
      </c>
      <c r="AN26" s="371">
        <v>285.71703464546698</v>
      </c>
      <c r="AO26" s="371">
        <v>285.71428571428601</v>
      </c>
      <c r="AP26" s="371">
        <v>0.39426837700487</v>
      </c>
      <c r="AQ26" s="371">
        <v>0.392646796359093</v>
      </c>
      <c r="AR26" s="371">
        <v>1.96460976267961</v>
      </c>
      <c r="AS26" s="371">
        <v>1.9514791324788201</v>
      </c>
      <c r="AT26" s="540" t="s">
        <v>563</v>
      </c>
      <c r="AU26" s="440">
        <v>30.176519151836601</v>
      </c>
      <c r="AV26" s="371">
        <v>30.174187354272402</v>
      </c>
      <c r="AW26" s="371">
        <v>1.23070916502301</v>
      </c>
      <c r="AX26" s="371">
        <v>1.2273361227336099</v>
      </c>
      <c r="AY26" s="371">
        <v>29.330900026537599</v>
      </c>
      <c r="AZ26" s="371">
        <v>29.332551131969801</v>
      </c>
      <c r="BA26" s="371">
        <v>8.3038461140294506E-2</v>
      </c>
      <c r="BB26" s="371">
        <v>8.2405645535861397E-2</v>
      </c>
      <c r="BC26" s="371">
        <v>82.415435288763305</v>
      </c>
      <c r="BD26" s="371">
        <v>82.138590203106304</v>
      </c>
      <c r="BE26" s="371">
        <v>10.3139126376036</v>
      </c>
      <c r="BF26" s="371">
        <v>10.546702717214099</v>
      </c>
      <c r="BG26" s="371">
        <v>0.34304125146193498</v>
      </c>
      <c r="BH26" s="371">
        <v>0.347991142043657</v>
      </c>
      <c r="BI26" s="540" t="s">
        <v>563</v>
      </c>
      <c r="BJ26" s="583">
        <v>128.373092194023</v>
      </c>
      <c r="BK26" s="583">
        <v>127.639823624971</v>
      </c>
      <c r="BL26" s="583">
        <v>8.4605622428181402E-3</v>
      </c>
      <c r="BM26" s="583">
        <v>8.4605622428181402E-3</v>
      </c>
      <c r="BN26" s="583">
        <v>146.77265166448899</v>
      </c>
      <c r="BO26" s="583">
        <v>146.31550944400101</v>
      </c>
      <c r="BP26" s="583">
        <v>3.12617239498883</v>
      </c>
      <c r="BQ26" s="583">
        <v>3.1003382187147701</v>
      </c>
      <c r="BR26" s="583">
        <v>29.949222478912802</v>
      </c>
      <c r="BS26" s="583">
        <v>29.9486788548714</v>
      </c>
      <c r="BT26" s="583">
        <v>110</v>
      </c>
      <c r="BU26" s="583">
        <v>110</v>
      </c>
      <c r="BV26" s="583">
        <v>139.74603193967201</v>
      </c>
      <c r="BW26" s="583">
        <v>139.68899653515999</v>
      </c>
    </row>
    <row r="27" spans="1:75" s="170" customFormat="1" ht="11.45" customHeight="1">
      <c r="A27" s="537" t="s">
        <v>564</v>
      </c>
      <c r="B27" s="584">
        <v>71.819435789262897</v>
      </c>
      <c r="C27" s="584">
        <v>71.472496190842605</v>
      </c>
      <c r="D27" s="1368">
        <v>110</v>
      </c>
      <c r="E27" s="1368">
        <v>110</v>
      </c>
      <c r="F27" s="1368">
        <v>291.805061022904</v>
      </c>
      <c r="G27" s="1368">
        <v>292.0095566764</v>
      </c>
      <c r="H27" s="1368">
        <v>81.522632262082595</v>
      </c>
      <c r="I27" s="1368">
        <v>81.013404035940496</v>
      </c>
      <c r="J27" s="1368">
        <v>15.4826400205343</v>
      </c>
      <c r="K27" s="1368">
        <v>15.4851061433639</v>
      </c>
      <c r="L27" s="1368">
        <v>15.919150758188101</v>
      </c>
      <c r="M27" s="1368">
        <v>15.994416494605501</v>
      </c>
      <c r="N27" s="1368">
        <v>118.67195622897501</v>
      </c>
      <c r="O27" s="1368">
        <v>119.21799594021</v>
      </c>
      <c r="P27" s="537" t="s">
        <v>564</v>
      </c>
      <c r="Q27" s="1369">
        <v>14.064868174446699</v>
      </c>
      <c r="R27" s="1368">
        <v>14.0520308378204</v>
      </c>
      <c r="S27" s="1368">
        <v>1.32531106016811</v>
      </c>
      <c r="T27" s="1368">
        <v>1.32649984926138</v>
      </c>
      <c r="U27" s="1368">
        <v>7.0282517317565296E-3</v>
      </c>
      <c r="V27" s="1368">
        <v>6.9967878383105902E-3</v>
      </c>
      <c r="W27" s="1368">
        <v>2.61889173263496E-3</v>
      </c>
      <c r="X27" s="1368">
        <v>2.61889173263496E-3</v>
      </c>
      <c r="Y27" s="1368">
        <v>0.73609665693406701</v>
      </c>
      <c r="Z27" s="1368">
        <v>0.72999966818196904</v>
      </c>
      <c r="AA27" s="1368">
        <v>357.31007566419203</v>
      </c>
      <c r="AB27" s="1368">
        <v>357.66542025686903</v>
      </c>
      <c r="AC27" s="1368">
        <v>23.067222318708499</v>
      </c>
      <c r="AD27" s="1368">
        <v>23.094688221708999</v>
      </c>
      <c r="AE27" s="537" t="s">
        <v>564</v>
      </c>
      <c r="AF27" s="1368">
        <v>5.2380952380952403E-2</v>
      </c>
      <c r="AG27" s="1369">
        <v>5.2380952380952403E-2</v>
      </c>
      <c r="AH27" s="1368">
        <v>0.92159709995898698</v>
      </c>
      <c r="AI27" s="1368">
        <v>0.92269184441066798</v>
      </c>
      <c r="AJ27" s="1368">
        <v>67.405794071185895</v>
      </c>
      <c r="AK27" s="1368">
        <v>67.099983770491804</v>
      </c>
      <c r="AL27" s="1368">
        <v>10.4290547555026</v>
      </c>
      <c r="AM27" s="1368">
        <v>10.3877462368028</v>
      </c>
      <c r="AN27" s="1368">
        <v>285.71577013712403</v>
      </c>
      <c r="AO27" s="1368">
        <v>285.71428571428601</v>
      </c>
      <c r="AP27" s="1368">
        <v>0.39429818690346602</v>
      </c>
      <c r="AQ27" s="1368">
        <v>0.39632498648892101</v>
      </c>
      <c r="AR27" s="1368">
        <v>1.96275644007801</v>
      </c>
      <c r="AS27" s="1368">
        <v>1.9591255176098701</v>
      </c>
      <c r="AT27" s="537" t="s">
        <v>564</v>
      </c>
      <c r="AU27" s="1369">
        <v>30.165847029397401</v>
      </c>
      <c r="AV27" s="1368">
        <v>30.165912518853698</v>
      </c>
      <c r="AW27" s="1368">
        <v>1.20099800414967</v>
      </c>
      <c r="AX27" s="1368">
        <v>1.2015292190060101</v>
      </c>
      <c r="AY27" s="1368">
        <v>29.3309087274665</v>
      </c>
      <c r="AZ27" s="1368">
        <v>29.330595811057599</v>
      </c>
      <c r="BA27" s="1368">
        <v>8.2568912815669804E-2</v>
      </c>
      <c r="BB27" s="1368">
        <v>8.2452898781570999E-2</v>
      </c>
      <c r="BC27" s="1368">
        <v>81.800978312764997</v>
      </c>
      <c r="BD27" s="1368">
        <v>81.717554416462406</v>
      </c>
      <c r="BE27" s="1368">
        <v>10.547161415703799</v>
      </c>
      <c r="BF27" s="1369">
        <v>10.6509162208613</v>
      </c>
      <c r="BG27" s="1368">
        <v>0.35247039051290802</v>
      </c>
      <c r="BH27" s="1368">
        <v>0.35492457852706299</v>
      </c>
      <c r="BI27" s="537" t="s">
        <v>564</v>
      </c>
      <c r="BJ27" s="1368">
        <v>125.52759064797</v>
      </c>
      <c r="BK27" s="1368">
        <v>125.170687300865</v>
      </c>
      <c r="BL27" s="1368">
        <v>8.4605622428181402E-3</v>
      </c>
      <c r="BM27" s="1368">
        <v>8.4605622428181402E-3</v>
      </c>
      <c r="BN27" s="1368">
        <v>145.90463610482999</v>
      </c>
      <c r="BO27" s="1368">
        <v>145.907945350842</v>
      </c>
      <c r="BP27" s="1368">
        <v>3.0670933551174802</v>
      </c>
      <c r="BQ27" s="1368">
        <v>3.0632135895293802</v>
      </c>
      <c r="BR27" s="1368">
        <v>29.948695180994601</v>
      </c>
      <c r="BS27" s="1368">
        <v>29.949086552860098</v>
      </c>
      <c r="BT27" s="1368">
        <v>110</v>
      </c>
      <c r="BU27" s="1368">
        <v>110</v>
      </c>
      <c r="BV27" s="1368">
        <v>138.93021498817501</v>
      </c>
      <c r="BW27" s="1368">
        <v>139.29299652531</v>
      </c>
    </row>
    <row r="28" spans="1:75" s="170" customFormat="1" ht="11.45" customHeight="1">
      <c r="A28" s="540" t="s">
        <v>556</v>
      </c>
      <c r="B28" s="583">
        <v>72.14</v>
      </c>
      <c r="C28" s="583">
        <v>71.739999999999995</v>
      </c>
      <c r="D28" s="583">
        <v>110</v>
      </c>
      <c r="E28" s="583">
        <v>110</v>
      </c>
      <c r="F28" s="583">
        <v>291.95999999999998</v>
      </c>
      <c r="G28" s="583">
        <v>292.01</v>
      </c>
      <c r="H28" s="583">
        <v>81.260000000000005</v>
      </c>
      <c r="I28" s="583">
        <v>81.239999999999995</v>
      </c>
      <c r="J28" s="583">
        <v>15.5</v>
      </c>
      <c r="K28" s="583">
        <v>15.5</v>
      </c>
      <c r="L28" s="583">
        <v>15.05</v>
      </c>
      <c r="M28" s="583">
        <v>15.92</v>
      </c>
      <c r="N28" s="583">
        <v>119.63</v>
      </c>
      <c r="O28" s="583">
        <v>118.74</v>
      </c>
      <c r="P28" s="540" t="s">
        <v>556</v>
      </c>
      <c r="Q28" s="371">
        <v>14.06</v>
      </c>
      <c r="R28" s="371">
        <v>14.06</v>
      </c>
      <c r="S28" s="371">
        <v>1.32</v>
      </c>
      <c r="T28" s="371">
        <v>1.32</v>
      </c>
      <c r="U28" s="371">
        <v>0.01</v>
      </c>
      <c r="V28" s="371">
        <v>0.01</v>
      </c>
      <c r="W28" s="371">
        <v>0</v>
      </c>
      <c r="X28" s="371">
        <v>0</v>
      </c>
      <c r="Y28" s="371">
        <v>0.73</v>
      </c>
      <c r="Z28" s="371">
        <v>0.73</v>
      </c>
      <c r="AA28" s="371">
        <v>357.76</v>
      </c>
      <c r="AB28" s="371">
        <v>357.55</v>
      </c>
      <c r="AC28" s="371">
        <v>23.33</v>
      </c>
      <c r="AD28" s="371">
        <v>23.28</v>
      </c>
      <c r="AE28" s="540" t="s">
        <v>556</v>
      </c>
      <c r="AF28" s="371">
        <v>0.05</v>
      </c>
      <c r="AG28" s="371">
        <v>0.05</v>
      </c>
      <c r="AH28" s="371">
        <v>0.92</v>
      </c>
      <c r="AI28" s="371">
        <v>0.92</v>
      </c>
      <c r="AJ28" s="371">
        <v>66.959999999999994</v>
      </c>
      <c r="AK28" s="371">
        <v>65.77</v>
      </c>
      <c r="AL28" s="371">
        <v>10.38</v>
      </c>
      <c r="AM28" s="371">
        <v>10.17</v>
      </c>
      <c r="AN28" s="371">
        <v>285.70999999999998</v>
      </c>
      <c r="AO28" s="371">
        <v>285.75</v>
      </c>
      <c r="AP28" s="371">
        <v>0.39</v>
      </c>
      <c r="AQ28" s="371">
        <v>0.4</v>
      </c>
      <c r="AR28" s="371">
        <v>1.97</v>
      </c>
      <c r="AS28" s="371">
        <v>1.96</v>
      </c>
      <c r="AT28" s="540" t="s">
        <v>556</v>
      </c>
      <c r="AU28" s="440">
        <v>30.15</v>
      </c>
      <c r="AV28" s="371">
        <v>30.17</v>
      </c>
      <c r="AW28" s="371">
        <v>1.2</v>
      </c>
      <c r="AX28" s="371">
        <v>1.19</v>
      </c>
      <c r="AY28" s="371">
        <v>29.33</v>
      </c>
      <c r="AZ28" s="371">
        <v>29.33</v>
      </c>
      <c r="BA28" s="371">
        <v>0.08</v>
      </c>
      <c r="BB28" s="371">
        <v>0.08</v>
      </c>
      <c r="BC28" s="371">
        <v>82.06</v>
      </c>
      <c r="BD28" s="371">
        <v>81.510000000000005</v>
      </c>
      <c r="BE28" s="371">
        <v>10.59</v>
      </c>
      <c r="BF28" s="371">
        <v>10.33</v>
      </c>
      <c r="BG28" s="371">
        <v>0.36</v>
      </c>
      <c r="BH28" s="371">
        <v>0.37</v>
      </c>
      <c r="BI28" s="540" t="s">
        <v>556</v>
      </c>
      <c r="BJ28" s="583">
        <v>124.01</v>
      </c>
      <c r="BK28" s="583">
        <v>121.98</v>
      </c>
      <c r="BL28" s="583">
        <v>0.01</v>
      </c>
      <c r="BM28" s="583">
        <v>0.01</v>
      </c>
      <c r="BN28" s="583">
        <v>146.22999999999999</v>
      </c>
      <c r="BO28" s="583">
        <v>145.66</v>
      </c>
      <c r="BP28" s="583">
        <v>3.06</v>
      </c>
      <c r="BQ28" s="583">
        <v>3.02</v>
      </c>
      <c r="BR28" s="583">
        <v>29.95</v>
      </c>
      <c r="BS28" s="583">
        <v>29.95</v>
      </c>
      <c r="BT28" s="583">
        <v>110</v>
      </c>
      <c r="BU28" s="583">
        <v>110</v>
      </c>
      <c r="BV28" s="583">
        <v>139.88999999999999</v>
      </c>
      <c r="BW28" s="583">
        <v>138.87</v>
      </c>
    </row>
    <row r="29" spans="1:75" s="170" customFormat="1" ht="11.45" customHeight="1">
      <c r="A29" s="537" t="s">
        <v>565</v>
      </c>
      <c r="B29" s="584">
        <v>71.67</v>
      </c>
      <c r="C29" s="584">
        <v>72.23</v>
      </c>
      <c r="D29" s="1368">
        <v>110</v>
      </c>
      <c r="E29" s="1368">
        <v>110</v>
      </c>
      <c r="F29" s="1368">
        <v>291.79000000000002</v>
      </c>
      <c r="G29" s="1368">
        <v>291.74</v>
      </c>
      <c r="H29" s="1368">
        <v>80.58</v>
      </c>
      <c r="I29" s="1368">
        <v>80.52</v>
      </c>
      <c r="J29" s="1368">
        <v>15.4930738463741</v>
      </c>
      <c r="K29" s="1368">
        <v>15.479222661582</v>
      </c>
      <c r="L29" s="1368">
        <v>15.8440591887222</v>
      </c>
      <c r="M29" s="1368">
        <v>15.812094815070401</v>
      </c>
      <c r="N29" s="1368">
        <v>118.18695907096</v>
      </c>
      <c r="O29" s="1368">
        <v>117.930995895905</v>
      </c>
      <c r="P29" s="537" t="s">
        <v>565</v>
      </c>
      <c r="Q29" s="1369">
        <v>14.0475533435771</v>
      </c>
      <c r="R29" s="1368">
        <v>14.0571486990748</v>
      </c>
      <c r="S29" s="1368">
        <v>1.3187256809330901</v>
      </c>
      <c r="T29" s="1368">
        <v>1.3185495954450099</v>
      </c>
      <c r="U29" s="1368">
        <v>6.8569747403487997E-3</v>
      </c>
      <c r="V29" s="1368">
        <v>6.7598709479182702E-3</v>
      </c>
      <c r="W29" s="1368">
        <v>2.6187719697134898E-3</v>
      </c>
      <c r="X29" s="1368">
        <v>2.61889173263496E-3</v>
      </c>
      <c r="Y29" s="1368">
        <v>0.71619407468606</v>
      </c>
      <c r="Z29" s="1368">
        <v>0.70361723222566896</v>
      </c>
      <c r="AA29" s="1368">
        <v>357.301672044805</v>
      </c>
      <c r="AB29" s="1368">
        <v>357.142857142857</v>
      </c>
      <c r="AC29" s="1368">
        <v>23.091597828916299</v>
      </c>
      <c r="AD29" s="1368">
        <v>23.072889355007899</v>
      </c>
      <c r="AE29" s="537" t="s">
        <v>565</v>
      </c>
      <c r="AF29" s="1368">
        <v>5.2380952380952403E-2</v>
      </c>
      <c r="AG29" s="1369">
        <v>5.2380952380952403E-2</v>
      </c>
      <c r="AH29" s="1368">
        <v>0.91648530448439502</v>
      </c>
      <c r="AI29" s="1368">
        <v>0.91505160059162205</v>
      </c>
      <c r="AJ29" s="1368">
        <v>65.580513433563397</v>
      </c>
      <c r="AK29" s="1368">
        <v>65.757998159919694</v>
      </c>
      <c r="AL29" s="1368">
        <v>10.1190273258481</v>
      </c>
      <c r="AM29" s="1368">
        <v>10.0092357948471</v>
      </c>
      <c r="AN29" s="1368">
        <v>285.70857861965499</v>
      </c>
      <c r="AO29" s="1368">
        <v>285.67718478119701</v>
      </c>
      <c r="AP29" s="1368">
        <v>0.39516045058182803</v>
      </c>
      <c r="AQ29" s="1368">
        <v>0.39468963042698202</v>
      </c>
      <c r="AR29" s="1368">
        <v>1.9315511402416701</v>
      </c>
      <c r="AS29" s="1368">
        <v>1.9118797253845501</v>
      </c>
      <c r="AT29" s="537" t="s">
        <v>565</v>
      </c>
      <c r="AU29" s="1369">
        <v>30.146399660834501</v>
      </c>
      <c r="AV29" s="1368">
        <v>30.161776802851598</v>
      </c>
      <c r="AW29" s="1368">
        <v>1.1856845566798799</v>
      </c>
      <c r="AX29" s="1368">
        <v>1.1808910359635001</v>
      </c>
      <c r="AY29" s="1368">
        <v>29.326265037673799</v>
      </c>
      <c r="AZ29" s="1368">
        <v>29.3286407508132</v>
      </c>
      <c r="BA29" s="1368">
        <v>8.0514326619731805E-2</v>
      </c>
      <c r="BB29" s="1368">
        <v>7.9814250471629697E-2</v>
      </c>
      <c r="BC29" s="1368">
        <v>81.137094865421105</v>
      </c>
      <c r="BD29" s="1368">
        <v>80.909124342613396</v>
      </c>
      <c r="BE29" s="1368">
        <v>10.2081433484152</v>
      </c>
      <c r="BF29" s="1369">
        <v>10.0384197702114</v>
      </c>
      <c r="BG29" s="1368">
        <v>0.36759883247700897</v>
      </c>
      <c r="BH29" s="1368">
        <v>0.369747899159664</v>
      </c>
      <c r="BI29" s="537" t="s">
        <v>565</v>
      </c>
      <c r="BJ29" s="1368">
        <v>121.054356983453</v>
      </c>
      <c r="BK29" s="1368">
        <v>120.81274025260799</v>
      </c>
      <c r="BL29" s="1368">
        <v>8.4605622428181402E-3</v>
      </c>
      <c r="BM29" s="1368">
        <v>8.4605622428181402E-3</v>
      </c>
      <c r="BN29" s="1368">
        <v>145.16</v>
      </c>
      <c r="BO29" s="1368">
        <v>144.97999999999999</v>
      </c>
      <c r="BP29" s="1368">
        <v>2.9909927574417399</v>
      </c>
      <c r="BQ29" s="1368">
        <v>2.96976241900648</v>
      </c>
      <c r="BR29" s="1368">
        <v>29.951156649272299</v>
      </c>
      <c r="BS29" s="1368">
        <v>29.949494261949202</v>
      </c>
      <c r="BT29" s="1368">
        <v>110</v>
      </c>
      <c r="BU29" s="1368">
        <v>110</v>
      </c>
      <c r="BV29" s="1368">
        <v>137.87</v>
      </c>
      <c r="BW29" s="1368">
        <v>138.19</v>
      </c>
    </row>
    <row r="30" spans="1:75" s="170" customFormat="1" ht="11.45" customHeight="1">
      <c r="A30" s="540" t="s">
        <v>566</v>
      </c>
      <c r="B30" s="583">
        <v>76.175614483539604</v>
      </c>
      <c r="C30" s="583">
        <v>77.823238219903203</v>
      </c>
      <c r="D30" s="583">
        <v>115.027592592593</v>
      </c>
      <c r="E30" s="583">
        <v>117.7</v>
      </c>
      <c r="F30" s="583">
        <v>305.09253999834999</v>
      </c>
      <c r="G30" s="583">
        <v>312.20159151193599</v>
      </c>
      <c r="H30" s="583">
        <v>84.146716917751306</v>
      </c>
      <c r="I30" s="583">
        <v>85.8121901428988</v>
      </c>
      <c r="J30" s="583">
        <v>16.187903471348399</v>
      </c>
      <c r="K30" s="583">
        <v>16.551588361856801</v>
      </c>
      <c r="L30" s="583">
        <v>16.661386551703199</v>
      </c>
      <c r="M30" s="583">
        <v>17.042163790107701</v>
      </c>
      <c r="N30" s="583">
        <v>124.295494307792</v>
      </c>
      <c r="O30" s="583">
        <v>127.13953564154799</v>
      </c>
      <c r="P30" s="540" t="s">
        <v>566</v>
      </c>
      <c r="Q30" s="371">
        <v>14.724535015523401</v>
      </c>
      <c r="R30" s="371">
        <v>15.0631898896177</v>
      </c>
      <c r="S30" s="371">
        <v>1.3798860418332399</v>
      </c>
      <c r="T30" s="371">
        <v>1.4118634918730899</v>
      </c>
      <c r="U30" s="371">
        <v>7.1566101436801397E-3</v>
      </c>
      <c r="V30" s="371">
        <v>7.2430769230769198E-3</v>
      </c>
      <c r="W30" s="371">
        <v>2.73858919332403E-3</v>
      </c>
      <c r="X30" s="371">
        <v>2.8022141539194101E-3</v>
      </c>
      <c r="Y30" s="371">
        <v>0.73842657577797099</v>
      </c>
      <c r="Z30" s="371">
        <v>0.74675633664308605</v>
      </c>
      <c r="AA30" s="371">
        <v>374.34673767615999</v>
      </c>
      <c r="AB30" s="371">
        <v>383.45007330184097</v>
      </c>
      <c r="AC30" s="371">
        <v>24.371658481874501</v>
      </c>
      <c r="AD30" s="371">
        <v>24.994691017201099</v>
      </c>
      <c r="AE30" s="540" t="s">
        <v>566</v>
      </c>
      <c r="AF30" s="371">
        <v>5.4775044091710801E-2</v>
      </c>
      <c r="AG30" s="371">
        <v>5.6047619047618999E-2</v>
      </c>
      <c r="AH30" s="371">
        <v>0.96034684352411204</v>
      </c>
      <c r="AI30" s="371">
        <v>0.98482763006292995</v>
      </c>
      <c r="AJ30" s="371">
        <v>69.733991719361896</v>
      </c>
      <c r="AK30" s="371">
        <v>71.902922293337696</v>
      </c>
      <c r="AL30" s="371">
        <v>10.6952500427929</v>
      </c>
      <c r="AM30" s="371">
        <v>11.1105866805116</v>
      </c>
      <c r="AN30" s="371">
        <v>298.79598585008398</v>
      </c>
      <c r="AO30" s="371">
        <v>305.71428571428601</v>
      </c>
      <c r="AP30" s="371">
        <v>0.41306246413250602</v>
      </c>
      <c r="AQ30" s="371">
        <v>0.42262118491921002</v>
      </c>
      <c r="AR30" s="371">
        <v>1.9909980816445401</v>
      </c>
      <c r="AS30" s="371">
        <v>2.0064780088646401</v>
      </c>
      <c r="AT30" s="540" t="s">
        <v>566</v>
      </c>
      <c r="AU30" s="440">
        <v>31.551363397505298</v>
      </c>
      <c r="AV30" s="371">
        <v>32.289923458890001</v>
      </c>
      <c r="AW30" s="371">
        <v>1.2634364831238001</v>
      </c>
      <c r="AX30" s="371">
        <v>1.31398269606475</v>
      </c>
      <c r="AY30" s="371">
        <v>30.669863608276302</v>
      </c>
      <c r="AZ30" s="371">
        <v>31.381645603370099</v>
      </c>
      <c r="BA30" s="371">
        <v>8.4298955093307204E-2</v>
      </c>
      <c r="BB30" s="371">
        <v>8.5445576539853393E-2</v>
      </c>
      <c r="BC30" s="371">
        <v>85.115522773095805</v>
      </c>
      <c r="BD30" s="371">
        <v>87.072313667468094</v>
      </c>
      <c r="BE30" s="371">
        <v>10.6867780770646</v>
      </c>
      <c r="BF30" s="371">
        <v>11.0175044463166</v>
      </c>
      <c r="BG30" s="371">
        <v>0.384005065941942</v>
      </c>
      <c r="BH30" s="371">
        <v>0.39031669706516298</v>
      </c>
      <c r="BI30" s="540" t="s">
        <v>566</v>
      </c>
      <c r="BJ30" s="583">
        <v>126.403620585383</v>
      </c>
      <c r="BK30" s="583">
        <v>128.845101258894</v>
      </c>
      <c r="BL30" s="583">
        <v>8.8472555161014203E-3</v>
      </c>
      <c r="BM30" s="583">
        <v>9.0528015998153997E-3</v>
      </c>
      <c r="BN30" s="583">
        <v>152.08228997316701</v>
      </c>
      <c r="BO30" s="583">
        <v>155.66723978309699</v>
      </c>
      <c r="BP30" s="583">
        <v>3.1412765130396898</v>
      </c>
      <c r="BQ30" s="583">
        <v>3.1875423155044</v>
      </c>
      <c r="BR30" s="583">
        <v>31.317238571027001</v>
      </c>
      <c r="BS30" s="583">
        <v>32.045522611560301</v>
      </c>
      <c r="BT30" s="583">
        <v>115.027592592593</v>
      </c>
      <c r="BU30" s="583">
        <v>117.7</v>
      </c>
      <c r="BV30" s="583">
        <v>145.311622992537</v>
      </c>
      <c r="BW30" s="583">
        <v>149.58492629553899</v>
      </c>
    </row>
    <row r="31" spans="1:75" s="1859" customFormat="1" ht="11.45" customHeight="1">
      <c r="A31" s="537" t="s">
        <v>557</v>
      </c>
      <c r="B31" s="584">
        <v>78.401621419955504</v>
      </c>
      <c r="C31" s="584">
        <v>78.682398230353897</v>
      </c>
      <c r="D31" s="584">
        <v>117.93795</v>
      </c>
      <c r="E31" s="584">
        <v>118</v>
      </c>
      <c r="F31" s="584">
        <v>312.847707412511</v>
      </c>
      <c r="G31" s="584">
        <v>312.99734748010599</v>
      </c>
      <c r="H31" s="584">
        <v>86.075681682290096</v>
      </c>
      <c r="I31" s="584">
        <v>86.260462736211096</v>
      </c>
      <c r="J31" s="584">
        <v>16.574744894591799</v>
      </c>
      <c r="K31" s="584">
        <v>16.557220631980702</v>
      </c>
      <c r="L31" s="584">
        <v>17.045152252987201</v>
      </c>
      <c r="M31" s="584">
        <v>16.953048675363501</v>
      </c>
      <c r="N31" s="584">
        <v>127.136978237656</v>
      </c>
      <c r="O31" s="584">
        <v>126.43699559496</v>
      </c>
      <c r="P31" s="537" t="s">
        <v>557</v>
      </c>
      <c r="Q31" s="357">
        <v>15.0996522978503</v>
      </c>
      <c r="R31" s="357">
        <v>15.1124145924451</v>
      </c>
      <c r="S31" s="357">
        <v>1.4130888218803499</v>
      </c>
      <c r="T31" s="357">
        <v>1.4155470249520199</v>
      </c>
      <c r="U31" s="357">
        <v>7.2233347729171197E-3</v>
      </c>
      <c r="V31" s="357">
        <v>7.2061068702290098E-3</v>
      </c>
      <c r="W31" s="357">
        <v>2.8078792928992301E-3</v>
      </c>
      <c r="X31" s="357">
        <v>2.8093565859175001E-3</v>
      </c>
      <c r="Y31" s="357">
        <v>0.74756730030447904</v>
      </c>
      <c r="Z31" s="357">
        <v>0.73357993223710805</v>
      </c>
      <c r="AA31" s="357">
        <v>384.64392111858098</v>
      </c>
      <c r="AB31" s="357">
        <v>384.67807660961699</v>
      </c>
      <c r="AC31" s="357">
        <v>25.0464497658357</v>
      </c>
      <c r="AD31" s="357">
        <v>25.0132485426603</v>
      </c>
      <c r="AE31" s="537" t="s">
        <v>557</v>
      </c>
      <c r="AF31" s="357">
        <v>5.6160928571428598E-2</v>
      </c>
      <c r="AG31" s="357">
        <v>5.61904761904762E-2</v>
      </c>
      <c r="AH31" s="357">
        <v>0.98309413738907503</v>
      </c>
      <c r="AI31" s="357">
        <v>0.97996226314810397</v>
      </c>
      <c r="AJ31" s="357">
        <v>72.461000627755496</v>
      </c>
      <c r="AK31" s="357">
        <v>71.814792244495607</v>
      </c>
      <c r="AL31" s="357">
        <v>11.1338603331311</v>
      </c>
      <c r="AM31" s="357">
        <v>11.0484822381603</v>
      </c>
      <c r="AN31" s="357">
        <v>306.33233908764498</v>
      </c>
      <c r="AO31" s="357">
        <v>306.493506493506</v>
      </c>
      <c r="AP31" s="357">
        <v>0.42319032053803002</v>
      </c>
      <c r="AQ31" s="357">
        <v>0.42400287459576003</v>
      </c>
      <c r="AR31" s="357">
        <v>2.00888896796131</v>
      </c>
      <c r="AS31" s="357">
        <v>2.01743887844076</v>
      </c>
      <c r="AT31" s="537" t="s">
        <v>557</v>
      </c>
      <c r="AU31" s="536">
        <v>32.347766228861801</v>
      </c>
      <c r="AV31" s="357">
        <v>32.364234777838703</v>
      </c>
      <c r="AW31" s="357">
        <v>1.3372228511317401</v>
      </c>
      <c r="AX31" s="357">
        <v>1.3760932944606401</v>
      </c>
      <c r="AY31" s="357">
        <v>31.441500095105201</v>
      </c>
      <c r="AZ31" s="357">
        <v>31.451569913108401</v>
      </c>
      <c r="BA31" s="357">
        <v>8.5509030863332405E-2</v>
      </c>
      <c r="BB31" s="357">
        <v>8.5428318039492496E-2</v>
      </c>
      <c r="BC31" s="357">
        <v>87.285711885473603</v>
      </c>
      <c r="BD31" s="357">
        <v>87.023857811866193</v>
      </c>
      <c r="BE31" s="357">
        <v>11.262810820770399</v>
      </c>
      <c r="BF31" s="357">
        <v>11.1333358493414</v>
      </c>
      <c r="BG31" s="357">
        <v>0.38805518834951502</v>
      </c>
      <c r="BH31" s="357">
        <v>0.385683935283543</v>
      </c>
      <c r="BI31" s="537" t="s">
        <v>557</v>
      </c>
      <c r="BJ31" s="584">
        <v>131.88856988285499</v>
      </c>
      <c r="BK31" s="584">
        <v>131.27155412170401</v>
      </c>
      <c r="BL31" s="584">
        <v>9.0711033342306697E-3</v>
      </c>
      <c r="BM31" s="584">
        <v>9.0758758604776394E-3</v>
      </c>
      <c r="BN31" s="584">
        <v>155.61603669648099</v>
      </c>
      <c r="BO31" s="584">
        <v>155.20189398921499</v>
      </c>
      <c r="BP31" s="584">
        <v>3.2136734396503099</v>
      </c>
      <c r="BQ31" s="584">
        <v>3.2091378841446798</v>
      </c>
      <c r="BR31" s="584">
        <v>32.109066426612699</v>
      </c>
      <c r="BS31" s="584">
        <v>32.126327252926799</v>
      </c>
      <c r="BT31" s="584">
        <v>117.93795</v>
      </c>
      <c r="BU31" s="584">
        <v>118</v>
      </c>
      <c r="BV31" s="584">
        <v>150.125885423478</v>
      </c>
      <c r="BW31" s="584">
        <v>149.199196267004</v>
      </c>
    </row>
    <row r="32" spans="1:75" s="515" customFormat="1" ht="11.45" customHeight="1">
      <c r="A32" s="598" t="s">
        <v>2501</v>
      </c>
      <c r="B32" s="916">
        <f>AVERAGE(B33:B44)</f>
        <v>78.220615223901362</v>
      </c>
      <c r="C32" s="916">
        <f>C44</f>
        <v>80.178213279993898</v>
      </c>
      <c r="D32" s="916">
        <f t="shared" ref="D32" si="67">AVERAGE(D33:D44)</f>
        <v>120.81565912868</v>
      </c>
      <c r="E32" s="916">
        <f t="shared" ref="E32" si="68">E44</f>
        <v>122.77500000000001</v>
      </c>
      <c r="F32" s="916">
        <f t="shared" ref="F32" si="69">AVERAGE(F33:F44)</f>
        <v>320.47219043308604</v>
      </c>
      <c r="G32" s="916">
        <f t="shared" ref="G32" si="70">G44</f>
        <v>325.53360731804298</v>
      </c>
      <c r="H32" s="916">
        <f t="shared" ref="H32" si="71">AVERAGE(H33:H44)</f>
        <v>86.59816241429354</v>
      </c>
      <c r="I32" s="916">
        <f t="shared" ref="I32" si="72">I44</f>
        <v>89.734687911124098</v>
      </c>
      <c r="J32" s="916">
        <f>AVERAGE(J33:J44)</f>
        <v>16.873554720305776</v>
      </c>
      <c r="K32" s="916">
        <f t="shared" ref="K32" si="73">K44</f>
        <v>17.150699857513999</v>
      </c>
      <c r="L32" s="916">
        <f t="shared" ref="L32" si="74">AVERAGE(L33:L44)</f>
        <v>17.611117622826587</v>
      </c>
      <c r="M32" s="916">
        <f t="shared" ref="M32" si="75">M44</f>
        <v>19.2872627874827</v>
      </c>
      <c r="N32" s="916">
        <f t="shared" ref="N32" si="76">AVERAGE(N33:N44)</f>
        <v>131.40142924807859</v>
      </c>
      <c r="O32" s="916">
        <f t="shared" ref="O32" si="77">O44</f>
        <v>143.89229895243199</v>
      </c>
      <c r="P32" s="598" t="s">
        <v>2501</v>
      </c>
      <c r="Q32" s="529">
        <f t="shared" ref="Q32" si="78">AVERAGE(Q33:Q44)</f>
        <v>15.510391068617025</v>
      </c>
      <c r="R32" s="529">
        <f t="shared" ref="R32" si="79">R44</f>
        <v>15.640326628364701</v>
      </c>
      <c r="S32" s="470">
        <f t="shared" ref="S32" si="80">AVERAGE(S33:S44)</f>
        <v>1.4199523489297359</v>
      </c>
      <c r="T32" s="470">
        <f t="shared" ref="T32" si="81">T44</f>
        <v>1.43672108127084</v>
      </c>
      <c r="U32" s="529">
        <f t="shared" ref="U32" si="82">AVERAGE(U33:U44)</f>
        <v>7.5032314702025323E-3</v>
      </c>
      <c r="V32" s="529">
        <f t="shared" ref="V32" si="83">V44</f>
        <v>7.5635299553365202E-3</v>
      </c>
      <c r="W32" s="529">
        <f t="shared" ref="W32" si="84">AVERAGE(W33:W44)</f>
        <v>2.8760405207799034E-3</v>
      </c>
      <c r="X32" s="529">
        <f t="shared" ref="X32" si="85">X44</f>
        <v>2.9230402952205199E-3</v>
      </c>
      <c r="Y32" s="529">
        <f t="shared" ref="Y32" si="86">AVERAGE(Y33:Y44)</f>
        <v>0.80814090185141685</v>
      </c>
      <c r="Z32" s="529">
        <f t="shared" ref="Z32" si="87">Z44</f>
        <v>0.84868489268309499</v>
      </c>
      <c r="AA32" s="529">
        <f t="shared" ref="AA32" si="88">AVERAGE(AA33:AA44)</f>
        <v>393.53976826989378</v>
      </c>
      <c r="AB32" s="529">
        <f t="shared" ref="AB32" si="89">AB44</f>
        <v>401.88216039279899</v>
      </c>
      <c r="AC32" s="529">
        <f t="shared" ref="AC32" si="90">AVERAGE(AC33:AC44)</f>
        <v>27.463725050591922</v>
      </c>
      <c r="AD32" s="529">
        <f t="shared" ref="AD32" si="91">AD44</f>
        <v>29.114299264880199</v>
      </c>
      <c r="AE32" s="598" t="s">
        <v>2501</v>
      </c>
      <c r="AF32" s="529">
        <f t="shared" ref="AF32" si="92">AVERAGE(AF33:AF44)</f>
        <v>5.753126625175236E-2</v>
      </c>
      <c r="AG32" s="529">
        <f t="shared" ref="AG32" si="93">AG44</f>
        <v>5.8464285714285698E-2</v>
      </c>
      <c r="AH32" s="470">
        <f t="shared" ref="AH32" si="94">AVERAGE(AH33:AH44)</f>
        <v>1.0156636723231252</v>
      </c>
      <c r="AI32" s="470">
        <f t="shared" ref="AI32" si="95">AI44</f>
        <v>1.06465635728402</v>
      </c>
      <c r="AJ32" s="529">
        <f t="shared" ref="AJ32" si="96">AVERAGE(AJ33:AJ44)</f>
        <v>71.371540575976624</v>
      </c>
      <c r="AK32" s="529">
        <f t="shared" ref="AK32" si="97">AK44</f>
        <v>74.358678243209795</v>
      </c>
      <c r="AL32" s="529">
        <f t="shared" ref="AL32" si="98">AVERAGE(AL33:AL44)</f>
        <v>11.220807068107284</v>
      </c>
      <c r="AM32" s="529">
        <f t="shared" ref="AM32" si="99">AM44</f>
        <v>12.1792741539484</v>
      </c>
      <c r="AN32" s="529">
        <f t="shared" ref="AN32" si="100">AVERAGE(AN33:AN44)</f>
        <v>313.80964090116498</v>
      </c>
      <c r="AO32" s="529">
        <f t="shared" ref="AO32" si="101">AO44</f>
        <v>318.89610389610402</v>
      </c>
      <c r="AP32" s="529">
        <f t="shared" ref="AP32" si="102">AVERAGE(AP33:AP44)</f>
        <v>0.43233521038548717</v>
      </c>
      <c r="AQ32" s="529">
        <f t="shared" ref="AQ32" si="103">AQ44</f>
        <v>0.43283976731887902</v>
      </c>
      <c r="AR32" s="529">
        <f t="shared" ref="AR32" si="104">AVERAGE(AR33:AR44)</f>
        <v>2.1053827342854485</v>
      </c>
      <c r="AS32" s="529">
        <f t="shared" ref="AS32" si="105">AS44</f>
        <v>2.1792186584781401</v>
      </c>
      <c r="AT32" s="598" t="s">
        <v>2501</v>
      </c>
      <c r="AU32" s="599">
        <f t="shared" ref="AU32" si="106">AVERAGE(AU33:AU44)</f>
        <v>33.140035431116821</v>
      </c>
      <c r="AV32" s="529">
        <f t="shared" ref="AV32" si="107">AV44</f>
        <v>33.684051688660901</v>
      </c>
      <c r="AW32" s="529">
        <f t="shared" ref="AW32" si="108">AVERAGE(AW33:AW44)</f>
        <v>1.337560608840483</v>
      </c>
      <c r="AX32" s="529">
        <f t="shared" ref="AX32" si="109">AX44</f>
        <v>1.5640127388534999</v>
      </c>
      <c r="AY32" s="529">
        <f t="shared" ref="AY32" si="110">AVERAGE(AY33:AY44)</f>
        <v>32.194307342510882</v>
      </c>
      <c r="AZ32" s="529">
        <f t="shared" ref="AZ32" si="111">AZ44</f>
        <v>32.7356352486335</v>
      </c>
      <c r="BA32" s="529">
        <f t="shared" ref="BA32" si="112">AVERAGE(BA33:BA44)</f>
        <v>8.6254680265335559E-2</v>
      </c>
      <c r="BB32" s="529">
        <f t="shared" ref="BB32" si="113">BB44</f>
        <v>9.0592141671278395E-2</v>
      </c>
      <c r="BC32" s="529">
        <f t="shared" ref="BC32" si="114">AVERAGE(BC33:BC44)</f>
        <v>91.189647480156893</v>
      </c>
      <c r="BD32" s="529">
        <f t="shared" ref="BD32" si="115">BD44</f>
        <v>96.222422508719006</v>
      </c>
      <c r="BE32" s="529">
        <f t="shared" ref="BE32" si="116">AVERAGE(BE33:BE44)</f>
        <v>11.657494331297857</v>
      </c>
      <c r="BF32" s="529">
        <f t="shared" ref="BF32" si="117">BF44</f>
        <v>12.9484907928874</v>
      </c>
      <c r="BG32" s="529">
        <f t="shared" ref="BG32" si="118">AVERAGE(BG33:BG44)</f>
        <v>0.4064269193345626</v>
      </c>
      <c r="BH32" s="529">
        <f t="shared" ref="BH32" si="119">BH44</f>
        <v>0.40959132610508697</v>
      </c>
      <c r="BI32" s="598" t="s">
        <v>2501</v>
      </c>
      <c r="BJ32" s="916">
        <f t="shared" ref="BJ32" si="120">AVERAGE(BJ33:BJ44)</f>
        <v>139.43415080088141</v>
      </c>
      <c r="BK32" s="916">
        <f t="shared" ref="BK32" si="121">BK44</f>
        <v>153.64159679639599</v>
      </c>
      <c r="BL32" s="916">
        <f t="shared" ref="BL32" si="122">AVERAGE(BL33:BL44)</f>
        <v>9.2906540665774074E-3</v>
      </c>
      <c r="BM32" s="916">
        <f t="shared" ref="BM32" si="123">BM44</f>
        <v>9.4405997693194892E-3</v>
      </c>
      <c r="BN32" s="916">
        <f t="shared" ref="BN32" si="124">AVERAGE(BN33:BN44)</f>
        <v>160.88839143070282</v>
      </c>
      <c r="BO32" s="916">
        <f t="shared" ref="BO32" si="125">BO44</f>
        <v>168.693322341303</v>
      </c>
      <c r="BP32" s="916">
        <f t="shared" ref="BP32" si="126">AVERAGE(BP33:BP44)</f>
        <v>3.5603624042247954</v>
      </c>
      <c r="BQ32" s="916">
        <f t="shared" ref="BQ32" si="127">BQ44</f>
        <v>3.7701520036849399</v>
      </c>
      <c r="BR32" s="916">
        <f t="shared" ref="BR32" si="128">AVERAGE(BR33:BR44)</f>
        <v>32.893611244249662</v>
      </c>
      <c r="BS32" s="916">
        <f t="shared" ref="BS32" si="129">BS44</f>
        <v>33.430905377808003</v>
      </c>
      <c r="BT32" s="916">
        <f t="shared" ref="BT32" si="130">AVERAGE(BT33:BT44)</f>
        <v>120.81565912868</v>
      </c>
      <c r="BU32" s="916">
        <f t="shared" ref="BU32" si="131">BU44</f>
        <v>122.77500000000001</v>
      </c>
      <c r="BV32" s="916">
        <f t="shared" ref="BV32" si="132">AVERAGE(BV33:BV44)</f>
        <v>156.35876694910391</v>
      </c>
      <c r="BW32" s="916">
        <f t="shared" ref="BW32" si="133">BW44</f>
        <v>168.392049235901</v>
      </c>
    </row>
    <row r="33" spans="1:75" s="1859" customFormat="1" ht="11.45" customHeight="1">
      <c r="A33" s="537" t="s">
        <v>559</v>
      </c>
      <c r="B33" s="584">
        <v>78.892960583276803</v>
      </c>
      <c r="C33" s="584">
        <v>77.733741256830598</v>
      </c>
      <c r="D33" s="584">
        <v>117.927777777778</v>
      </c>
      <c r="E33" s="584">
        <v>118</v>
      </c>
      <c r="F33" s="584">
        <v>312.82729502192097</v>
      </c>
      <c r="G33" s="584">
        <v>312.99734748010599</v>
      </c>
      <c r="H33" s="584">
        <v>86.060965959106596</v>
      </c>
      <c r="I33" s="584">
        <v>85.201631827863807</v>
      </c>
      <c r="J33" s="584">
        <v>16.537186376277301</v>
      </c>
      <c r="K33" s="584">
        <v>16.5391192218204</v>
      </c>
      <c r="L33" s="584">
        <v>17.1500981762624</v>
      </c>
      <c r="M33" s="584">
        <v>17.1020689155404</v>
      </c>
      <c r="N33" s="584">
        <v>127.945288821403</v>
      </c>
      <c r="O33" s="584">
        <v>127.622899727243</v>
      </c>
      <c r="P33" s="537" t="s">
        <v>559</v>
      </c>
      <c r="Q33" s="357">
        <v>15.1009310689548</v>
      </c>
      <c r="R33" s="357">
        <v>15.102356863573201</v>
      </c>
      <c r="S33" s="357">
        <v>1.4109741168099399</v>
      </c>
      <c r="T33" s="357">
        <v>1.4092917711692301</v>
      </c>
      <c r="U33" s="357">
        <v>7.2571565887826596E-3</v>
      </c>
      <c r="V33" s="357">
        <v>7.2403742905353596E-3</v>
      </c>
      <c r="W33" s="357">
        <v>2.8075135541174002E-3</v>
      </c>
      <c r="X33" s="357">
        <v>2.8093565859175001E-3</v>
      </c>
      <c r="Y33" s="357">
        <v>0.74692824038412198</v>
      </c>
      <c r="Z33" s="357">
        <v>0.77242823945275396</v>
      </c>
      <c r="AA33" s="357">
        <v>385.536985867792</v>
      </c>
      <c r="AB33" s="357">
        <v>386.18883979708698</v>
      </c>
      <c r="AC33" s="357">
        <v>25.201221688282999</v>
      </c>
      <c r="AD33" s="357">
        <v>25.618758141554501</v>
      </c>
      <c r="AE33" s="537" t="s">
        <v>559</v>
      </c>
      <c r="AF33" s="357">
        <v>5.6156084656084702E-2</v>
      </c>
      <c r="AG33" s="357">
        <v>5.61904761904762E-2</v>
      </c>
      <c r="AH33" s="357">
        <v>0.98465372129347395</v>
      </c>
      <c r="AI33" s="357">
        <v>0.98778495084514195</v>
      </c>
      <c r="AJ33" s="357">
        <v>71.325697643029898</v>
      </c>
      <c r="AK33" s="357">
        <v>69.661299500296394</v>
      </c>
      <c r="AL33" s="357">
        <v>10.9567775404717</v>
      </c>
      <c r="AM33" s="357">
        <v>10.7699609360739</v>
      </c>
      <c r="AN33" s="357">
        <v>306.30297259046802</v>
      </c>
      <c r="AO33" s="357">
        <v>306.493506493506</v>
      </c>
      <c r="AP33" s="357">
        <v>0.42332604051411699</v>
      </c>
      <c r="AQ33" s="357">
        <v>0.42316657701273103</v>
      </c>
      <c r="AR33" s="357">
        <v>2.0164850573279902</v>
      </c>
      <c r="AS33" s="357">
        <v>2.0167492736284398</v>
      </c>
      <c r="AT33" s="537" t="s">
        <v>559</v>
      </c>
      <c r="AU33" s="536">
        <v>32.3411411730401</v>
      </c>
      <c r="AV33" s="357">
        <v>32.358909669280997</v>
      </c>
      <c r="AW33" s="357">
        <v>1.34677318785081</v>
      </c>
      <c r="AX33" s="357">
        <v>1.3760932944606401</v>
      </c>
      <c r="AY33" s="357">
        <v>31.4377815650926</v>
      </c>
      <c r="AZ33" s="357">
        <v>31.453246614777701</v>
      </c>
      <c r="BA33" s="357">
        <v>8.52961097369766E-2</v>
      </c>
      <c r="BB33" s="357">
        <v>8.5438833397895195E-2</v>
      </c>
      <c r="BC33" s="357">
        <v>87.595407879910596</v>
      </c>
      <c r="BD33" s="357">
        <v>87.908813231021398</v>
      </c>
      <c r="BE33" s="357">
        <v>11.112006555563401</v>
      </c>
      <c r="BF33" s="357">
        <v>10.9630785811175</v>
      </c>
      <c r="BG33" s="357">
        <v>0.38865782768470802</v>
      </c>
      <c r="BH33" s="357">
        <v>0.39021164021164001</v>
      </c>
      <c r="BI33" s="537" t="s">
        <v>559</v>
      </c>
      <c r="BJ33" s="584">
        <v>132.17748766167799</v>
      </c>
      <c r="BK33" s="584">
        <v>133.69589848175801</v>
      </c>
      <c r="BL33" s="584">
        <v>9.0703209458737697E-3</v>
      </c>
      <c r="BM33" s="584">
        <v>9.0758758604776394E-3</v>
      </c>
      <c r="BN33" s="584">
        <v>156.081860789095</v>
      </c>
      <c r="BO33" s="584">
        <v>156.748140276302</v>
      </c>
      <c r="BP33" s="584">
        <v>3.25441225732374</v>
      </c>
      <c r="BQ33" s="584">
        <v>3.2993149727387099</v>
      </c>
      <c r="BR33" s="584">
        <v>32.106680414358003</v>
      </c>
      <c r="BS33" s="584">
        <v>32.126764589771199</v>
      </c>
      <c r="BT33" s="584">
        <v>117.927777777778</v>
      </c>
      <c r="BU33" s="584">
        <v>118</v>
      </c>
      <c r="BV33" s="584">
        <v>151.781027192588</v>
      </c>
      <c r="BW33" s="584">
        <v>151.45889793151801</v>
      </c>
    </row>
    <row r="34" spans="1:75" s="1859" customFormat="1" ht="11.45" customHeight="1">
      <c r="A34" s="540" t="s">
        <v>560</v>
      </c>
      <c r="B34" s="583">
        <v>78.888199288878099</v>
      </c>
      <c r="C34" s="583">
        <v>81.4259995578808</v>
      </c>
      <c r="D34" s="583">
        <v>118.72499999999999</v>
      </c>
      <c r="E34" s="583">
        <v>120</v>
      </c>
      <c r="F34" s="583">
        <v>315.007571553199</v>
      </c>
      <c r="G34" s="583">
        <v>318.34460803820099</v>
      </c>
      <c r="H34" s="583">
        <v>86.833432068604097</v>
      </c>
      <c r="I34" s="583">
        <v>89.017469678424405</v>
      </c>
      <c r="J34" s="583">
        <v>16.637535650241201</v>
      </c>
      <c r="K34" s="583">
        <v>16.830530582476602</v>
      </c>
      <c r="L34" s="583">
        <v>17.5360521480643</v>
      </c>
      <c r="M34" s="583">
        <v>17.891488124524699</v>
      </c>
      <c r="N34" s="583">
        <v>130.84620189203801</v>
      </c>
      <c r="O34" s="583">
        <v>133.44599973022801</v>
      </c>
      <c r="P34" s="540" t="s">
        <v>560</v>
      </c>
      <c r="Q34" s="371">
        <v>15.2268036834223</v>
      </c>
      <c r="R34" s="371">
        <v>15.382446065298501</v>
      </c>
      <c r="S34" s="371">
        <v>1.4153963561957601</v>
      </c>
      <c r="T34" s="371">
        <v>1.4300184710719199</v>
      </c>
      <c r="U34" s="371">
        <v>7.5301541699894703E-3</v>
      </c>
      <c r="V34" s="371">
        <v>7.78765656434551E-3</v>
      </c>
      <c r="W34" s="371">
        <v>2.82661746324624E-3</v>
      </c>
      <c r="X34" s="371">
        <v>2.8569727992381398E-3</v>
      </c>
      <c r="Y34" s="371">
        <v>0.81226068072259705</v>
      </c>
      <c r="Z34" s="371">
        <v>0.82999031677963797</v>
      </c>
      <c r="AA34" s="371">
        <v>388.45148997724601</v>
      </c>
      <c r="AB34" s="371">
        <v>393.12039312039298</v>
      </c>
      <c r="AC34" s="371">
        <v>26.837389452909001</v>
      </c>
      <c r="AD34" s="371">
        <v>27.729636048526899</v>
      </c>
      <c r="AE34" s="540" t="s">
        <v>560</v>
      </c>
      <c r="AF34" s="371">
        <v>5.65357142857143E-2</v>
      </c>
      <c r="AG34" s="371">
        <v>5.7142857142857099E-2</v>
      </c>
      <c r="AH34" s="371">
        <v>1.0027727215482201</v>
      </c>
      <c r="AI34" s="371">
        <v>1.0224844326745099</v>
      </c>
      <c r="AJ34" s="371">
        <v>72.105624128281306</v>
      </c>
      <c r="AK34" s="371">
        <v>74.939998078462807</v>
      </c>
      <c r="AL34" s="371">
        <v>11.0999178797111</v>
      </c>
      <c r="AM34" s="371">
        <v>11.4284625860706</v>
      </c>
      <c r="AN34" s="371">
        <v>308.37670047754699</v>
      </c>
      <c r="AO34" s="371">
        <v>311.68831168831201</v>
      </c>
      <c r="AP34" s="371">
        <v>0.42584602437067998</v>
      </c>
      <c r="AQ34" s="371">
        <v>0.42979942693409701</v>
      </c>
      <c r="AR34" s="371">
        <v>2.0814175150985901</v>
      </c>
      <c r="AS34" s="371">
        <v>2.1309655937846799</v>
      </c>
      <c r="AT34" s="540" t="s">
        <v>560</v>
      </c>
      <c r="AU34" s="440">
        <v>32.559324522199702</v>
      </c>
      <c r="AV34" s="371">
        <v>32.921810699588498</v>
      </c>
      <c r="AW34" s="371">
        <v>1.3335820257928299</v>
      </c>
      <c r="AX34" s="371">
        <v>1.3114754098360699</v>
      </c>
      <c r="AY34" s="371">
        <v>31.636230153193999</v>
      </c>
      <c r="AZ34" s="371">
        <v>31.977828705430898</v>
      </c>
      <c r="BA34" s="371">
        <v>8.7873166943541706E-2</v>
      </c>
      <c r="BB34" s="371">
        <v>8.9870810709604898E-2</v>
      </c>
      <c r="BC34" s="371">
        <v>90.208652889328405</v>
      </c>
      <c r="BD34" s="371">
        <v>92.059838895281899</v>
      </c>
      <c r="BE34" s="371">
        <v>11.4213308217047</v>
      </c>
      <c r="BF34" s="371">
        <v>11.795756476607499</v>
      </c>
      <c r="BG34" s="371">
        <v>0.39527889144198403</v>
      </c>
      <c r="BH34" s="371">
        <v>0.39933444259567402</v>
      </c>
      <c r="BI34" s="540" t="s">
        <v>560</v>
      </c>
      <c r="BJ34" s="583">
        <v>138.37306318495899</v>
      </c>
      <c r="BK34" s="583">
        <v>142.475512021371</v>
      </c>
      <c r="BL34" s="583">
        <v>9.1316386570780301E-3</v>
      </c>
      <c r="BM34" s="583">
        <v>9.2297042648925107E-3</v>
      </c>
      <c r="BN34" s="583">
        <v>159.03639671628301</v>
      </c>
      <c r="BO34" s="583">
        <v>161.59439806086701</v>
      </c>
      <c r="BP34" s="583">
        <v>3.4129770973743199</v>
      </c>
      <c r="BQ34" s="583">
        <v>3.5299308721870899</v>
      </c>
      <c r="BR34" s="583">
        <v>32.324359068179199</v>
      </c>
      <c r="BS34" s="583">
        <v>32.672620344151603</v>
      </c>
      <c r="BT34" s="583">
        <v>118.72499999999999</v>
      </c>
      <c r="BU34" s="583">
        <v>120</v>
      </c>
      <c r="BV34" s="583">
        <v>153.59415947609301</v>
      </c>
      <c r="BW34" s="583">
        <v>158.297997953227</v>
      </c>
    </row>
    <row r="35" spans="1:75" s="1859" customFormat="1" ht="11.45" customHeight="1">
      <c r="A35" s="537" t="s">
        <v>554</v>
      </c>
      <c r="B35" s="584">
        <v>81.101075037182994</v>
      </c>
      <c r="C35" s="584">
        <v>82.829999565374905</v>
      </c>
      <c r="D35" s="584">
        <v>120</v>
      </c>
      <c r="E35" s="584">
        <v>120</v>
      </c>
      <c r="F35" s="584">
        <v>318.46330364422801</v>
      </c>
      <c r="G35" s="584">
        <v>318.34460803820099</v>
      </c>
      <c r="H35" s="584">
        <v>88.5896018199184</v>
      </c>
      <c r="I35" s="584">
        <v>88.786948318597197</v>
      </c>
      <c r="J35" s="584">
        <v>16.940879641638801</v>
      </c>
      <c r="K35" s="584">
        <v>17.1247538316637</v>
      </c>
      <c r="L35" s="584">
        <v>17.847426836828401</v>
      </c>
      <c r="M35" s="584">
        <v>17.966492491503299</v>
      </c>
      <c r="N35" s="584">
        <v>133.140230030244</v>
      </c>
      <c r="O35" s="584">
        <v>133.96199973126701</v>
      </c>
      <c r="P35" s="537" t="s">
        <v>554</v>
      </c>
      <c r="Q35" s="357">
        <v>15.3995162967831</v>
      </c>
      <c r="R35" s="357">
        <v>15.439743185605</v>
      </c>
      <c r="S35" s="357">
        <v>1.4319156432086699</v>
      </c>
      <c r="T35" s="357">
        <v>1.43334925943622</v>
      </c>
      <c r="U35" s="357">
        <v>7.8274607265153406E-3</v>
      </c>
      <c r="V35" s="357">
        <v>7.9207920792079192E-3</v>
      </c>
      <c r="W35" s="357">
        <v>2.8565808478587902E-3</v>
      </c>
      <c r="X35" s="357">
        <v>2.8569727992381398E-3</v>
      </c>
      <c r="Y35" s="357">
        <v>0.83768843774616597</v>
      </c>
      <c r="Z35" s="357">
        <v>0.84391152994127805</v>
      </c>
      <c r="AA35" s="357">
        <v>393.12558167184199</v>
      </c>
      <c r="AB35" s="357">
        <v>393.44262295082001</v>
      </c>
      <c r="AC35" s="357">
        <v>28.131812769300399</v>
      </c>
      <c r="AD35" s="357">
        <v>29.186428310835499</v>
      </c>
      <c r="AE35" s="537" t="s">
        <v>554</v>
      </c>
      <c r="AF35" s="357">
        <v>5.7142857142857099E-2</v>
      </c>
      <c r="AG35" s="357">
        <v>5.7142857142857099E-2</v>
      </c>
      <c r="AH35" s="357">
        <v>1.0221114765193</v>
      </c>
      <c r="AI35" s="357">
        <v>1.0266510045352299</v>
      </c>
      <c r="AJ35" s="357">
        <v>74.600536140859504</v>
      </c>
      <c r="AK35" s="357">
        <v>76.085999526851197</v>
      </c>
      <c r="AL35" s="357">
        <v>11.2935812970331</v>
      </c>
      <c r="AM35" s="357">
        <v>11.426721387965699</v>
      </c>
      <c r="AN35" s="357">
        <v>311.70078822438097</v>
      </c>
      <c r="AO35" s="357">
        <v>312.09362808842701</v>
      </c>
      <c r="AP35" s="357">
        <v>0.43102828723160203</v>
      </c>
      <c r="AQ35" s="357">
        <v>0.43212099387828601</v>
      </c>
      <c r="AR35" s="357">
        <v>2.1402879445623202</v>
      </c>
      <c r="AS35" s="357">
        <v>2.1417097983223301</v>
      </c>
      <c r="AT35" s="537" t="s">
        <v>554</v>
      </c>
      <c r="AU35" s="536">
        <v>32.915654625138203</v>
      </c>
      <c r="AV35" s="357">
        <v>32.921810699588498</v>
      </c>
      <c r="AW35" s="357">
        <v>1.3188159057300199</v>
      </c>
      <c r="AX35" s="357">
        <v>1.2721971905645399</v>
      </c>
      <c r="AY35" s="357">
        <v>31.9769285857199</v>
      </c>
      <c r="AZ35" s="357">
        <v>31.988057791757701</v>
      </c>
      <c r="BA35" s="357">
        <v>9.0051679047771505E-2</v>
      </c>
      <c r="BB35" s="357">
        <v>9.1641878811252103E-2</v>
      </c>
      <c r="BC35" s="357">
        <v>92.489810711962505</v>
      </c>
      <c r="BD35" s="357">
        <v>93.662191695285699</v>
      </c>
      <c r="BE35" s="357">
        <v>11.722294951740199</v>
      </c>
      <c r="BF35" s="357">
        <v>11.88430627838</v>
      </c>
      <c r="BG35" s="357">
        <v>0.399077797471938</v>
      </c>
      <c r="BH35" s="357">
        <v>0.40451710770268001</v>
      </c>
      <c r="BI35" s="537" t="s">
        <v>554</v>
      </c>
      <c r="BJ35" s="584">
        <v>141.57651090562399</v>
      </c>
      <c r="BK35" s="584">
        <v>142.763666646838</v>
      </c>
      <c r="BL35" s="584">
        <v>9.2297042648925107E-3</v>
      </c>
      <c r="BM35" s="584">
        <v>9.2297042648925107E-3</v>
      </c>
      <c r="BN35" s="584">
        <v>161.95536959027399</v>
      </c>
      <c r="BO35" s="584">
        <v>162.75600162756001</v>
      </c>
      <c r="BP35" s="584">
        <v>3.5967130179929598</v>
      </c>
      <c r="BQ35" s="584">
        <v>3.7319234955683398</v>
      </c>
      <c r="BR35" s="584">
        <v>32.671303132499801</v>
      </c>
      <c r="BS35" s="584">
        <v>32.670841274162797</v>
      </c>
      <c r="BT35" s="584">
        <v>120</v>
      </c>
      <c r="BU35" s="584">
        <v>120</v>
      </c>
      <c r="BV35" s="584">
        <v>158.38384154976799</v>
      </c>
      <c r="BW35" s="584">
        <v>160.49399798123301</v>
      </c>
    </row>
    <row r="36" spans="1:75" s="1859" customFormat="1" ht="11.45" customHeight="1">
      <c r="A36" s="540" t="s">
        <v>561</v>
      </c>
      <c r="B36" s="583">
        <v>80.605610840370204</v>
      </c>
      <c r="C36" s="583">
        <v>78.863998174071796</v>
      </c>
      <c r="D36" s="583">
        <v>119.998148148148</v>
      </c>
      <c r="E36" s="583">
        <v>120</v>
      </c>
      <c r="F36" s="583">
        <v>318.264649671391</v>
      </c>
      <c r="G36" s="583">
        <v>318.26017769526601</v>
      </c>
      <c r="H36" s="583">
        <v>87.425482976505606</v>
      </c>
      <c r="I36" s="583">
        <v>86.309202718739897</v>
      </c>
      <c r="J36" s="583">
        <v>16.944116441307902</v>
      </c>
      <c r="K36" s="583">
        <v>16.842105263157901</v>
      </c>
      <c r="L36" s="583">
        <v>17.5542866858564</v>
      </c>
      <c r="M36" s="583">
        <v>17.463817153834398</v>
      </c>
      <c r="N36" s="583">
        <v>130.93195295406699</v>
      </c>
      <c r="O36" s="583">
        <v>130.27199889462</v>
      </c>
      <c r="P36" s="540" t="s">
        <v>561</v>
      </c>
      <c r="Q36" s="371">
        <v>15.443514981061201</v>
      </c>
      <c r="R36" s="371">
        <v>15.439842513606401</v>
      </c>
      <c r="S36" s="371">
        <v>1.42811661997608</v>
      </c>
      <c r="T36" s="371">
        <v>1.42704245451302</v>
      </c>
      <c r="U36" s="371">
        <v>7.71548464537373E-3</v>
      </c>
      <c r="V36" s="371">
        <v>7.6420952077694603E-3</v>
      </c>
      <c r="W36" s="371">
        <v>2.85680289859787E-3</v>
      </c>
      <c r="X36" s="371">
        <v>2.8569727992381398E-3</v>
      </c>
      <c r="Y36" s="371">
        <v>0.80278728412784695</v>
      </c>
      <c r="Z36" s="371">
        <v>0.78216660148611605</v>
      </c>
      <c r="AA36" s="371">
        <v>391.56129501059598</v>
      </c>
      <c r="AB36" s="371">
        <v>391.51712887438799</v>
      </c>
      <c r="AC36" s="371">
        <v>27.9338499351446</v>
      </c>
      <c r="AD36" s="371">
        <v>27.403516784653998</v>
      </c>
      <c r="AE36" s="540" t="s">
        <v>561</v>
      </c>
      <c r="AF36" s="371">
        <v>5.7141975308641998E-2</v>
      </c>
      <c r="AG36" s="371">
        <v>5.7142857142857099E-2</v>
      </c>
      <c r="AH36" s="371">
        <v>1.01390926807349</v>
      </c>
      <c r="AI36" s="371">
        <v>1.0061180360911299</v>
      </c>
      <c r="AJ36" s="371">
        <v>73.182837738905903</v>
      </c>
      <c r="AK36" s="371">
        <v>71.675997990959303</v>
      </c>
      <c r="AL36" s="371">
        <v>11.106183042852299</v>
      </c>
      <c r="AM36" s="371">
        <v>10.9493047191503</v>
      </c>
      <c r="AN36" s="371">
        <v>311.69100134017799</v>
      </c>
      <c r="AO36" s="371">
        <v>311.68831168831201</v>
      </c>
      <c r="AP36" s="371">
        <v>0.43190489548933902</v>
      </c>
      <c r="AQ36" s="371">
        <v>0.4320043200432</v>
      </c>
      <c r="AR36" s="371">
        <v>2.09120699945306</v>
      </c>
      <c r="AS36" s="371">
        <v>2.0639834881320902</v>
      </c>
      <c r="AT36" s="540" t="s">
        <v>561</v>
      </c>
      <c r="AU36" s="440">
        <v>32.914614076892697</v>
      </c>
      <c r="AV36" s="371">
        <v>32.912781130005499</v>
      </c>
      <c r="AW36" s="371">
        <v>1.2494170436435099</v>
      </c>
      <c r="AX36" s="371">
        <v>1.2382623052316599</v>
      </c>
      <c r="AY36" s="371">
        <v>31.9567742844281</v>
      </c>
      <c r="AZ36" s="371">
        <v>31.951433820592701</v>
      </c>
      <c r="BA36" s="371">
        <v>8.8236945331789496E-2</v>
      </c>
      <c r="BB36" s="371">
        <v>8.70760936213133E-2</v>
      </c>
      <c r="BC36" s="371">
        <v>91.6627773043855</v>
      </c>
      <c r="BD36" s="371">
        <v>90.747532801451996</v>
      </c>
      <c r="BE36" s="371">
        <v>11.4783000299519</v>
      </c>
      <c r="BF36" s="371">
        <v>11.2269671751547</v>
      </c>
      <c r="BG36" s="371">
        <v>0.40894600182199797</v>
      </c>
      <c r="BH36" s="371">
        <v>0.40962621607782901</v>
      </c>
      <c r="BI36" s="540" t="s">
        <v>561</v>
      </c>
      <c r="BJ36" s="583">
        <v>139.47144896225899</v>
      </c>
      <c r="BK36" s="583">
        <v>138.448226132103</v>
      </c>
      <c r="BL36" s="583">
        <v>9.2282738493288004E-3</v>
      </c>
      <c r="BM36" s="583">
        <v>9.22722029988466E-3</v>
      </c>
      <c r="BN36" s="583">
        <v>160.34066406445001</v>
      </c>
      <c r="BO36" s="583">
        <v>159.78695073235701</v>
      </c>
      <c r="BP36" s="583">
        <v>3.5950224697469402</v>
      </c>
      <c r="BQ36" s="583">
        <v>3.5571365051133799</v>
      </c>
      <c r="BR36" s="583">
        <v>32.670254764158997</v>
      </c>
      <c r="BS36" s="583">
        <v>32.670396536938</v>
      </c>
      <c r="BT36" s="583">
        <v>119.998148148148</v>
      </c>
      <c r="BU36" s="583">
        <v>120</v>
      </c>
      <c r="BV36" s="583">
        <v>156.844650634544</v>
      </c>
      <c r="BW36" s="583">
        <v>155.549999768563</v>
      </c>
    </row>
    <row r="37" spans="1:75" s="1859" customFormat="1" ht="11.45" customHeight="1">
      <c r="A37" s="537" t="s">
        <v>562</v>
      </c>
      <c r="B37" s="584">
        <v>78.359514758875093</v>
      </c>
      <c r="C37" s="584">
        <v>77.963992611974703</v>
      </c>
      <c r="D37" s="584">
        <v>120</v>
      </c>
      <c r="E37" s="584">
        <v>120</v>
      </c>
      <c r="F37" s="584">
        <v>318.317590329175</v>
      </c>
      <c r="G37" s="584">
        <v>318.30238726790498</v>
      </c>
      <c r="H37" s="584">
        <v>85.897106130729199</v>
      </c>
      <c r="I37" s="584">
        <v>85.531004989308599</v>
      </c>
      <c r="J37" s="584">
        <v>16.7308122660239</v>
      </c>
      <c r="K37" s="584">
        <v>16.6912398809358</v>
      </c>
      <c r="L37" s="584">
        <v>17.115525926106201</v>
      </c>
      <c r="M37" s="584">
        <v>17.0010200612037</v>
      </c>
      <c r="N37" s="584">
        <v>127.657438663956</v>
      </c>
      <c r="O37" s="584">
        <v>126.791995457127</v>
      </c>
      <c r="P37" s="537" t="s">
        <v>562</v>
      </c>
      <c r="Q37" s="357">
        <v>15.4248511908828</v>
      </c>
      <c r="R37" s="357">
        <v>15.420894026331201</v>
      </c>
      <c r="S37" s="357">
        <v>1.42296419201441</v>
      </c>
      <c r="T37" s="357">
        <v>1.42146410803127</v>
      </c>
      <c r="U37" s="357">
        <v>7.5852482485636204E-3</v>
      </c>
      <c r="V37" s="357">
        <v>7.5662042875157603E-3</v>
      </c>
      <c r="W37" s="357">
        <v>2.8569727992381398E-3</v>
      </c>
      <c r="X37" s="357">
        <v>2.8569727992381398E-3</v>
      </c>
      <c r="Y37" s="357">
        <v>0.78030803226088896</v>
      </c>
      <c r="Z37" s="357">
        <v>0.794097210733547</v>
      </c>
      <c r="AA37" s="357">
        <v>390.53684667703101</v>
      </c>
      <c r="AB37" s="357">
        <v>390.37085230969399</v>
      </c>
      <c r="AC37" s="357">
        <v>27.05564112231</v>
      </c>
      <c r="AD37" s="357">
        <v>27.002700270026999</v>
      </c>
      <c r="AE37" s="537" t="s">
        <v>562</v>
      </c>
      <c r="AF37" s="357">
        <v>5.7142857142857099E-2</v>
      </c>
      <c r="AG37" s="357">
        <v>5.7142857142857099E-2</v>
      </c>
      <c r="AH37" s="357">
        <v>1.0002385596497001</v>
      </c>
      <c r="AI37" s="357">
        <v>0.99391969625814103</v>
      </c>
      <c r="AJ37" s="357">
        <v>70.932234013297204</v>
      </c>
      <c r="AK37" s="357">
        <v>70.733999491050994</v>
      </c>
      <c r="AL37" s="357">
        <v>10.8542629278978</v>
      </c>
      <c r="AM37" s="357">
        <v>10.8478498657578</v>
      </c>
      <c r="AN37" s="357">
        <v>311.68507378869703</v>
      </c>
      <c r="AO37" s="357">
        <v>311.64783794312399</v>
      </c>
      <c r="AP37" s="357">
        <v>0.43165172168162702</v>
      </c>
      <c r="AQ37" s="357">
        <v>0.4320043200432</v>
      </c>
      <c r="AR37" s="357">
        <v>2.0441073650074602</v>
      </c>
      <c r="AS37" s="357">
        <v>2.0467337540508299</v>
      </c>
      <c r="AT37" s="537" t="s">
        <v>562</v>
      </c>
      <c r="AU37" s="536">
        <v>32.914533494497199</v>
      </c>
      <c r="AV37" s="357">
        <v>32.917746780232903</v>
      </c>
      <c r="AW37" s="357">
        <v>1.1950946914163101</v>
      </c>
      <c r="AX37" s="357">
        <v>1.06053910737958</v>
      </c>
      <c r="AY37" s="357">
        <v>31.954177952341698</v>
      </c>
      <c r="AZ37" s="357">
        <v>31.953135401411298</v>
      </c>
      <c r="BA37" s="357">
        <v>8.6017282157839006E-2</v>
      </c>
      <c r="BB37" s="357">
        <v>8.5966043412851897E-2</v>
      </c>
      <c r="BC37" s="357">
        <v>89.827027543271498</v>
      </c>
      <c r="BD37" s="357">
        <v>89.528854403700507</v>
      </c>
      <c r="BE37" s="357">
        <v>11.012100769412299</v>
      </c>
      <c r="BF37" s="357">
        <v>10.975040927756799</v>
      </c>
      <c r="BG37" s="357">
        <v>0.41107762451966201</v>
      </c>
      <c r="BH37" s="357">
        <v>0.41244200034370199</v>
      </c>
      <c r="BI37" s="537" t="s">
        <v>562</v>
      </c>
      <c r="BJ37" s="584">
        <v>136.33441836686899</v>
      </c>
      <c r="BK37" s="584">
        <v>136.092996881202</v>
      </c>
      <c r="BL37" s="584">
        <v>9.22722029988466E-3</v>
      </c>
      <c r="BM37" s="584">
        <v>9.22722029988466E-3</v>
      </c>
      <c r="BN37" s="584">
        <v>158.13035780940601</v>
      </c>
      <c r="BO37" s="584">
        <v>157.66653527788699</v>
      </c>
      <c r="BP37" s="584">
        <v>3.4842833561882101</v>
      </c>
      <c r="BQ37" s="584">
        <v>3.4853325588149899</v>
      </c>
      <c r="BR37" s="584">
        <v>32.671143740522503</v>
      </c>
      <c r="BS37" s="584">
        <v>32.671730784938298</v>
      </c>
      <c r="BT37" s="584">
        <v>120</v>
      </c>
      <c r="BU37" s="584">
        <v>120</v>
      </c>
      <c r="BV37" s="584">
        <v>153.08159620054201</v>
      </c>
      <c r="BW37" s="584">
        <v>152.153997870578</v>
      </c>
    </row>
    <row r="38" spans="1:75" s="1859" customFormat="1" ht="11.45" customHeight="1">
      <c r="A38" s="540" t="s">
        <v>555</v>
      </c>
      <c r="B38" s="583">
        <v>76.081546944185504</v>
      </c>
      <c r="C38" s="583">
        <v>74.651982639446999</v>
      </c>
      <c r="D38" s="583">
        <v>120</v>
      </c>
      <c r="E38" s="583">
        <v>120</v>
      </c>
      <c r="F38" s="583">
        <v>318.13052965008302</v>
      </c>
      <c r="G38" s="583">
        <v>318.09145129224697</v>
      </c>
      <c r="H38" s="583">
        <v>84.261948838928205</v>
      </c>
      <c r="I38" s="583">
        <v>83.594566353187005</v>
      </c>
      <c r="J38" s="583">
        <v>16.693091579266301</v>
      </c>
      <c r="K38" s="583">
        <v>16.693561849646599</v>
      </c>
      <c r="L38" s="583">
        <v>16.853946982387399</v>
      </c>
      <c r="M38" s="583">
        <v>16.745626949295598</v>
      </c>
      <c r="N38" s="583">
        <v>125.71177613752501</v>
      </c>
      <c r="O38" s="583">
        <v>124.889999711746</v>
      </c>
      <c r="P38" s="540" t="s">
        <v>555</v>
      </c>
      <c r="Q38" s="371">
        <v>15.4355348699365</v>
      </c>
      <c r="R38" s="371">
        <v>15.451174289246</v>
      </c>
      <c r="S38" s="371">
        <v>1.4131540556825299</v>
      </c>
      <c r="T38" s="371">
        <v>1.4034841494008901</v>
      </c>
      <c r="U38" s="371">
        <v>7.4804528785265998E-3</v>
      </c>
      <c r="V38" s="371">
        <v>7.4360960495739696E-3</v>
      </c>
      <c r="W38" s="371">
        <v>2.85684698768427E-3</v>
      </c>
      <c r="X38" s="371">
        <v>2.8569727992381398E-3</v>
      </c>
      <c r="Y38" s="371">
        <v>0.78151948954206196</v>
      </c>
      <c r="Z38" s="371">
        <v>0.76508655041601603</v>
      </c>
      <c r="AA38" s="371">
        <v>389.94611230972299</v>
      </c>
      <c r="AB38" s="371">
        <v>389.61038961038997</v>
      </c>
      <c r="AC38" s="371">
        <v>26.9074050708671</v>
      </c>
      <c r="AD38" s="371">
        <v>26.8456375838926</v>
      </c>
      <c r="AE38" s="540" t="s">
        <v>555</v>
      </c>
      <c r="AF38" s="371">
        <v>5.7142857142857099E-2</v>
      </c>
      <c r="AG38" s="371">
        <v>5.7142857142857099E-2</v>
      </c>
      <c r="AH38" s="371">
        <v>0.99306093622990699</v>
      </c>
      <c r="AI38" s="371">
        <v>0.98808533763699402</v>
      </c>
      <c r="AJ38" s="371">
        <v>69.023994736024093</v>
      </c>
      <c r="AK38" s="371">
        <v>67.673999468037906</v>
      </c>
      <c r="AL38" s="371">
        <v>10.699012025547299</v>
      </c>
      <c r="AM38" s="371">
        <v>10.5936879276098</v>
      </c>
      <c r="AN38" s="371">
        <v>311.68681577597903</v>
      </c>
      <c r="AO38" s="371">
        <v>311.68831168831201</v>
      </c>
      <c r="AP38" s="371">
        <v>0.43139488643833801</v>
      </c>
      <c r="AQ38" s="371">
        <v>0.43111190946649902</v>
      </c>
      <c r="AR38" s="371">
        <v>2.0547640162456302</v>
      </c>
      <c r="AS38" s="371">
        <v>2.0750475531730901</v>
      </c>
      <c r="AT38" s="540" t="s">
        <v>555</v>
      </c>
      <c r="AU38" s="440">
        <v>32.916944363669998</v>
      </c>
      <c r="AV38" s="371">
        <v>32.9172952955699</v>
      </c>
      <c r="AW38" s="371">
        <v>1.1575102093701499</v>
      </c>
      <c r="AX38" s="371">
        <v>1.1347517730496499</v>
      </c>
      <c r="AY38" s="371">
        <v>31.942349631606</v>
      </c>
      <c r="AZ38" s="371">
        <v>31.953135401411298</v>
      </c>
      <c r="BA38" s="371">
        <v>8.34684712690444E-2</v>
      </c>
      <c r="BB38" s="371">
        <v>8.1430461778577004E-2</v>
      </c>
      <c r="BC38" s="371">
        <v>88.880180543925405</v>
      </c>
      <c r="BD38" s="371">
        <v>88.232050292268696</v>
      </c>
      <c r="BE38" s="371">
        <v>10.9160887479092</v>
      </c>
      <c r="BF38" s="371">
        <v>10.8917136750003</v>
      </c>
      <c r="BG38" s="371">
        <v>0.41132143248157599</v>
      </c>
      <c r="BH38" s="371">
        <v>0.41032655154727299</v>
      </c>
      <c r="BI38" s="540" t="s">
        <v>555</v>
      </c>
      <c r="BJ38" s="583">
        <v>134.70471290203599</v>
      </c>
      <c r="BK38" s="583">
        <v>132.765392487692</v>
      </c>
      <c r="BL38" s="583">
        <v>9.22722029988466E-3</v>
      </c>
      <c r="BM38" s="583">
        <v>9.22722029988466E-3</v>
      </c>
      <c r="BN38" s="583">
        <v>157.19083157398899</v>
      </c>
      <c r="BO38" s="583">
        <v>156.49452269170601</v>
      </c>
      <c r="BP38" s="583">
        <v>3.51101039027697</v>
      </c>
      <c r="BQ38" s="583">
        <v>3.5010940919037199</v>
      </c>
      <c r="BR38" s="583">
        <v>32.670841281786601</v>
      </c>
      <c r="BS38" s="583">
        <v>32.670841274162797</v>
      </c>
      <c r="BT38" s="583">
        <v>120</v>
      </c>
      <c r="BU38" s="583">
        <v>120</v>
      </c>
      <c r="BV38" s="583">
        <v>151.79377527937399</v>
      </c>
      <c r="BW38" s="583">
        <v>150.62399904397699</v>
      </c>
    </row>
    <row r="39" spans="1:75" s="1859" customFormat="1" ht="11.45" customHeight="1">
      <c r="A39" s="537" t="s">
        <v>563</v>
      </c>
      <c r="B39" s="584">
        <v>75.928300564742003</v>
      </c>
      <c r="C39" s="584">
        <v>76.024295594961103</v>
      </c>
      <c r="D39" s="584">
        <v>121.92592592592599</v>
      </c>
      <c r="E39" s="584">
        <v>122</v>
      </c>
      <c r="F39" s="584">
        <v>323.41413211892399</v>
      </c>
      <c r="G39" s="584">
        <v>323.607427055703</v>
      </c>
      <c r="H39" s="584">
        <v>84.758451714869693</v>
      </c>
      <c r="I39" s="584">
        <v>84.607649363708902</v>
      </c>
      <c r="J39" s="584">
        <v>16.9777013163656</v>
      </c>
      <c r="K39" s="584">
        <v>17.015816340762601</v>
      </c>
      <c r="L39" s="584">
        <v>16.925244722490898</v>
      </c>
      <c r="M39" s="584">
        <v>17.037916346623799</v>
      </c>
      <c r="N39" s="584">
        <v>126.27576889928299</v>
      </c>
      <c r="O39" s="584">
        <v>127.13009970730801</v>
      </c>
      <c r="P39" s="537" t="s">
        <v>563</v>
      </c>
      <c r="Q39" s="357">
        <v>15.6654311579058</v>
      </c>
      <c r="R39" s="357">
        <v>15.656883253551699</v>
      </c>
      <c r="S39" s="357">
        <v>1.41440530809868</v>
      </c>
      <c r="T39" s="357">
        <v>1.40812557710065</v>
      </c>
      <c r="U39" s="357">
        <v>7.5051326352812003E-3</v>
      </c>
      <c r="V39" s="357">
        <v>7.5081543479598696E-3</v>
      </c>
      <c r="W39" s="357">
        <v>2.9026975406893601E-3</v>
      </c>
      <c r="X39" s="357">
        <v>2.9045890125587799E-3</v>
      </c>
      <c r="Y39" s="357">
        <v>0.77809729978810804</v>
      </c>
      <c r="Z39" s="357">
        <v>0.78595587051054905</v>
      </c>
      <c r="AA39" s="357">
        <v>395.36187279014399</v>
      </c>
      <c r="AB39" s="357">
        <v>395.65428895735403</v>
      </c>
      <c r="AC39" s="357">
        <v>27.299359297185401</v>
      </c>
      <c r="AD39" s="357">
        <v>27.771454586842701</v>
      </c>
      <c r="AE39" s="537" t="s">
        <v>563</v>
      </c>
      <c r="AF39" s="357">
        <v>5.80599647266314E-2</v>
      </c>
      <c r="AG39" s="357">
        <v>5.8095238095238103E-2</v>
      </c>
      <c r="AH39" s="357">
        <v>1.0019123435106501</v>
      </c>
      <c r="AI39" s="357">
        <v>1.0060171369247</v>
      </c>
      <c r="AJ39" s="357">
        <v>68.630551655448897</v>
      </c>
      <c r="AK39" s="357">
        <v>69.033699460987904</v>
      </c>
      <c r="AL39" s="357">
        <v>10.748671443048099</v>
      </c>
      <c r="AM39" s="357">
        <v>10.806023029229401</v>
      </c>
      <c r="AN39" s="357">
        <v>316.70901314253501</v>
      </c>
      <c r="AO39" s="357">
        <v>316.883116883117</v>
      </c>
      <c r="AP39" s="357">
        <v>0.43756655401266198</v>
      </c>
      <c r="AQ39" s="357">
        <v>0.43751120674197602</v>
      </c>
      <c r="AR39" s="357">
        <v>2.0876804809355298</v>
      </c>
      <c r="AS39" s="357">
        <v>2.0897567660157601</v>
      </c>
      <c r="AT39" s="537" t="s">
        <v>563</v>
      </c>
      <c r="AU39" s="536">
        <v>33.443488486644597</v>
      </c>
      <c r="AV39" s="357">
        <v>33.463163091776799</v>
      </c>
      <c r="AW39" s="357">
        <v>1.1828411241058401</v>
      </c>
      <c r="AX39" s="357">
        <v>1.2409724341369099</v>
      </c>
      <c r="AY39" s="357">
        <v>32.4857153498887</v>
      </c>
      <c r="AZ39" s="357">
        <v>32.5272615778388</v>
      </c>
      <c r="BA39" s="357">
        <v>8.3885532280718503E-2</v>
      </c>
      <c r="BB39" s="357">
        <v>8.46237883018017E-2</v>
      </c>
      <c r="BC39" s="357">
        <v>89.560997014799199</v>
      </c>
      <c r="BD39" s="357">
        <v>90.403853278992202</v>
      </c>
      <c r="BE39" s="357">
        <v>10.9999808560773</v>
      </c>
      <c r="BF39" s="357">
        <v>11.100849396959999</v>
      </c>
      <c r="BG39" s="357">
        <v>0.41201960117089897</v>
      </c>
      <c r="BH39" s="357">
        <v>0.41164065795023203</v>
      </c>
      <c r="BI39" s="537" t="s">
        <v>563</v>
      </c>
      <c r="BJ39" s="584">
        <v>134.10026975887399</v>
      </c>
      <c r="BK39" s="584">
        <v>134.531620444395</v>
      </c>
      <c r="BL39" s="584">
        <v>9.3753114898828104E-3</v>
      </c>
      <c r="BM39" s="584">
        <v>9.3810073048827408E-3</v>
      </c>
      <c r="BN39" s="584">
        <v>158.63477034598401</v>
      </c>
      <c r="BO39" s="584">
        <v>158.44155844155799</v>
      </c>
      <c r="BP39" s="584">
        <v>3.55801195345349</v>
      </c>
      <c r="BQ39" s="584">
        <v>3.6142793660198498</v>
      </c>
      <c r="BR39" s="584">
        <v>33.195288608070499</v>
      </c>
      <c r="BS39" s="584">
        <v>33.216259631353999</v>
      </c>
      <c r="BT39" s="584">
        <v>121.92592592592599</v>
      </c>
      <c r="BU39" s="584">
        <v>122</v>
      </c>
      <c r="BV39" s="584">
        <v>150.77746961059</v>
      </c>
      <c r="BW39" s="584">
        <v>151.90828015901701</v>
      </c>
    </row>
    <row r="40" spans="1:75" s="1859" customFormat="1" ht="11.45" customHeight="1">
      <c r="A40" s="540" t="s">
        <v>564</v>
      </c>
      <c r="B40" s="583">
        <v>76.899644782234503</v>
      </c>
      <c r="C40" s="583">
        <v>76.939299516372003</v>
      </c>
      <c r="D40" s="583">
        <v>122</v>
      </c>
      <c r="E40" s="583">
        <v>122</v>
      </c>
      <c r="F40" s="583">
        <v>323.662880628133</v>
      </c>
      <c r="G40" s="583">
        <v>323.69328734412301</v>
      </c>
      <c r="H40" s="583">
        <v>85.330878627184504</v>
      </c>
      <c r="I40" s="583">
        <v>85.091543156059302</v>
      </c>
      <c r="J40" s="583">
        <v>17.013127733911102</v>
      </c>
      <c r="K40" s="583">
        <v>17.005854474491201</v>
      </c>
      <c r="L40" s="583">
        <v>17.034209978134701</v>
      </c>
      <c r="M40" s="583">
        <v>17.149885784572099</v>
      </c>
      <c r="N40" s="583">
        <v>127.06960638426</v>
      </c>
      <c r="O40" s="583">
        <v>127.910897381849</v>
      </c>
      <c r="P40" s="540" t="s">
        <v>564</v>
      </c>
      <c r="Q40" s="371">
        <v>15.674957702059301</v>
      </c>
      <c r="R40" s="371">
        <v>15.693235829458301</v>
      </c>
      <c r="S40" s="371">
        <v>1.4027674136913699</v>
      </c>
      <c r="T40" s="371">
        <v>1.4000378698768099</v>
      </c>
      <c r="U40" s="371">
        <v>7.4655968286859798E-3</v>
      </c>
      <c r="V40" s="371">
        <v>7.4197962596928698E-3</v>
      </c>
      <c r="W40" s="371">
        <v>2.9044451155940398E-3</v>
      </c>
      <c r="X40" s="371">
        <v>2.9045890125587799E-3</v>
      </c>
      <c r="Y40" s="371">
        <v>0.802849584712644</v>
      </c>
      <c r="Z40" s="371">
        <v>0.81829767254678398</v>
      </c>
      <c r="AA40" s="371">
        <v>395.28320430438902</v>
      </c>
      <c r="AB40" s="371">
        <v>395.52601718268801</v>
      </c>
      <c r="AC40" s="371">
        <v>27.460285981932302</v>
      </c>
      <c r="AD40" s="371">
        <v>27.443482172983899</v>
      </c>
      <c r="AE40" s="540" t="s">
        <v>564</v>
      </c>
      <c r="AF40" s="371">
        <v>5.8095238095238103E-2</v>
      </c>
      <c r="AG40" s="371">
        <v>5.8095238095238103E-2</v>
      </c>
      <c r="AH40" s="371">
        <v>1.0071984045397</v>
      </c>
      <c r="AI40" s="371">
        <v>1.01194845698597</v>
      </c>
      <c r="AJ40" s="371">
        <v>69.372501549491304</v>
      </c>
      <c r="AK40" s="371">
        <v>69.485095180405594</v>
      </c>
      <c r="AL40" s="371">
        <v>10.897059586212601</v>
      </c>
      <c r="AM40" s="371">
        <v>10.9422928588085</v>
      </c>
      <c r="AN40" s="371">
        <v>316.883116883117</v>
      </c>
      <c r="AO40" s="371">
        <v>316.883116883117</v>
      </c>
      <c r="AP40" s="371">
        <v>0.43688642743010597</v>
      </c>
      <c r="AQ40" s="371">
        <v>0.43590888789638199</v>
      </c>
      <c r="AR40" s="371">
        <v>2.1001273903128901</v>
      </c>
      <c r="AS40" s="371">
        <v>2.1065354398687699</v>
      </c>
      <c r="AT40" s="540" t="s">
        <v>564</v>
      </c>
      <c r="AU40" s="440">
        <v>33.466223321924303</v>
      </c>
      <c r="AV40" s="371">
        <v>33.475099464947199</v>
      </c>
      <c r="AW40" s="371">
        <v>1.31199133261596</v>
      </c>
      <c r="AX40" s="371">
        <v>1.40512525194356</v>
      </c>
      <c r="AY40" s="371">
        <v>32.529755286378297</v>
      </c>
      <c r="AZ40" s="371">
        <v>32.530730874863302</v>
      </c>
      <c r="BA40" s="371">
        <v>8.4387771730699904E-2</v>
      </c>
      <c r="BB40" s="371">
        <v>8.4610583258201005E-2</v>
      </c>
      <c r="BC40" s="371">
        <v>90.587270271411995</v>
      </c>
      <c r="BD40" s="371">
        <v>91.1331889146186</v>
      </c>
      <c r="BE40" s="371">
        <v>11.273753151074599</v>
      </c>
      <c r="BF40" s="371">
        <v>11.4291067497307</v>
      </c>
      <c r="BG40" s="371">
        <v>0.411018906805035</v>
      </c>
      <c r="BH40" s="371">
        <v>0.41296437336041297</v>
      </c>
      <c r="BI40" s="540" t="s">
        <v>564</v>
      </c>
      <c r="BJ40" s="583">
        <v>134.93847311484399</v>
      </c>
      <c r="BK40" s="583">
        <v>136.35093601564699</v>
      </c>
      <c r="BL40" s="583">
        <v>9.3810073048827408E-3</v>
      </c>
      <c r="BM40" s="583">
        <v>9.3810073048827408E-3</v>
      </c>
      <c r="BN40" s="583">
        <v>159.56087739124601</v>
      </c>
      <c r="BO40" s="583">
        <v>159.70676790155801</v>
      </c>
      <c r="BP40" s="583">
        <v>3.6106655508998702</v>
      </c>
      <c r="BQ40" s="583">
        <v>3.5998819710829202</v>
      </c>
      <c r="BR40" s="583">
        <v>33.215732134364998</v>
      </c>
      <c r="BS40" s="583">
        <v>33.217164016554101</v>
      </c>
      <c r="BT40" s="583">
        <v>122</v>
      </c>
      <c r="BU40" s="583">
        <v>122</v>
      </c>
      <c r="BV40" s="583">
        <v>152.874130218658</v>
      </c>
      <c r="BW40" s="583">
        <v>154.61669783406299</v>
      </c>
    </row>
    <row r="41" spans="1:75" s="1859" customFormat="1" ht="11.45" customHeight="1">
      <c r="A41" s="537" t="s">
        <v>556</v>
      </c>
      <c r="B41" s="584">
        <v>76.881815638043193</v>
      </c>
      <c r="C41" s="584">
        <v>76.914895645967206</v>
      </c>
      <c r="D41" s="584">
        <v>122</v>
      </c>
      <c r="E41" s="584">
        <v>122</v>
      </c>
      <c r="F41" s="584">
        <v>323.62559090340397</v>
      </c>
      <c r="G41" s="584">
        <v>323.56451399018698</v>
      </c>
      <c r="H41" s="584">
        <v>84.959990385121003</v>
      </c>
      <c r="I41" s="584">
        <v>85.2848654316672</v>
      </c>
      <c r="J41" s="584">
        <v>16.981827685685101</v>
      </c>
      <c r="K41" s="584">
        <v>16.787643193780301</v>
      </c>
      <c r="L41" s="584">
        <v>17.633214823196301</v>
      </c>
      <c r="M41" s="584">
        <v>17.5857123294582</v>
      </c>
      <c r="N41" s="584">
        <v>131.60304027438301</v>
      </c>
      <c r="O41" s="584">
        <v>131.778299717632</v>
      </c>
      <c r="P41" s="537" t="s">
        <v>556</v>
      </c>
      <c r="Q41" s="357">
        <v>15.695773530714</v>
      </c>
      <c r="R41" s="357">
        <v>15.6889977688187</v>
      </c>
      <c r="S41" s="357">
        <v>1.4087324221975699</v>
      </c>
      <c r="T41" s="357">
        <v>1.4244016345592501</v>
      </c>
      <c r="U41" s="357">
        <v>7.4104305373381201E-3</v>
      </c>
      <c r="V41" s="357">
        <v>7.3671497584541102E-3</v>
      </c>
      <c r="W41" s="357">
        <v>2.90342179182172E-3</v>
      </c>
      <c r="X41" s="357">
        <v>2.8970020777678799E-3</v>
      </c>
      <c r="Y41" s="357">
        <v>0.81696088254106003</v>
      </c>
      <c r="Z41" s="357">
        <v>0.80765284168018303</v>
      </c>
      <c r="AA41" s="357">
        <v>395.718820224463</v>
      </c>
      <c r="AB41" s="357">
        <v>395.59014267185501</v>
      </c>
      <c r="AC41" s="357">
        <v>27.501184692593799</v>
      </c>
      <c r="AD41" s="357">
        <v>27.536395440695198</v>
      </c>
      <c r="AE41" s="537" t="s">
        <v>556</v>
      </c>
      <c r="AF41" s="357">
        <v>5.8095238095238103E-2</v>
      </c>
      <c r="AG41" s="357">
        <v>5.8095238095238103E-2</v>
      </c>
      <c r="AH41" s="357">
        <v>1.0219299021541901</v>
      </c>
      <c r="AI41" s="357">
        <v>1.02304106503606</v>
      </c>
      <c r="AJ41" s="357">
        <v>69.835842335413005</v>
      </c>
      <c r="AK41" s="357">
        <v>69.899899467667296</v>
      </c>
      <c r="AL41" s="357">
        <v>11.376343682202201</v>
      </c>
      <c r="AM41" s="357">
        <v>11.5557660430973</v>
      </c>
      <c r="AN41" s="357">
        <v>316.89736957457899</v>
      </c>
      <c r="AO41" s="357">
        <v>316.883116883117</v>
      </c>
      <c r="AP41" s="357">
        <v>0.435632256996353</v>
      </c>
      <c r="AQ41" s="357">
        <v>0.43528677192043502</v>
      </c>
      <c r="AR41" s="357">
        <v>2.1248412747848602</v>
      </c>
      <c r="AS41" s="357">
        <v>2.1201352020645299</v>
      </c>
      <c r="AT41" s="537" t="s">
        <v>556</v>
      </c>
      <c r="AU41" s="536">
        <v>33.470878583308902</v>
      </c>
      <c r="AV41" s="357">
        <v>33.4682120567862</v>
      </c>
      <c r="AW41" s="357">
        <v>1.4150184158104799</v>
      </c>
      <c r="AX41" s="357">
        <v>1.4510853404698201</v>
      </c>
      <c r="AY41" s="357">
        <v>32.526344807694798</v>
      </c>
      <c r="AZ41" s="357">
        <v>32.522925997014298</v>
      </c>
      <c r="BA41" s="357">
        <v>8.3709544584847306E-2</v>
      </c>
      <c r="BB41" s="357">
        <v>8.3242358078602599E-2</v>
      </c>
      <c r="BC41" s="357">
        <v>91.307735690825595</v>
      </c>
      <c r="BD41" s="357">
        <v>91.075361128737299</v>
      </c>
      <c r="BE41" s="357">
        <v>11.999370715423201</v>
      </c>
      <c r="BF41" s="357">
        <v>12.1982922390865</v>
      </c>
      <c r="BG41" s="357">
        <v>0.41243911226903002</v>
      </c>
      <c r="BH41" s="357">
        <v>0.41181434599156103</v>
      </c>
      <c r="BI41" s="537" t="s">
        <v>556</v>
      </c>
      <c r="BJ41" s="584">
        <v>137.84514875281801</v>
      </c>
      <c r="BK41" s="584">
        <v>138.063713008544</v>
      </c>
      <c r="BL41" s="584">
        <v>9.3810073048827408E-3</v>
      </c>
      <c r="BM41" s="584">
        <v>9.3810073048827408E-3</v>
      </c>
      <c r="BN41" s="584">
        <v>161.99413408109999</v>
      </c>
      <c r="BO41" s="584">
        <v>162.10470369386101</v>
      </c>
      <c r="BP41" s="584">
        <v>3.6074077318139701</v>
      </c>
      <c r="BQ41" s="584">
        <v>3.5972283650302201</v>
      </c>
      <c r="BR41" s="584">
        <v>33.217181442909101</v>
      </c>
      <c r="BS41" s="584">
        <v>33.216259631353999</v>
      </c>
      <c r="BT41" s="584">
        <v>122</v>
      </c>
      <c r="BU41" s="584">
        <v>122</v>
      </c>
      <c r="BV41" s="584">
        <v>157.345504035809</v>
      </c>
      <c r="BW41" s="584">
        <v>157.97778492547701</v>
      </c>
    </row>
    <row r="42" spans="1:75" s="1859" customFormat="1" ht="11.45" customHeight="1">
      <c r="A42" s="540" t="s">
        <v>565</v>
      </c>
      <c r="B42" s="583">
        <v>76.655642218153503</v>
      </c>
      <c r="C42" s="583">
        <v>77.884782800751907</v>
      </c>
      <c r="D42" s="583">
        <v>122</v>
      </c>
      <c r="E42" s="583">
        <v>122</v>
      </c>
      <c r="F42" s="583">
        <v>323.63054284829798</v>
      </c>
      <c r="G42" s="583">
        <v>323.650351505505</v>
      </c>
      <c r="H42" s="583">
        <v>87.128452111227602</v>
      </c>
      <c r="I42" s="583">
        <v>88.191708533632095</v>
      </c>
      <c r="J42" s="583">
        <v>16.907739683344701</v>
      </c>
      <c r="K42" s="583">
        <v>16.9411503318799</v>
      </c>
      <c r="L42" s="583">
        <v>18.268301559367298</v>
      </c>
      <c r="M42" s="583">
        <v>18.608482112215199</v>
      </c>
      <c r="N42" s="583">
        <v>136.50837971894001</v>
      </c>
      <c r="O42" s="583">
        <v>138.90309973211501</v>
      </c>
      <c r="P42" s="540" t="s">
        <v>565</v>
      </c>
      <c r="Q42" s="371">
        <v>15.714307863649999</v>
      </c>
      <c r="R42" s="371">
        <v>15.7239797134885</v>
      </c>
      <c r="S42" s="371">
        <v>1.4238374444595701</v>
      </c>
      <c r="T42" s="371">
        <v>1.4326899928952701</v>
      </c>
      <c r="U42" s="371">
        <v>7.2768478488542798E-3</v>
      </c>
      <c r="V42" s="371">
        <v>7.2966507177033499E-3</v>
      </c>
      <c r="W42" s="371">
        <v>2.9031299866374501E-3</v>
      </c>
      <c r="X42" s="371">
        <v>2.9045890125587799E-3</v>
      </c>
      <c r="Y42" s="371">
        <v>0.84136432837806996</v>
      </c>
      <c r="Z42" s="371">
        <v>0.85698229839842699</v>
      </c>
      <c r="AA42" s="371">
        <v>397.19766895702901</v>
      </c>
      <c r="AB42" s="371">
        <v>398.23731026603599</v>
      </c>
      <c r="AC42" s="371">
        <v>27.6307406690302</v>
      </c>
      <c r="AD42" s="371">
        <v>28.2734646581692</v>
      </c>
      <c r="AE42" s="540" t="s">
        <v>565</v>
      </c>
      <c r="AF42" s="371">
        <v>5.8095238095238103E-2</v>
      </c>
      <c r="AG42" s="371">
        <v>5.8095238095238103E-2</v>
      </c>
      <c r="AH42" s="371">
        <v>1.0376886562514001</v>
      </c>
      <c r="AI42" s="371">
        <v>1.0434538665097499</v>
      </c>
      <c r="AJ42" s="371">
        <v>70.978190092680705</v>
      </c>
      <c r="AK42" s="371">
        <v>72.364299485796195</v>
      </c>
      <c r="AL42" s="371">
        <v>11.556103176707101</v>
      </c>
      <c r="AM42" s="371">
        <v>11.763514783941799</v>
      </c>
      <c r="AN42" s="371">
        <v>316.90053030486899</v>
      </c>
      <c r="AO42" s="371">
        <v>316.883116883117</v>
      </c>
      <c r="AP42" s="371">
        <v>0.43474902357857598</v>
      </c>
      <c r="AQ42" s="371">
        <v>0.43397065362383302</v>
      </c>
      <c r="AR42" s="371">
        <v>2.1437038888215398</v>
      </c>
      <c r="AS42" s="371">
        <v>2.1827810777928902</v>
      </c>
      <c r="AT42" s="540" t="s">
        <v>565</v>
      </c>
      <c r="AU42" s="440">
        <v>33.463025471857897</v>
      </c>
      <c r="AV42" s="371">
        <v>33.467293949826498</v>
      </c>
      <c r="AW42" s="371">
        <v>1.4617789040300699</v>
      </c>
      <c r="AX42" s="371">
        <v>1.48780487804878</v>
      </c>
      <c r="AY42" s="371">
        <v>32.513644829708198</v>
      </c>
      <c r="AZ42" s="371">
        <v>32.525527206803702</v>
      </c>
      <c r="BA42" s="371">
        <v>8.4626017705434403E-2</v>
      </c>
      <c r="BB42" s="371">
        <v>8.5380362516621205E-2</v>
      </c>
      <c r="BC42" s="371">
        <v>92.079938761934201</v>
      </c>
      <c r="BD42" s="371">
        <v>93.229405471496193</v>
      </c>
      <c r="BE42" s="371">
        <v>12.449385881092001</v>
      </c>
      <c r="BF42" s="371">
        <v>12.6482541262337</v>
      </c>
      <c r="BG42" s="371">
        <v>0.40880699089251898</v>
      </c>
      <c r="BH42" s="371">
        <v>0.40734557595993298</v>
      </c>
      <c r="BI42" s="540" t="s">
        <v>565</v>
      </c>
      <c r="BJ42" s="583">
        <v>145.603295875691</v>
      </c>
      <c r="BK42" s="583">
        <v>148.08520968622901</v>
      </c>
      <c r="BL42" s="583">
        <v>9.3810073048827408E-3</v>
      </c>
      <c r="BM42" s="583">
        <v>9.3810073048827408E-3</v>
      </c>
      <c r="BN42" s="583">
        <v>164.532617339241</v>
      </c>
      <c r="BO42" s="583">
        <v>165.44616219148401</v>
      </c>
      <c r="BP42" s="583">
        <v>3.61794596249739</v>
      </c>
      <c r="BQ42" s="583">
        <v>3.6510549154571299</v>
      </c>
      <c r="BR42" s="583">
        <v>33.2154249070541</v>
      </c>
      <c r="BS42" s="583">
        <v>33.214451008684797</v>
      </c>
      <c r="BT42" s="583">
        <v>122</v>
      </c>
      <c r="BU42" s="583">
        <v>122</v>
      </c>
      <c r="BV42" s="583">
        <v>159.995722336656</v>
      </c>
      <c r="BW42" s="583">
        <v>163.571497952638</v>
      </c>
    </row>
    <row r="43" spans="1:75" s="1859" customFormat="1" ht="11.45" customHeight="1">
      <c r="A43" s="537" t="s">
        <v>566</v>
      </c>
      <c r="B43" s="584">
        <v>78.748696936919998</v>
      </c>
      <c r="C43" s="584">
        <v>78.987828087754806</v>
      </c>
      <c r="D43" s="584">
        <v>122.33875</v>
      </c>
      <c r="E43" s="584">
        <v>122.9</v>
      </c>
      <c r="F43" s="584">
        <v>324.49060438442501</v>
      </c>
      <c r="G43" s="584">
        <v>325.99469496021197</v>
      </c>
      <c r="H43" s="584">
        <v>88.252056337247296</v>
      </c>
      <c r="I43" s="584">
        <v>88.823040508799195</v>
      </c>
      <c r="J43" s="584">
        <v>17.0004139005183</v>
      </c>
      <c r="K43" s="584">
        <v>17.091520992392901</v>
      </c>
      <c r="L43" s="584">
        <v>18.500221494946199</v>
      </c>
      <c r="M43" s="584">
        <v>18.611342469902301</v>
      </c>
      <c r="N43" s="584">
        <v>138.02261573402799</v>
      </c>
      <c r="O43" s="584">
        <v>138.790968911715</v>
      </c>
      <c r="P43" s="537" t="s">
        <v>566</v>
      </c>
      <c r="Q43" s="357">
        <v>15.6851212620313</v>
      </c>
      <c r="R43" s="357">
        <v>15.6788201974842</v>
      </c>
      <c r="S43" s="357">
        <v>1.4369105848789701</v>
      </c>
      <c r="T43" s="357">
        <v>1.4388826122334299</v>
      </c>
      <c r="U43" s="357">
        <v>7.4489013841559596E-3</v>
      </c>
      <c r="V43" s="357">
        <v>7.5445058317986499E-3</v>
      </c>
      <c r="W43" s="357">
        <v>2.91265400868996E-3</v>
      </c>
      <c r="X43" s="357">
        <v>2.9260163085530599E-3</v>
      </c>
      <c r="Y43" s="357">
        <v>0.846905837447535</v>
      </c>
      <c r="Z43" s="357">
        <v>0.84855180032450706</v>
      </c>
      <c r="AA43" s="357">
        <v>398.64427966197701</v>
      </c>
      <c r="AB43" s="357">
        <v>400.26054388536102</v>
      </c>
      <c r="AC43" s="357">
        <v>28.6754224134773</v>
      </c>
      <c r="AD43" s="357">
        <v>28.9961071133656</v>
      </c>
      <c r="AE43" s="537" t="s">
        <v>566</v>
      </c>
      <c r="AF43" s="357">
        <v>5.8256547619047597E-2</v>
      </c>
      <c r="AG43" s="357">
        <v>5.8523809523809499E-2</v>
      </c>
      <c r="AH43" s="357">
        <v>1.0449833255174299</v>
      </c>
      <c r="AI43" s="357">
        <v>1.0536350839050199</v>
      </c>
      <c r="AJ43" s="357">
        <v>72.657576720011903</v>
      </c>
      <c r="AK43" s="357">
        <v>73.340574485127803</v>
      </c>
      <c r="AL43" s="357">
        <v>11.885236626113</v>
      </c>
      <c r="AM43" s="357">
        <v>12.062264447236201</v>
      </c>
      <c r="AN43" s="357">
        <v>317.77329283344102</v>
      </c>
      <c r="AO43" s="357">
        <v>319.17932736008299</v>
      </c>
      <c r="AP43" s="357">
        <v>0.43412060780508099</v>
      </c>
      <c r="AQ43" s="357">
        <v>0.43465959328028297</v>
      </c>
      <c r="AR43" s="357">
        <v>2.1987816712707899</v>
      </c>
      <c r="AS43" s="357">
        <v>2.2066216604424</v>
      </c>
      <c r="AT43" s="537" t="s">
        <v>566</v>
      </c>
      <c r="AU43" s="536">
        <v>33.5647007060196</v>
      </c>
      <c r="AV43" s="357">
        <v>33.725285731926498</v>
      </c>
      <c r="AW43" s="357">
        <v>1.5159157042748801</v>
      </c>
      <c r="AX43" s="357">
        <v>1.53865414710485</v>
      </c>
      <c r="AY43" s="357">
        <v>32.617655900767403</v>
      </c>
      <c r="AZ43" s="357">
        <v>32.765469620624401</v>
      </c>
      <c r="BA43" s="357">
        <v>8.7844439958072507E-2</v>
      </c>
      <c r="BB43" s="357">
        <v>8.8898533427367601E-2</v>
      </c>
      <c r="BC43" s="357">
        <v>94.486209534996703</v>
      </c>
      <c r="BD43" s="357">
        <v>95.323043511983201</v>
      </c>
      <c r="BE43" s="357">
        <v>12.675175744244999</v>
      </c>
      <c r="BF43" s="357">
        <v>12.688678271283701</v>
      </c>
      <c r="BG43" s="357">
        <v>0.40877144667855903</v>
      </c>
      <c r="BH43" s="357">
        <v>0.41041910168642498</v>
      </c>
      <c r="BI43" s="537" t="s">
        <v>566</v>
      </c>
      <c r="BJ43" s="584">
        <v>147.58314207471099</v>
      </c>
      <c r="BK43" s="584">
        <v>148.52861200072499</v>
      </c>
      <c r="BL43" s="584">
        <v>9.4070549788542908E-3</v>
      </c>
      <c r="BM43" s="584">
        <v>9.4502114571318706E-3</v>
      </c>
      <c r="BN43" s="584">
        <v>165.567969513441</v>
      </c>
      <c r="BO43" s="584">
        <v>166.73450006783301</v>
      </c>
      <c r="BP43" s="584">
        <v>3.71133174280381</v>
      </c>
      <c r="BQ43" s="584">
        <v>3.7423873325213202</v>
      </c>
      <c r="BR43" s="584">
        <v>33.308460069724198</v>
      </c>
      <c r="BS43" s="584">
        <v>33.464030931765002</v>
      </c>
      <c r="BT43" s="584">
        <v>122.33875</v>
      </c>
      <c r="BU43" s="584">
        <v>122.9</v>
      </c>
      <c r="BV43" s="584">
        <v>163.53222327136399</v>
      </c>
      <c r="BW43" s="584">
        <v>165.58931294763801</v>
      </c>
    </row>
    <row r="44" spans="1:75" s="1859" customFormat="1" ht="11.45" customHeight="1">
      <c r="A44" s="540" t="s">
        <v>557</v>
      </c>
      <c r="B44" s="583">
        <v>79.604375093954602</v>
      </c>
      <c r="C44" s="583">
        <v>80.178213279993898</v>
      </c>
      <c r="D44" s="583">
        <v>122.872307692308</v>
      </c>
      <c r="E44" s="583">
        <v>122.77500000000001</v>
      </c>
      <c r="F44" s="583">
        <v>325.831594443852</v>
      </c>
      <c r="G44" s="583">
        <v>325.53360731804298</v>
      </c>
      <c r="H44" s="583">
        <v>89.679582002080295</v>
      </c>
      <c r="I44" s="583">
        <v>89.734687911124098</v>
      </c>
      <c r="J44" s="583">
        <v>17.118224369089099</v>
      </c>
      <c r="K44" s="583">
        <v>17.150699857513999</v>
      </c>
      <c r="L44" s="583">
        <v>18.9148821402785</v>
      </c>
      <c r="M44" s="583">
        <v>19.2872627874827</v>
      </c>
      <c r="N44" s="583">
        <v>141.104851466816</v>
      </c>
      <c r="O44" s="583">
        <v>143.89229895243199</v>
      </c>
      <c r="P44" s="540" t="s">
        <v>557</v>
      </c>
      <c r="Q44" s="371">
        <v>15.6579492160032</v>
      </c>
      <c r="R44" s="371">
        <v>15.640326628364701</v>
      </c>
      <c r="S44" s="371">
        <v>1.43025402994328</v>
      </c>
      <c r="T44" s="371">
        <v>1.43672108127084</v>
      </c>
      <c r="U44" s="371">
        <v>7.5359111503634198E-3</v>
      </c>
      <c r="V44" s="371">
        <v>7.5635299553365202E-3</v>
      </c>
      <c r="W44" s="371">
        <v>2.9248032551836001E-3</v>
      </c>
      <c r="X44" s="371">
        <v>2.9230402952205199E-3</v>
      </c>
      <c r="Y44" s="371">
        <v>0.85002072456590305</v>
      </c>
      <c r="Z44" s="371">
        <v>0.84868489268309499</v>
      </c>
      <c r="AA44" s="371">
        <v>401.11306178649397</v>
      </c>
      <c r="AB44" s="371">
        <v>401.88216039279899</v>
      </c>
      <c r="AC44" s="371">
        <v>28.930387514069999</v>
      </c>
      <c r="AD44" s="371">
        <v>29.114299264880199</v>
      </c>
      <c r="AE44" s="1596" t="s">
        <v>557</v>
      </c>
      <c r="AF44" s="371">
        <v>5.8510622710622698E-2</v>
      </c>
      <c r="AG44" s="371">
        <v>5.8464285714285698E-2</v>
      </c>
      <c r="AH44" s="371">
        <v>1.0575047525900401</v>
      </c>
      <c r="AI44" s="371">
        <v>1.06465635728402</v>
      </c>
      <c r="AJ44" s="371">
        <v>73.812900158275696</v>
      </c>
      <c r="AK44" s="371">
        <v>74.358678243209795</v>
      </c>
      <c r="AL44" s="371">
        <v>12.176535589491101</v>
      </c>
      <c r="AM44" s="371">
        <v>12.1792741539484</v>
      </c>
      <c r="AN44" s="371">
        <v>319.10901587818802</v>
      </c>
      <c r="AO44" s="371">
        <v>318.89610389610402</v>
      </c>
      <c r="AP44" s="371">
        <v>0.43391579907736599</v>
      </c>
      <c r="AQ44" s="371">
        <v>0.43283976731887902</v>
      </c>
      <c r="AR44" s="371">
        <v>2.1811892076047199</v>
      </c>
      <c r="AS44" s="371">
        <v>2.1792186584781401</v>
      </c>
      <c r="AT44" s="540" t="s">
        <v>557</v>
      </c>
      <c r="AU44" s="440">
        <v>33.709896348208702</v>
      </c>
      <c r="AV44" s="371">
        <v>33.684051688660901</v>
      </c>
      <c r="AW44" s="371">
        <v>1.5619887614449399</v>
      </c>
      <c r="AX44" s="371">
        <v>1.5640127388534999</v>
      </c>
      <c r="AY44" s="371">
        <v>32.754329763310899</v>
      </c>
      <c r="AZ44" s="371">
        <v>32.7356352486335</v>
      </c>
      <c r="BA44" s="371">
        <v>8.9659202437291405E-2</v>
      </c>
      <c r="BB44" s="371">
        <v>9.0592141671278395E-2</v>
      </c>
      <c r="BC44" s="371">
        <v>95.589761615130897</v>
      </c>
      <c r="BD44" s="371">
        <v>96.222422508719006</v>
      </c>
      <c r="BE44" s="371">
        <v>12.830143751380501</v>
      </c>
      <c r="BF44" s="371">
        <v>12.9484907928874</v>
      </c>
      <c r="BG44" s="371">
        <v>0.40970739877684398</v>
      </c>
      <c r="BH44" s="371">
        <v>0.40959132610508697</v>
      </c>
      <c r="BI44" s="540" t="s">
        <v>557</v>
      </c>
      <c r="BJ44" s="583">
        <v>150.50183805021399</v>
      </c>
      <c r="BK44" s="583">
        <v>153.64159679639599</v>
      </c>
      <c r="BL44" s="583">
        <v>9.4480820986011307E-3</v>
      </c>
      <c r="BM44" s="583">
        <v>9.4405997693194892E-3</v>
      </c>
      <c r="BN44" s="583">
        <v>167.634847953925</v>
      </c>
      <c r="BO44" s="583">
        <v>168.693322341303</v>
      </c>
      <c r="BP44" s="583">
        <v>3.76456732032588</v>
      </c>
      <c r="BQ44" s="583">
        <v>3.7701520036849399</v>
      </c>
      <c r="BR44" s="583">
        <v>33.456665367367897</v>
      </c>
      <c r="BS44" s="583">
        <v>33.430905377808003</v>
      </c>
      <c r="BT44" s="583">
        <v>122.872307692308</v>
      </c>
      <c r="BU44" s="583">
        <v>122.77500000000001</v>
      </c>
      <c r="BV44" s="583">
        <v>166.30110358326101</v>
      </c>
      <c r="BW44" s="583">
        <v>168.392049235901</v>
      </c>
    </row>
    <row r="45" spans="1:75" s="1859" customFormat="1" ht="11.45" customHeight="1">
      <c r="A45" s="542" t="s">
        <v>2755</v>
      </c>
      <c r="B45" s="584"/>
      <c r="C45" s="584"/>
      <c r="D45" s="584"/>
      <c r="E45" s="584"/>
      <c r="F45" s="584"/>
      <c r="G45" s="584"/>
      <c r="H45" s="584"/>
      <c r="I45" s="584"/>
      <c r="J45" s="584"/>
      <c r="K45" s="584"/>
      <c r="L45" s="584"/>
      <c r="M45" s="584"/>
      <c r="N45" s="584"/>
      <c r="O45" s="584"/>
      <c r="P45" s="542" t="s">
        <v>2755</v>
      </c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542" t="s">
        <v>2755</v>
      </c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542" t="s">
        <v>2755</v>
      </c>
      <c r="AU45" s="536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542" t="s">
        <v>2755</v>
      </c>
      <c r="BJ45" s="584"/>
      <c r="BK45" s="584"/>
      <c r="BL45" s="584"/>
      <c r="BM45" s="584"/>
      <c r="BN45" s="584"/>
      <c r="BO45" s="584"/>
      <c r="BP45" s="584"/>
      <c r="BQ45" s="584"/>
      <c r="BR45" s="584"/>
      <c r="BS45" s="584"/>
      <c r="BT45" s="584"/>
      <c r="BU45" s="584"/>
      <c r="BV45" s="584"/>
      <c r="BW45" s="584"/>
    </row>
    <row r="46" spans="1:75" s="1859" customFormat="1" ht="11.45" customHeight="1">
      <c r="A46" s="540" t="s">
        <v>559</v>
      </c>
      <c r="B46" s="583">
        <v>79.834503242056897</v>
      </c>
      <c r="C46" s="583">
        <v>78.878227593968603</v>
      </c>
      <c r="D46" s="583">
        <v>121.963703703704</v>
      </c>
      <c r="E46" s="583">
        <v>122.61499999999999</v>
      </c>
      <c r="F46" s="583">
        <v>323.51113483758502</v>
      </c>
      <c r="G46" s="583">
        <v>325.23872679045098</v>
      </c>
      <c r="H46" s="583">
        <v>89.210449360761302</v>
      </c>
      <c r="I46" s="583">
        <v>88.668329898398198</v>
      </c>
      <c r="J46" s="583">
        <v>17.060880479099399</v>
      </c>
      <c r="K46" s="583">
        <v>17.150390242537799</v>
      </c>
      <c r="L46" s="583">
        <v>19.117453845936399</v>
      </c>
      <c r="M46" s="583">
        <v>18.735722635209999</v>
      </c>
      <c r="N46" s="583">
        <v>142.66678895986101</v>
      </c>
      <c r="O46" s="583">
        <v>139.848535831134</v>
      </c>
      <c r="P46" s="540" t="s">
        <v>559</v>
      </c>
      <c r="Q46" s="371">
        <v>15.537465464243301</v>
      </c>
      <c r="R46" s="371">
        <v>15.6200436951024</v>
      </c>
      <c r="S46" s="371">
        <v>1.4169460604514701</v>
      </c>
      <c r="T46" s="371">
        <v>1.3982620793467999</v>
      </c>
      <c r="U46" s="371">
        <v>7.4923535672606102E-3</v>
      </c>
      <c r="V46" s="371">
        <v>7.4492709599027901E-3</v>
      </c>
      <c r="W46" s="371">
        <v>2.9037248664651799E-3</v>
      </c>
      <c r="X46" s="371">
        <v>2.91923099815487E-3</v>
      </c>
      <c r="Y46" s="371">
        <v>0.83144505459136497</v>
      </c>
      <c r="Z46" s="371">
        <v>0.82013979465569697</v>
      </c>
      <c r="AA46" s="371">
        <v>399.33910739648297</v>
      </c>
      <c r="AB46" s="371">
        <v>400.89913356220399</v>
      </c>
      <c r="AC46" s="371">
        <v>28.794747955100298</v>
      </c>
      <c r="AD46" s="371">
        <v>28.8234602726845</v>
      </c>
      <c r="AE46" s="540" t="s">
        <v>559</v>
      </c>
      <c r="AF46" s="371">
        <v>5.8077954144620803E-2</v>
      </c>
      <c r="AG46" s="371">
        <v>5.8388095238095197E-2</v>
      </c>
      <c r="AH46" s="371">
        <v>1.0554328801328301</v>
      </c>
      <c r="AI46" s="371">
        <v>1.0547526881720399</v>
      </c>
      <c r="AJ46" s="371">
        <v>73.286180637100898</v>
      </c>
      <c r="AK46" s="371">
        <v>72.269272678656293</v>
      </c>
      <c r="AL46" s="371">
        <v>12.026309636727399</v>
      </c>
      <c r="AM46" s="371">
        <v>11.8683605565638</v>
      </c>
      <c r="AN46" s="371">
        <v>316.78575392473402</v>
      </c>
      <c r="AO46" s="371">
        <v>318.48051948051898</v>
      </c>
      <c r="AP46" s="371">
        <v>0.42911075126065901</v>
      </c>
      <c r="AQ46" s="371">
        <v>0.43212334801762098</v>
      </c>
      <c r="AR46" s="371">
        <v>2.1475529556384498</v>
      </c>
      <c r="AS46" s="371">
        <v>2.1058461855528501</v>
      </c>
      <c r="AT46" s="540" t="s">
        <v>559</v>
      </c>
      <c r="AU46" s="440">
        <v>33.456917490854799</v>
      </c>
      <c r="AV46" s="371">
        <v>33.638308962717097</v>
      </c>
      <c r="AW46" s="371">
        <v>1.5487028451862901</v>
      </c>
      <c r="AX46" s="371">
        <v>1.5201462930820699</v>
      </c>
      <c r="AY46" s="371">
        <v>32.516476293493902</v>
      </c>
      <c r="AZ46" s="371">
        <v>32.686873533802498</v>
      </c>
      <c r="BA46" s="371">
        <v>8.8595508751332305E-2</v>
      </c>
      <c r="BB46" s="371">
        <v>8.7957217563467097E-2</v>
      </c>
      <c r="BC46" s="371">
        <v>95.262241412311198</v>
      </c>
      <c r="BD46" s="371">
        <v>94.530105620229705</v>
      </c>
      <c r="BE46" s="371">
        <v>12.7361018535002</v>
      </c>
      <c r="BF46" s="371">
        <v>12.526498066598901</v>
      </c>
      <c r="BG46" s="371">
        <v>0.40512709136784297</v>
      </c>
      <c r="BH46" s="371">
        <v>0.40577479937122501</v>
      </c>
      <c r="BI46" s="540" t="s">
        <v>559</v>
      </c>
      <c r="BJ46" s="583">
        <v>153.00611159332701</v>
      </c>
      <c r="BK46" s="583">
        <v>150.49401656949999</v>
      </c>
      <c r="BL46" s="583">
        <v>9.3782163555327699E-3</v>
      </c>
      <c r="BM46" s="583">
        <v>9.4282968089196492E-3</v>
      </c>
      <c r="BN46" s="583">
        <v>166.99125216964501</v>
      </c>
      <c r="BO46" s="583">
        <v>166.12247662918301</v>
      </c>
      <c r="BP46" s="583">
        <v>3.7615136872359298</v>
      </c>
      <c r="BQ46" s="583">
        <v>3.7479749350450899</v>
      </c>
      <c r="BR46" s="583">
        <v>33.2083392952959</v>
      </c>
      <c r="BS46" s="583">
        <v>33.386429232696202</v>
      </c>
      <c r="BT46" s="583">
        <v>121.963703703704</v>
      </c>
      <c r="BU46" s="583">
        <v>122.61499999999999</v>
      </c>
      <c r="BV46" s="583">
        <v>164.83354803885101</v>
      </c>
      <c r="BW46" s="583">
        <v>162.317728663884</v>
      </c>
    </row>
    <row r="47" spans="1:75" s="1859" customFormat="1" ht="11.45" customHeight="1">
      <c r="A47" s="537" t="s">
        <v>560</v>
      </c>
      <c r="B47" s="584">
        <v>79.0531976963521</v>
      </c>
      <c r="C47" s="584">
        <v>79.558637815457502</v>
      </c>
      <c r="D47" s="584">
        <v>121.718653846154</v>
      </c>
      <c r="E47" s="584">
        <v>121.64</v>
      </c>
      <c r="F47" s="584">
        <v>322.846325786835</v>
      </c>
      <c r="G47" s="584">
        <v>322.65251989389901</v>
      </c>
      <c r="H47" s="584">
        <v>88.210568777173407</v>
      </c>
      <c r="I47" s="584">
        <v>88.497635503819595</v>
      </c>
      <c r="J47" s="584">
        <v>17.069064505708202</v>
      </c>
      <c r="K47" s="584">
        <v>17.1251583837815</v>
      </c>
      <c r="L47" s="584">
        <v>18.987571022646001</v>
      </c>
      <c r="M47" s="584">
        <v>19.0431460955601</v>
      </c>
      <c r="N47" s="584">
        <v>141.70789877154201</v>
      </c>
      <c r="O47" s="584">
        <v>142.14849983638501</v>
      </c>
      <c r="P47" s="537" t="s">
        <v>560</v>
      </c>
      <c r="Q47" s="357">
        <v>15.547827648882199</v>
      </c>
      <c r="R47" s="357">
        <v>15.6003719259995</v>
      </c>
      <c r="S47" s="357">
        <v>1.3912701378593799</v>
      </c>
      <c r="T47" s="357">
        <v>1.37954499058679</v>
      </c>
      <c r="U47" s="357">
        <v>7.4665377798050301E-3</v>
      </c>
      <c r="V47" s="357">
        <v>7.3765918738629499E-3</v>
      </c>
      <c r="W47" s="357">
        <v>2.89667910246298E-3</v>
      </c>
      <c r="X47" s="357">
        <v>2.8927467300832298E-3</v>
      </c>
      <c r="Y47" s="357">
        <v>0.82506167619272397</v>
      </c>
      <c r="Z47" s="357">
        <v>0.82722975959740197</v>
      </c>
      <c r="AA47" s="357">
        <v>398.35418056797999</v>
      </c>
      <c r="AB47" s="357">
        <v>398.10178366879398</v>
      </c>
      <c r="AC47" s="357">
        <v>28.794581512639201</v>
      </c>
      <c r="AD47" s="357">
        <v>28.790532544378699</v>
      </c>
      <c r="AE47" s="537" t="s">
        <v>560</v>
      </c>
      <c r="AF47" s="357">
        <v>5.7961263736263702E-2</v>
      </c>
      <c r="AG47" s="357">
        <v>5.7923809523809502E-2</v>
      </c>
      <c r="AH47" s="357">
        <v>1.04858566252709</v>
      </c>
      <c r="AI47" s="357">
        <v>1.0511270840642399</v>
      </c>
      <c r="AJ47" s="357">
        <v>71.870702507724701</v>
      </c>
      <c r="AK47" s="357">
        <v>71.579045080465605</v>
      </c>
      <c r="AL47" s="357">
        <v>11.940217254565599</v>
      </c>
      <c r="AM47" s="357">
        <v>12.093494924589599</v>
      </c>
      <c r="AN47" s="357">
        <v>316.152347652348</v>
      </c>
      <c r="AO47" s="357">
        <v>315.94805194805201</v>
      </c>
      <c r="AP47" s="357">
        <v>0.42894216867517998</v>
      </c>
      <c r="AQ47" s="357">
        <v>0.42849845882871002</v>
      </c>
      <c r="AR47" s="357">
        <v>2.13022501542028</v>
      </c>
      <c r="AS47" s="357">
        <v>2.1285829279389601</v>
      </c>
      <c r="AT47" s="537" t="s">
        <v>560</v>
      </c>
      <c r="AU47" s="536">
        <v>33.388710499195703</v>
      </c>
      <c r="AV47" s="357">
        <v>33.322832057200003</v>
      </c>
      <c r="AW47" s="357">
        <v>1.51883561980489</v>
      </c>
      <c r="AX47" s="357">
        <v>1.5224030037546901</v>
      </c>
      <c r="AY47" s="357">
        <v>32.438471885084503</v>
      </c>
      <c r="AZ47" s="357">
        <v>32.418314588774599</v>
      </c>
      <c r="BA47" s="357">
        <v>8.7641997124501506E-2</v>
      </c>
      <c r="BB47" s="357">
        <v>8.7575685579962106E-2</v>
      </c>
      <c r="BC47" s="357">
        <v>94.692541968784099</v>
      </c>
      <c r="BD47" s="357">
        <v>94.749961053123499</v>
      </c>
      <c r="BE47" s="357">
        <v>12.699039131261101</v>
      </c>
      <c r="BF47" s="357">
        <v>12.8565841903332</v>
      </c>
      <c r="BG47" s="357">
        <v>0.40386009388778099</v>
      </c>
      <c r="BH47" s="357">
        <v>0.40271478232080798</v>
      </c>
      <c r="BI47" s="537" t="s">
        <v>560</v>
      </c>
      <c r="BJ47" s="584">
        <v>151.07962271442801</v>
      </c>
      <c r="BK47" s="584">
        <v>151.94553744300799</v>
      </c>
      <c r="BL47" s="584">
        <v>9.3593736136988702E-3</v>
      </c>
      <c r="BM47" s="584">
        <v>9.3533256439830795E-3</v>
      </c>
      <c r="BN47" s="584">
        <v>166.219251203662</v>
      </c>
      <c r="BO47" s="584">
        <v>166.47050773231101</v>
      </c>
      <c r="BP47" s="584">
        <v>3.7530725380189498</v>
      </c>
      <c r="BQ47" s="584">
        <v>3.7653613991642199</v>
      </c>
      <c r="BR47" s="584">
        <v>33.1414808506904</v>
      </c>
      <c r="BS47" s="584">
        <v>33.118244438999099</v>
      </c>
      <c r="BT47" s="584">
        <v>121.718653846154</v>
      </c>
      <c r="BU47" s="584">
        <v>121.64</v>
      </c>
      <c r="BV47" s="584">
        <v>163.65144754796</v>
      </c>
      <c r="BW47" s="584">
        <v>164.26873597334199</v>
      </c>
    </row>
    <row r="48" spans="1:75" s="1859" customFormat="1" ht="11.45" customHeight="1">
      <c r="A48" s="540" t="s">
        <v>554</v>
      </c>
      <c r="B48" s="583">
        <v>80.255740683482898</v>
      </c>
      <c r="C48" s="583">
        <v>80.107852592367294</v>
      </c>
      <c r="D48" s="583">
        <v>121.74149038461501</v>
      </c>
      <c r="E48" s="583">
        <v>121.8</v>
      </c>
      <c r="F48" s="583">
        <v>322.900313010638</v>
      </c>
      <c r="G48" s="583">
        <v>323.07692307692298</v>
      </c>
      <c r="H48" s="583">
        <v>88.060003930902894</v>
      </c>
      <c r="I48" s="583">
        <v>87.534586223004794</v>
      </c>
      <c r="J48" s="583">
        <v>17.130091875984299</v>
      </c>
      <c r="K48" s="583">
        <v>17.1416508338611</v>
      </c>
      <c r="L48" s="583">
        <v>19.138051720002899</v>
      </c>
      <c r="M48" s="583">
        <v>19.134847258988099</v>
      </c>
      <c r="N48" s="583">
        <v>142.85805353460799</v>
      </c>
      <c r="O48" s="583">
        <v>142.828767662986</v>
      </c>
      <c r="P48" s="540" t="s">
        <v>554</v>
      </c>
      <c r="Q48" s="371">
        <v>15.6364111913608</v>
      </c>
      <c r="R48" s="371">
        <v>15.6486882339338</v>
      </c>
      <c r="S48" s="371">
        <v>1.37982418462797</v>
      </c>
      <c r="T48" s="371">
        <v>1.3731060606060601</v>
      </c>
      <c r="U48" s="371">
        <v>7.3727188944189299E-3</v>
      </c>
      <c r="V48" s="371">
        <v>7.2955974842767298E-3</v>
      </c>
      <c r="W48" s="371">
        <v>2.89516029452117E-3</v>
      </c>
      <c r="X48" s="371">
        <v>2.89655172413793E-3</v>
      </c>
      <c r="Y48" s="371">
        <v>0.82358876069407205</v>
      </c>
      <c r="Z48" s="371">
        <v>0.81967764729634196</v>
      </c>
      <c r="AA48" s="371">
        <v>398.682836337769</v>
      </c>
      <c r="AB48" s="371">
        <v>398.75593386806401</v>
      </c>
      <c r="AC48" s="371">
        <v>28.896431490695701</v>
      </c>
      <c r="AD48" s="371">
        <v>28.896797153024899</v>
      </c>
      <c r="AE48" s="540" t="s">
        <v>554</v>
      </c>
      <c r="AF48" s="371">
        <v>5.7972138278388298E-2</v>
      </c>
      <c r="AG48" s="371">
        <v>5.8000000000000003E-2</v>
      </c>
      <c r="AH48" s="371">
        <v>1.05350342571526</v>
      </c>
      <c r="AI48" s="371">
        <v>1.0502027977816399</v>
      </c>
      <c r="AJ48" s="371">
        <v>71.702599701250605</v>
      </c>
      <c r="AK48" s="371">
        <v>70.363857891639199</v>
      </c>
      <c r="AL48" s="371">
        <v>12.2419994510563</v>
      </c>
      <c r="AM48" s="371">
        <v>12.2040419626664</v>
      </c>
      <c r="AN48" s="371">
        <v>316.20218782645702</v>
      </c>
      <c r="AO48" s="371">
        <v>316.36363636363598</v>
      </c>
      <c r="AP48" s="371">
        <v>0.429104123023687</v>
      </c>
      <c r="AQ48" s="371">
        <v>0.42962962962963003</v>
      </c>
      <c r="AR48" s="371">
        <v>2.1250965904680799</v>
      </c>
      <c r="AS48" s="371">
        <v>2.0914718432598098</v>
      </c>
      <c r="AT48" s="540" t="s">
        <v>554</v>
      </c>
      <c r="AU48" s="440">
        <v>33.386891393484298</v>
      </c>
      <c r="AV48" s="371">
        <v>33.4174714661984</v>
      </c>
      <c r="AW48" s="371">
        <v>1.4695378195153199</v>
      </c>
      <c r="AX48" s="371">
        <v>1.4661450496539301</v>
      </c>
      <c r="AY48" s="371">
        <v>32.4517353780384</v>
      </c>
      <c r="AZ48" s="371">
        <v>32.476535836177497</v>
      </c>
      <c r="BA48" s="371">
        <v>8.7433673402276799E-2</v>
      </c>
      <c r="BB48" s="371">
        <v>8.6755226325723897E-2</v>
      </c>
      <c r="BC48" s="371">
        <v>94.778202740103197</v>
      </c>
      <c r="BD48" s="371">
        <v>94.418604651162795</v>
      </c>
      <c r="BE48" s="371">
        <v>12.9903617029887</v>
      </c>
      <c r="BF48" s="371">
        <v>12.932476123230099</v>
      </c>
      <c r="BG48" s="371">
        <v>0.40299734174319901</v>
      </c>
      <c r="BH48" s="371">
        <v>0.40261135443351798</v>
      </c>
      <c r="BI48" s="540" t="s">
        <v>554</v>
      </c>
      <c r="BJ48" s="583">
        <v>152.84759020788999</v>
      </c>
      <c r="BK48" s="583">
        <v>152.69855199649001</v>
      </c>
      <c r="BL48" s="583">
        <v>9.3611295951261404E-3</v>
      </c>
      <c r="BM48" s="583">
        <v>9.36562860438293E-3</v>
      </c>
      <c r="BN48" s="583">
        <v>166.891478695079</v>
      </c>
      <c r="BO48" s="583">
        <v>166.986564299424</v>
      </c>
      <c r="BP48" s="583">
        <v>3.80552135844894</v>
      </c>
      <c r="BQ48" s="583">
        <v>3.7621621621621602</v>
      </c>
      <c r="BR48" s="583">
        <v>33.147785882021203</v>
      </c>
      <c r="BS48" s="583">
        <v>33.160903893275197</v>
      </c>
      <c r="BT48" s="583">
        <v>121.74149038461501</v>
      </c>
      <c r="BU48" s="583">
        <v>121.8</v>
      </c>
      <c r="BV48" s="583">
        <v>164.450448342306</v>
      </c>
      <c r="BW48" s="583">
        <v>163.55303637176101</v>
      </c>
    </row>
    <row r="49" spans="1:75" s="1859" customFormat="1" ht="11.45" customHeight="1">
      <c r="A49" s="537" t="s">
        <v>561</v>
      </c>
      <c r="B49" s="584">
        <v>79.785791412377094</v>
      </c>
      <c r="C49" s="584">
        <v>80.399548874591204</v>
      </c>
      <c r="D49" s="584">
        <v>122.004537037037</v>
      </c>
      <c r="E49" s="584">
        <v>122.29</v>
      </c>
      <c r="F49" s="584">
        <v>323.61628803702899</v>
      </c>
      <c r="G49" s="584">
        <v>324.376657824934</v>
      </c>
      <c r="H49" s="584">
        <v>87.255138870914195</v>
      </c>
      <c r="I49" s="584">
        <v>87.707093165028994</v>
      </c>
      <c r="J49" s="584">
        <v>17.188509812828201</v>
      </c>
      <c r="K49" s="584">
        <v>17.256999322646202</v>
      </c>
      <c r="L49" s="584">
        <v>19.032799719693401</v>
      </c>
      <c r="M49" s="584">
        <v>18.997685293066802</v>
      </c>
      <c r="N49" s="584">
        <v>142.118044131555</v>
      </c>
      <c r="O49" s="584">
        <v>141.868624783467</v>
      </c>
      <c r="P49" s="537" t="s">
        <v>561</v>
      </c>
      <c r="Q49" s="357">
        <v>15.6899608135842</v>
      </c>
      <c r="R49" s="357">
        <v>15.736713421696001</v>
      </c>
      <c r="S49" s="357">
        <v>1.38094855441882</v>
      </c>
      <c r="T49" s="357">
        <v>1.3832536832282301</v>
      </c>
      <c r="U49" s="357">
        <v>7.3491912732484002E-3</v>
      </c>
      <c r="V49" s="357">
        <v>7.3500420723644697E-3</v>
      </c>
      <c r="W49" s="357">
        <v>2.9013520851684398E-3</v>
      </c>
      <c r="X49" s="357">
        <v>2.9082045184304398E-3</v>
      </c>
      <c r="Y49" s="357">
        <v>0.80726513663062405</v>
      </c>
      <c r="Z49" s="357">
        <v>0.80069403522556104</v>
      </c>
      <c r="AA49" s="357">
        <v>398.42839884189402</v>
      </c>
      <c r="AB49" s="357">
        <v>398.46855653307301</v>
      </c>
      <c r="AC49" s="357">
        <v>28.9278861117402</v>
      </c>
      <c r="AD49" s="357">
        <v>29.134008338296599</v>
      </c>
      <c r="AE49" s="537" t="s">
        <v>561</v>
      </c>
      <c r="AF49" s="357">
        <v>5.8097398589065298E-2</v>
      </c>
      <c r="AG49" s="357">
        <v>5.8233333333333297E-2</v>
      </c>
      <c r="AH49" s="357">
        <v>1.0511862145918101</v>
      </c>
      <c r="AI49" s="357">
        <v>1.05388707577146</v>
      </c>
      <c r="AJ49" s="357">
        <v>70.283960284862005</v>
      </c>
      <c r="AK49" s="357">
        <v>70.487953878383095</v>
      </c>
      <c r="AL49" s="357">
        <v>12.167587565504499</v>
      </c>
      <c r="AM49" s="357">
        <v>12.1986862646324</v>
      </c>
      <c r="AN49" s="357">
        <v>316.89490139490101</v>
      </c>
      <c r="AO49" s="357">
        <v>317.63636363636402</v>
      </c>
      <c r="AP49" s="357">
        <v>0.43073033468236299</v>
      </c>
      <c r="AQ49" s="357">
        <v>0.43194461614538299</v>
      </c>
      <c r="AR49" s="357">
        <v>2.09155388624928</v>
      </c>
      <c r="AS49" s="357">
        <v>2.0782597612270002</v>
      </c>
      <c r="AT49" s="537" t="s">
        <v>561</v>
      </c>
      <c r="AU49" s="536">
        <v>33.467180682090202</v>
      </c>
      <c r="AV49" s="357">
        <v>33.550989053197597</v>
      </c>
      <c r="AW49" s="357">
        <v>1.5055659765792</v>
      </c>
      <c r="AX49" s="357">
        <v>1.5286249999999999</v>
      </c>
      <c r="AY49" s="357">
        <v>32.530755136741398</v>
      </c>
      <c r="AZ49" s="357">
        <v>32.608927523865397</v>
      </c>
      <c r="BA49" s="357">
        <v>8.5793590079158294E-2</v>
      </c>
      <c r="BB49" s="357">
        <v>8.6004944106280706E-2</v>
      </c>
      <c r="BC49" s="357">
        <v>94.197471492536707</v>
      </c>
      <c r="BD49" s="357">
        <v>94.257746261754306</v>
      </c>
      <c r="BE49" s="357">
        <v>12.9414105153481</v>
      </c>
      <c r="BF49" s="357">
        <v>13.010128090557</v>
      </c>
      <c r="BG49" s="357">
        <v>0.40266868111134702</v>
      </c>
      <c r="BH49" s="357">
        <v>0.40200525969756701</v>
      </c>
      <c r="BI49" s="537" t="s">
        <v>561</v>
      </c>
      <c r="BJ49" s="584">
        <v>153.03941284150801</v>
      </c>
      <c r="BK49" s="584">
        <v>152.86250000000001</v>
      </c>
      <c r="BL49" s="584">
        <v>9.9328712338993402E-3</v>
      </c>
      <c r="BM49" s="584">
        <v>1.1056962025316501E-2</v>
      </c>
      <c r="BN49" s="584">
        <v>166.44973349919999</v>
      </c>
      <c r="BO49" s="584">
        <v>166.109752784569</v>
      </c>
      <c r="BP49" s="584">
        <v>3.7472381336168099</v>
      </c>
      <c r="BQ49" s="584">
        <v>3.76914778856526</v>
      </c>
      <c r="BR49" s="584">
        <v>33.219303992337103</v>
      </c>
      <c r="BS49" s="584">
        <v>33.297936067091399</v>
      </c>
      <c r="BT49" s="584">
        <v>122.004537037037</v>
      </c>
      <c r="BU49" s="584">
        <v>122.29</v>
      </c>
      <c r="BV49" s="584">
        <v>163.16886734040099</v>
      </c>
      <c r="BW49" s="584">
        <v>161.349425073139</v>
      </c>
    </row>
    <row r="50" spans="1:75" s="1859" customFormat="1" ht="11.45" customHeight="1">
      <c r="A50" s="540" t="s">
        <v>562</v>
      </c>
      <c r="B50" s="583">
        <v>79.618631922124806</v>
      </c>
      <c r="C50" s="583">
        <v>80.080283200916</v>
      </c>
      <c r="D50" s="583">
        <v>122.319</v>
      </c>
      <c r="E50" s="583">
        <v>122.26</v>
      </c>
      <c r="F50" s="583">
        <v>324.44324701358499</v>
      </c>
      <c r="G50" s="583">
        <v>324.29708222811701</v>
      </c>
      <c r="H50" s="583">
        <v>87.071523762423695</v>
      </c>
      <c r="I50" s="583">
        <v>87.491054816087001</v>
      </c>
      <c r="J50" s="583">
        <v>17.2644723637823</v>
      </c>
      <c r="K50" s="583">
        <v>17.271044936360202</v>
      </c>
      <c r="L50" s="583">
        <v>18.9296258504767</v>
      </c>
      <c r="M50" s="583">
        <v>18.984766844205701</v>
      </c>
      <c r="N50" s="583">
        <v>141.35755619960801</v>
      </c>
      <c r="O50" s="583">
        <v>141.77269494567099</v>
      </c>
      <c r="P50" s="540" t="s">
        <v>562</v>
      </c>
      <c r="Q50" s="371">
        <v>15.7277095930648</v>
      </c>
      <c r="R50" s="371">
        <v>15.702845546729</v>
      </c>
      <c r="S50" s="371">
        <v>1.3771108034859201</v>
      </c>
      <c r="T50" s="371">
        <v>1.3682196134606099</v>
      </c>
      <c r="U50" s="371">
        <v>7.3256697244154598E-3</v>
      </c>
      <c r="V50" s="371">
        <v>7.3407385169618703E-3</v>
      </c>
      <c r="W50" s="371">
        <v>2.9086866123062501E-3</v>
      </c>
      <c r="X50" s="371">
        <v>2.90749108204518E-3</v>
      </c>
      <c r="Y50" s="371">
        <v>0.78859290271766902</v>
      </c>
      <c r="Z50" s="371">
        <v>0.782839763086281</v>
      </c>
      <c r="AA50" s="371">
        <v>398.30098800878397</v>
      </c>
      <c r="AB50" s="371">
        <v>398.30591301514897</v>
      </c>
      <c r="AC50" s="371">
        <v>29.424318456006901</v>
      </c>
      <c r="AD50" s="371">
        <v>29.584996975196599</v>
      </c>
      <c r="AE50" s="540" t="s">
        <v>562</v>
      </c>
      <c r="AF50" s="371">
        <v>5.82471428571429E-2</v>
      </c>
      <c r="AG50" s="371">
        <v>5.8219047619047601E-2</v>
      </c>
      <c r="AH50" s="371">
        <v>1.0491834567658</v>
      </c>
      <c r="AI50" s="371">
        <v>1.0487650889726099</v>
      </c>
      <c r="AJ50" s="371">
        <v>69.230276577794797</v>
      </c>
      <c r="AK50" s="371">
        <v>70.109996466997998</v>
      </c>
      <c r="AL50" s="371">
        <v>12.041773675298201</v>
      </c>
      <c r="AM50" s="371">
        <v>12.067136152551599</v>
      </c>
      <c r="AN50" s="371">
        <v>317.71168831168802</v>
      </c>
      <c r="AO50" s="371">
        <v>317.55844155844198</v>
      </c>
      <c r="AP50" s="371">
        <v>0.43271499509525801</v>
      </c>
      <c r="AQ50" s="371">
        <v>0.43277876106194701</v>
      </c>
      <c r="AR50" s="371">
        <v>2.0770523164549402</v>
      </c>
      <c r="AS50" s="371">
        <v>2.0851738781914602</v>
      </c>
      <c r="AT50" s="540" t="s">
        <v>562</v>
      </c>
      <c r="AU50" s="440">
        <v>33.560772415049598</v>
      </c>
      <c r="AV50" s="371">
        <v>33.550122115199898</v>
      </c>
      <c r="AW50" s="371">
        <v>1.52358812762542</v>
      </c>
      <c r="AX50" s="371">
        <v>1.5775483870967699</v>
      </c>
      <c r="AY50" s="371">
        <v>32.614365156858703</v>
      </c>
      <c r="AZ50" s="371">
        <v>32.589196465460901</v>
      </c>
      <c r="BA50" s="371">
        <v>8.3819912108001396E-2</v>
      </c>
      <c r="BB50" s="371">
        <v>8.3304942696338299E-2</v>
      </c>
      <c r="BC50" s="371">
        <v>93.904710073990202</v>
      </c>
      <c r="BD50" s="371">
        <v>94.325502449562194</v>
      </c>
      <c r="BE50" s="371">
        <v>12.861821690566901</v>
      </c>
      <c r="BF50" s="371">
        <v>12.9361972278066</v>
      </c>
      <c r="BG50" s="371">
        <v>0.399473565918811</v>
      </c>
      <c r="BH50" s="371">
        <v>0.39672264135637197</v>
      </c>
      <c r="BI50" s="540" t="s">
        <v>562</v>
      </c>
      <c r="BJ50" s="583">
        <v>152.144201076971</v>
      </c>
      <c r="BK50" s="583">
        <v>152.11197511664099</v>
      </c>
      <c r="BL50" s="583">
        <v>1.1059183984531699E-2</v>
      </c>
      <c r="BM50" s="583">
        <v>1.1052250949195401E-2</v>
      </c>
      <c r="BN50" s="583">
        <v>166.05657634899799</v>
      </c>
      <c r="BO50" s="583">
        <v>166.091563646244</v>
      </c>
      <c r="BP50" s="583">
        <v>3.7756687924805599</v>
      </c>
      <c r="BQ50" s="583">
        <v>3.8075365929616898</v>
      </c>
      <c r="BR50" s="583">
        <v>33.305034553187703</v>
      </c>
      <c r="BS50" s="583">
        <v>33.285689005050301</v>
      </c>
      <c r="BT50" s="583">
        <v>122.319</v>
      </c>
      <c r="BU50" s="583">
        <v>122.26</v>
      </c>
      <c r="BV50" s="583">
        <v>160.69727193268</v>
      </c>
      <c r="BW50" s="583">
        <v>161.841672921926</v>
      </c>
    </row>
    <row r="51" spans="1:75" s="1859" customFormat="1" ht="11.45" customHeight="1">
      <c r="A51" s="537" t="s">
        <v>555</v>
      </c>
      <c r="B51" s="584">
        <v>81.239621464941294</v>
      </c>
      <c r="C51" s="584">
        <v>81.896585672890197</v>
      </c>
      <c r="D51" s="584">
        <v>122.292407407407</v>
      </c>
      <c r="E51" s="584">
        <v>122.325</v>
      </c>
      <c r="F51" s="584">
        <v>324.35755351289703</v>
      </c>
      <c r="G51" s="584">
        <v>324.426468638112</v>
      </c>
      <c r="H51" s="584">
        <v>88.632221733712498</v>
      </c>
      <c r="I51" s="584">
        <v>89.311137881940596</v>
      </c>
      <c r="J51" s="584">
        <v>17.320896214646499</v>
      </c>
      <c r="K51" s="584">
        <v>17.3885540456019</v>
      </c>
      <c r="L51" s="584">
        <v>19.175143074358999</v>
      </c>
      <c r="M51" s="584">
        <v>19.282606639553599</v>
      </c>
      <c r="N51" s="584">
        <v>143.21383511770699</v>
      </c>
      <c r="O51" s="584">
        <v>143.70740583503601</v>
      </c>
      <c r="P51" s="537" t="s">
        <v>555</v>
      </c>
      <c r="Q51" s="357">
        <v>15.7171113668301</v>
      </c>
      <c r="R51" s="357">
        <v>15.735446400432201</v>
      </c>
      <c r="S51" s="357">
        <v>1.3596165615761699</v>
      </c>
      <c r="T51" s="357">
        <v>1.3626489918681099</v>
      </c>
      <c r="U51" s="357">
        <v>7.3204654432454698E-3</v>
      </c>
      <c r="V51" s="357">
        <v>7.2884082581106402E-3</v>
      </c>
      <c r="W51" s="357">
        <v>2.9077823112487601E-3</v>
      </c>
      <c r="X51" s="357">
        <v>2.9090368608799002E-3</v>
      </c>
      <c r="Y51" s="357">
        <v>0.783572777418021</v>
      </c>
      <c r="Z51" s="357">
        <v>0.78207915094942804</v>
      </c>
      <c r="AA51" s="357">
        <v>398.41248017950699</v>
      </c>
      <c r="AB51" s="357">
        <v>397.48172217709202</v>
      </c>
      <c r="AC51" s="357">
        <v>29.8966617470277</v>
      </c>
      <c r="AD51" s="357">
        <v>30.177624275317601</v>
      </c>
      <c r="AE51" s="537" t="s">
        <v>555</v>
      </c>
      <c r="AF51" s="357">
        <v>5.8234479717813099E-2</v>
      </c>
      <c r="AG51" s="357">
        <v>5.8250000000000003E-2</v>
      </c>
      <c r="AH51" s="357">
        <v>1.05432316147607</v>
      </c>
      <c r="AI51" s="357">
        <v>1.0579733960664901</v>
      </c>
      <c r="AJ51" s="357">
        <v>70.810077945721901</v>
      </c>
      <c r="AK51" s="357">
        <v>70.991309007495502</v>
      </c>
      <c r="AL51" s="357">
        <v>12.104533533347899</v>
      </c>
      <c r="AM51" s="357">
        <v>12.1809138299302</v>
      </c>
      <c r="AN51" s="357">
        <v>317.64261664261699</v>
      </c>
      <c r="AO51" s="357">
        <v>317.72727272727298</v>
      </c>
      <c r="AP51" s="357">
        <v>0.43525913348931899</v>
      </c>
      <c r="AQ51" s="357">
        <v>0.43493333333333301</v>
      </c>
      <c r="AR51" s="357">
        <v>2.0775495185809199</v>
      </c>
      <c r="AS51" s="357">
        <v>2.0793492949845702</v>
      </c>
      <c r="AT51" s="537" t="s">
        <v>555</v>
      </c>
      <c r="AU51" s="536">
        <v>33.5421597226781</v>
      </c>
      <c r="AV51" s="357">
        <v>33.558289782313501</v>
      </c>
      <c r="AW51" s="357">
        <v>1.55987979222504</v>
      </c>
      <c r="AX51" s="357">
        <v>1.55828025477707</v>
      </c>
      <c r="AY51" s="357">
        <v>32.595602798012003</v>
      </c>
      <c r="AZ51" s="357">
        <v>32.613912069747002</v>
      </c>
      <c r="BA51" s="357">
        <v>8.33341041766677E-2</v>
      </c>
      <c r="BB51" s="357">
        <v>8.5195812816458993E-2</v>
      </c>
      <c r="BC51" s="357">
        <v>94.700400988779407</v>
      </c>
      <c r="BD51" s="357">
        <v>95.146423987866001</v>
      </c>
      <c r="BE51" s="357">
        <v>13.163952991692801</v>
      </c>
      <c r="BF51" s="357">
        <v>13.299520532307</v>
      </c>
      <c r="BG51" s="357">
        <v>0.39561149936401402</v>
      </c>
      <c r="BH51" s="357">
        <v>0.39453313981615901</v>
      </c>
      <c r="BI51" s="537" t="s">
        <v>555</v>
      </c>
      <c r="BJ51" s="584">
        <v>153.51357342724</v>
      </c>
      <c r="BK51" s="584">
        <v>155.038022813688</v>
      </c>
      <c r="BL51" s="584">
        <v>1.1056809470372599E-2</v>
      </c>
      <c r="BM51" s="584">
        <v>1.10601265822785E-2</v>
      </c>
      <c r="BN51" s="584">
        <v>167.14150146479</v>
      </c>
      <c r="BO51" s="584">
        <v>167.52259654889099</v>
      </c>
      <c r="BP51" s="584">
        <v>3.8744719850407399</v>
      </c>
      <c r="BQ51" s="584">
        <v>3.8802537668517001</v>
      </c>
      <c r="BR51" s="584">
        <v>33.298222174326902</v>
      </c>
      <c r="BS51" s="584">
        <v>33.3074661003104</v>
      </c>
      <c r="BT51" s="584">
        <v>122.292407407407</v>
      </c>
      <c r="BU51" s="584">
        <v>122.325</v>
      </c>
      <c r="BV51" s="584">
        <v>163.71803047736199</v>
      </c>
      <c r="BW51" s="584">
        <v>164.74119170633</v>
      </c>
    </row>
    <row r="52" spans="1:75">
      <c r="A52" s="540" t="s">
        <v>563</v>
      </c>
      <c r="B52" s="583">
        <v>82.756885369657297</v>
      </c>
      <c r="C52" s="583">
        <v>86.146633262320705</v>
      </c>
      <c r="D52" s="583">
        <v>122.324038461538</v>
      </c>
      <c r="E52" s="583">
        <v>122.35</v>
      </c>
      <c r="F52" s="583">
        <v>324.46694629305</v>
      </c>
      <c r="G52" s="583">
        <v>324.53580901856799</v>
      </c>
      <c r="H52" s="583">
        <v>88.7013511528896</v>
      </c>
      <c r="I52" s="583">
        <v>90.248580069336896</v>
      </c>
      <c r="J52" s="583">
        <v>17.460095580433801</v>
      </c>
      <c r="K52" s="583">
        <v>17.535939000444301</v>
      </c>
      <c r="L52" s="583">
        <v>19.208213492372</v>
      </c>
      <c r="M52" s="583">
        <v>19.587909448944899</v>
      </c>
      <c r="N52" s="583">
        <v>143.487933120956</v>
      </c>
      <c r="O52" s="583">
        <v>146.25718590597299</v>
      </c>
      <c r="P52" s="540" t="s">
        <v>563</v>
      </c>
      <c r="Q52" s="371">
        <v>15.693738603933699</v>
      </c>
      <c r="R52" s="371">
        <v>15.6833840730652</v>
      </c>
      <c r="S52" s="371">
        <v>1.34864720808169</v>
      </c>
      <c r="T52" s="371">
        <v>1.3292700151016399</v>
      </c>
      <c r="U52" s="371">
        <v>7.2719973215048901E-3</v>
      </c>
      <c r="V52" s="371">
        <v>7.2823046247247197E-3</v>
      </c>
      <c r="W52" s="371">
        <v>8.7669048763751208E-3</v>
      </c>
      <c r="X52" s="371">
        <v>1.1275978065526901E-2</v>
      </c>
      <c r="Y52" s="371">
        <v>0.78015232674163604</v>
      </c>
      <c r="Z52" s="371">
        <v>0.797536014601395</v>
      </c>
      <c r="AA52" s="371">
        <v>399.75287892840902</v>
      </c>
      <c r="AB52" s="371">
        <v>401.476620180476</v>
      </c>
      <c r="AC52" s="371">
        <v>30.339108007864599</v>
      </c>
      <c r="AD52" s="371">
        <v>31.108568522756201</v>
      </c>
      <c r="AE52" s="540" t="s">
        <v>563</v>
      </c>
      <c r="AF52" s="371">
        <v>5.82495421245421E-2</v>
      </c>
      <c r="AG52" s="371">
        <v>5.8261904761904799E-2</v>
      </c>
      <c r="AH52" s="371">
        <v>1.05710395130334</v>
      </c>
      <c r="AI52" s="371">
        <v>1.06560596704504</v>
      </c>
      <c r="AJ52" s="371">
        <v>71.278880975943494</v>
      </c>
      <c r="AK52" s="371">
        <v>74.1502129576767</v>
      </c>
      <c r="AL52" s="371">
        <v>12.2703161760911</v>
      </c>
      <c r="AM52" s="371">
        <v>12.7544239138933</v>
      </c>
      <c r="AN52" s="371">
        <v>317.72160153831402</v>
      </c>
      <c r="AO52" s="371">
        <v>317.79220779220799</v>
      </c>
      <c r="AP52" s="371">
        <v>0.43634855385388499</v>
      </c>
      <c r="AQ52" s="371">
        <v>0.43735478105451298</v>
      </c>
      <c r="AR52" s="371">
        <v>2.0682877596093698</v>
      </c>
      <c r="AS52" s="371">
        <v>2.0795975082223599</v>
      </c>
      <c r="AT52" s="540" t="s">
        <v>563</v>
      </c>
      <c r="AU52" s="440">
        <v>33.524347479409101</v>
      </c>
      <c r="AV52" s="371">
        <v>33.571134586363002</v>
      </c>
      <c r="AW52" s="371">
        <v>1.5635001018641801</v>
      </c>
      <c r="AX52" s="371">
        <v>1.5983017635532299</v>
      </c>
      <c r="AY52" s="371">
        <v>32.618204965291199</v>
      </c>
      <c r="AZ52" s="371">
        <v>32.6244917005533</v>
      </c>
      <c r="BA52" s="371">
        <v>8.4087706570575196E-2</v>
      </c>
      <c r="BB52" s="371">
        <v>8.5799438990182303E-2</v>
      </c>
      <c r="BC52" s="371">
        <v>95.477703413901096</v>
      </c>
      <c r="BD52" s="371">
        <v>96.922406622569</v>
      </c>
      <c r="BE52" s="371">
        <v>13.424313729357101</v>
      </c>
      <c r="BF52" s="371">
        <v>13.9010395955235</v>
      </c>
      <c r="BG52" s="371">
        <v>0.39512590963980199</v>
      </c>
      <c r="BH52" s="371">
        <v>0.39528309506501902</v>
      </c>
      <c r="BI52" s="540" t="s">
        <v>563</v>
      </c>
      <c r="BJ52" s="583">
        <v>154.615938555333</v>
      </c>
      <c r="BK52" s="583">
        <v>159.23732673911601</v>
      </c>
      <c r="BL52" s="583">
        <v>0.89747577409991997</v>
      </c>
      <c r="BM52" s="583">
        <v>1.0588489831241901</v>
      </c>
      <c r="BN52" s="583">
        <v>167.46955505043101</v>
      </c>
      <c r="BO52" s="583">
        <v>169.06176592510701</v>
      </c>
      <c r="BP52" s="583">
        <v>3.9087971157233898</v>
      </c>
      <c r="BQ52" s="583">
        <v>3.9366151866151902</v>
      </c>
      <c r="BR52" s="583">
        <v>33.306192797729103</v>
      </c>
      <c r="BS52" s="583">
        <v>33.310645249115197</v>
      </c>
      <c r="BT52" s="583">
        <v>122.324038461538</v>
      </c>
      <c r="BU52" s="583">
        <v>122.35</v>
      </c>
      <c r="BV52" s="583">
        <v>165.28821854589299</v>
      </c>
      <c r="BW52" s="583">
        <v>168.94087202527501</v>
      </c>
    </row>
    <row r="53" spans="1:75" ht="9.75" customHeight="1">
      <c r="A53" s="1880" t="s">
        <v>564</v>
      </c>
      <c r="B53" s="1881">
        <v>86.209490157362396</v>
      </c>
      <c r="C53" s="1881">
        <v>87.028664532040494</v>
      </c>
      <c r="D53" s="1881">
        <v>122.30249999999999</v>
      </c>
      <c r="E53" s="1881">
        <v>122.3</v>
      </c>
      <c r="F53" s="1881">
        <v>324.39547446402901</v>
      </c>
      <c r="G53" s="1881">
        <v>324.36016443442497</v>
      </c>
      <c r="H53" s="1881">
        <v>89.613512918506999</v>
      </c>
      <c r="I53" s="1881">
        <v>89.633185532632197</v>
      </c>
      <c r="J53" s="1881">
        <v>17.607997642429499</v>
      </c>
      <c r="K53" s="1881">
        <v>17.6662622060438</v>
      </c>
      <c r="L53" s="1881">
        <v>19.367054661171501</v>
      </c>
      <c r="M53" s="1881">
        <v>19.336579812800402</v>
      </c>
      <c r="N53" s="1881">
        <v>144.67647209920199</v>
      </c>
      <c r="O53" s="1881">
        <v>144.485218964788</v>
      </c>
      <c r="P53" s="1880" t="s">
        <v>564</v>
      </c>
      <c r="Q53" s="1882">
        <v>15.6489594552623</v>
      </c>
      <c r="R53" s="1882">
        <v>15.6341881215964</v>
      </c>
      <c r="S53" s="1882">
        <v>1.3462335295979999</v>
      </c>
      <c r="T53" s="1882">
        <v>1.34283455575563</v>
      </c>
      <c r="U53" s="1882">
        <v>7.2703200201438903E-3</v>
      </c>
      <c r="V53" s="1882">
        <v>7.29495973754846E-3</v>
      </c>
      <c r="W53" s="1882">
        <v>9.9666969251278797E-5</v>
      </c>
      <c r="X53" s="1882">
        <v>9.3066577988346494E-5</v>
      </c>
      <c r="Y53" s="1882">
        <v>0.78807665677693195</v>
      </c>
      <c r="Z53" s="1882">
        <v>0.78369805517285596</v>
      </c>
      <c r="AA53" s="1882">
        <v>400.48319144814297</v>
      </c>
      <c r="AB53" s="1882">
        <v>400.26182294223503</v>
      </c>
      <c r="AC53" s="1882">
        <v>31.2258332255815</v>
      </c>
      <c r="AD53" s="1882">
        <v>31.4315086096119</v>
      </c>
      <c r="AE53" s="1880" t="s">
        <v>564</v>
      </c>
      <c r="AF53" s="1882">
        <v>5.8239285714285702E-2</v>
      </c>
      <c r="AG53" s="1882">
        <v>5.82380952380952E-2</v>
      </c>
      <c r="AH53" s="1882">
        <v>1.0624412497103399</v>
      </c>
      <c r="AI53" s="1882">
        <v>1.0607691487045701</v>
      </c>
      <c r="AJ53" s="1882">
        <v>73.519083341187198</v>
      </c>
      <c r="AK53" s="1882">
        <v>73.337194490119202</v>
      </c>
      <c r="AL53" s="1882">
        <v>12.7624869065277</v>
      </c>
      <c r="AM53" s="1882">
        <v>12.857510815342801</v>
      </c>
      <c r="AN53" s="1882">
        <v>317.66883116883099</v>
      </c>
      <c r="AO53" s="1882">
        <v>317.66233766233802</v>
      </c>
      <c r="AP53" s="1882">
        <v>0.43700687507795399</v>
      </c>
      <c r="AQ53" s="1882">
        <v>0.43776286353467603</v>
      </c>
      <c r="AR53" s="1882">
        <v>2.1000712828535599</v>
      </c>
      <c r="AS53" s="1882">
        <v>2.11995146472526</v>
      </c>
      <c r="AT53" s="1880" t="s">
        <v>564</v>
      </c>
      <c r="AU53" s="1712">
        <v>33.518835318264301</v>
      </c>
      <c r="AV53" s="1882">
        <v>33.555113519445797</v>
      </c>
      <c r="AW53" s="1882">
        <v>1.5939932012051401</v>
      </c>
      <c r="AX53" s="1882">
        <v>1.58810544085184</v>
      </c>
      <c r="AY53" s="1882">
        <v>32.609018530203301</v>
      </c>
      <c r="AZ53" s="1882">
        <v>32.605508011410599</v>
      </c>
      <c r="BA53" s="1882">
        <v>8.4404719416966895E-2</v>
      </c>
      <c r="BB53" s="1882">
        <v>8.4942353104597898E-2</v>
      </c>
      <c r="BC53" s="1882">
        <v>96.513671430294494</v>
      </c>
      <c r="BD53" s="1882">
        <v>96.679841897233203</v>
      </c>
      <c r="BE53" s="1882">
        <v>13.613762516657101</v>
      </c>
      <c r="BF53" s="1882">
        <v>13.5444930505565</v>
      </c>
      <c r="BG53" s="1882">
        <v>0.395383545503113</v>
      </c>
      <c r="BH53" s="1882">
        <v>0.39549849626491601</v>
      </c>
      <c r="BI53" s="1880" t="s">
        <v>564</v>
      </c>
      <c r="BJ53" s="1881">
        <v>158.307473977092</v>
      </c>
      <c r="BK53" s="1881">
        <v>159.06873902581799</v>
      </c>
      <c r="BL53" s="1881">
        <v>1.0587128094281699</v>
      </c>
      <c r="BM53" s="1881">
        <v>1.0588744588744601</v>
      </c>
      <c r="BN53" s="1881">
        <v>168.25458102743099</v>
      </c>
      <c r="BO53" s="1881">
        <v>168.133076711575</v>
      </c>
      <c r="BP53" s="1881">
        <v>3.9149881799795101</v>
      </c>
      <c r="BQ53" s="1881">
        <v>3.9381742070520001</v>
      </c>
      <c r="BR53" s="1881">
        <v>33.299450848757303</v>
      </c>
      <c r="BS53" s="1881">
        <v>33.296579137229301</v>
      </c>
      <c r="BT53" s="1881">
        <v>122.30249999999999</v>
      </c>
      <c r="BU53" s="1881">
        <v>122.3</v>
      </c>
      <c r="BV53" s="1881">
        <v>166.33064406980699</v>
      </c>
      <c r="BW53" s="1881">
        <v>164.92766295947499</v>
      </c>
    </row>
    <row r="54" spans="1:75" ht="12" thickBot="1">
      <c r="A54" s="1883" t="s">
        <v>556</v>
      </c>
      <c r="B54" s="1802">
        <v>85.9169084085989</v>
      </c>
      <c r="C54" s="1802">
        <v>84.108298208552199</v>
      </c>
      <c r="D54" s="1802">
        <v>122.62444444444399</v>
      </c>
      <c r="E54" s="1802">
        <v>122.75</v>
      </c>
      <c r="F54" s="1802">
        <v>324.79795367497201</v>
      </c>
      <c r="G54" s="1802">
        <v>325.12250033108199</v>
      </c>
      <c r="H54" s="1802">
        <v>89.467665932362607</v>
      </c>
      <c r="I54" s="1802">
        <v>88.157138753231806</v>
      </c>
      <c r="J54" s="1802">
        <v>17.7562054537403</v>
      </c>
      <c r="K54" s="1802">
        <v>17.7399774546926</v>
      </c>
      <c r="L54" s="1802">
        <v>18.951662514626399</v>
      </c>
      <c r="M54" s="1802">
        <v>18.828708603684401</v>
      </c>
      <c r="N54" s="1802">
        <v>141.610031811026</v>
      </c>
      <c r="O54" s="1802">
        <v>140.74514892944401</v>
      </c>
      <c r="P54" s="1883" t="s">
        <v>556</v>
      </c>
      <c r="Q54" s="1884">
        <v>15.668871568685599</v>
      </c>
      <c r="R54" s="1884">
        <v>15.665479791212</v>
      </c>
      <c r="S54" s="1884">
        <v>1.3229385187107701</v>
      </c>
      <c r="T54" s="1884">
        <v>1.30061401696361</v>
      </c>
      <c r="U54" s="1884">
        <v>7.2425172565649997E-3</v>
      </c>
      <c r="V54" s="1884">
        <v>7.2216502426827502E-3</v>
      </c>
      <c r="W54" s="1884">
        <v>9.3097203142630694E-5</v>
      </c>
      <c r="X54" s="1884">
        <v>9.3261186023965993E-5</v>
      </c>
      <c r="Y54" s="1884">
        <v>0.77244765424742901</v>
      </c>
      <c r="Z54" s="1884">
        <v>0.76850837376741299</v>
      </c>
      <c r="AA54" s="1884">
        <v>400.22239356161498</v>
      </c>
      <c r="AB54" s="1884">
        <v>399.90226421241198</v>
      </c>
      <c r="AC54" s="1884">
        <v>31.060227531111799</v>
      </c>
      <c r="AD54" s="1884">
        <v>30.512055679840898</v>
      </c>
      <c r="AE54" s="1883" t="s">
        <v>556</v>
      </c>
      <c r="AF54" s="1884">
        <v>5.83925925925926E-2</v>
      </c>
      <c r="AG54" s="1884">
        <v>5.8452380952380999E-2</v>
      </c>
      <c r="AH54" s="1884">
        <v>1.05503287582451</v>
      </c>
      <c r="AI54" s="1884">
        <v>1.05304606980044</v>
      </c>
      <c r="AJ54" s="1884">
        <v>71.621680906987706</v>
      </c>
      <c r="AK54" s="1884">
        <v>70.225272854396096</v>
      </c>
      <c r="AL54" s="1884">
        <v>12.656769518149099</v>
      </c>
      <c r="AM54" s="1884">
        <v>12.5969787775543</v>
      </c>
      <c r="AN54" s="1884">
        <v>318.47136672150401</v>
      </c>
      <c r="AO54" s="1884">
        <v>318.87258085465601</v>
      </c>
      <c r="AP54" s="1884">
        <v>0.43859313328233801</v>
      </c>
      <c r="AQ54" s="1884">
        <v>0.43964899713466998</v>
      </c>
      <c r="AR54" s="1884">
        <v>2.0599947614114398</v>
      </c>
      <c r="AS54" s="1884">
        <v>2.02364073988592</v>
      </c>
      <c r="AT54" s="1883" t="s">
        <v>556</v>
      </c>
      <c r="AU54" s="1885">
        <v>33.594584957778402</v>
      </c>
      <c r="AV54" s="1884">
        <v>33.691057803150898</v>
      </c>
      <c r="AW54" s="1884">
        <v>1.5425920979189101</v>
      </c>
      <c r="AX54" s="1884">
        <v>1.5098400984009801</v>
      </c>
      <c r="AY54" s="1884">
        <v>32.675889908737297</v>
      </c>
      <c r="AZ54" s="1884">
        <v>32.709782290084497</v>
      </c>
      <c r="BA54" s="1884">
        <v>8.2353191061594694E-2</v>
      </c>
      <c r="BB54" s="1884">
        <v>8.0165882967607099E-2</v>
      </c>
      <c r="BC54" s="1884">
        <v>95.806403533157095</v>
      </c>
      <c r="BD54" s="1884">
        <v>95.059242623712507</v>
      </c>
      <c r="BE54" s="1884">
        <v>13.150820684750601</v>
      </c>
      <c r="BF54" s="1884">
        <v>12.8606077750363</v>
      </c>
      <c r="BG54" s="1884">
        <v>0.393541719397209</v>
      </c>
      <c r="BH54" s="1884">
        <v>0.38900332752337202</v>
      </c>
      <c r="BI54" s="1883" t="s">
        <v>556</v>
      </c>
      <c r="BJ54" s="1802">
        <v>156.01370359770101</v>
      </c>
      <c r="BK54" s="1802">
        <v>153.53345841150701</v>
      </c>
      <c r="BL54" s="1802">
        <v>1.06159510045635</v>
      </c>
      <c r="BM54" s="1802">
        <v>1.0625865650969499</v>
      </c>
      <c r="BN54" s="1802">
        <v>167.06344209908599</v>
      </c>
      <c r="BO54" s="1802">
        <v>166.485826664858</v>
      </c>
      <c r="BP54" s="1802">
        <v>3.8102115967786401</v>
      </c>
      <c r="BQ54" s="1802">
        <v>3.7338403041825101</v>
      </c>
      <c r="BR54" s="1802">
        <v>33.386340530479899</v>
      </c>
      <c r="BS54" s="1802">
        <v>33.423642972866297</v>
      </c>
      <c r="BT54" s="1802">
        <v>122.62444444444399</v>
      </c>
      <c r="BU54" s="1802">
        <v>122.75</v>
      </c>
      <c r="BV54" s="1802">
        <v>163.439033600724</v>
      </c>
      <c r="BW54" s="1802">
        <v>161.87655668246401</v>
      </c>
    </row>
    <row r="55" spans="1:75" s="7" customFormat="1">
      <c r="A55" s="586" t="s">
        <v>2799</v>
      </c>
      <c r="B55" s="585" t="s">
        <v>1508</v>
      </c>
      <c r="C55" s="31"/>
      <c r="D55" s="31"/>
      <c r="E55" s="31"/>
      <c r="F55" s="31"/>
      <c r="G55" s="31"/>
      <c r="H55" s="586" t="s">
        <v>377</v>
      </c>
      <c r="I55" s="2509" t="s">
        <v>1221</v>
      </c>
      <c r="J55" s="2509"/>
      <c r="K55" s="2509"/>
      <c r="L55" s="2509"/>
      <c r="M55" s="2509"/>
      <c r="N55" s="6"/>
      <c r="O55" s="6"/>
      <c r="P55" s="587"/>
      <c r="Q55" s="31"/>
      <c r="R55" s="31"/>
      <c r="S55" s="31"/>
      <c r="T55" s="31"/>
      <c r="U55" s="31"/>
      <c r="V55" s="31"/>
      <c r="W55" s="62"/>
      <c r="X55" s="62"/>
      <c r="Y55" s="62"/>
      <c r="Z55" s="62"/>
      <c r="AA55" s="62"/>
      <c r="AB55" s="62"/>
      <c r="AC55" s="62"/>
      <c r="AD55" s="62"/>
      <c r="AE55" s="587" t="s">
        <v>679</v>
      </c>
      <c r="AF55" s="2509" t="s">
        <v>1269</v>
      </c>
      <c r="AG55" s="2509"/>
      <c r="AH55" s="2509"/>
      <c r="AI55" s="2509"/>
      <c r="AJ55" s="2509"/>
      <c r="AK55" s="2509"/>
      <c r="AL55" s="62"/>
      <c r="AM55" s="62"/>
      <c r="AN55" s="62"/>
      <c r="AO55" s="62"/>
      <c r="AP55" s="62"/>
      <c r="AQ55" s="62"/>
      <c r="AR55" s="62"/>
      <c r="AS55" s="62"/>
      <c r="AT55" s="1867"/>
      <c r="AU55" s="31"/>
      <c r="AV55" s="31"/>
      <c r="AW55" s="31"/>
      <c r="AX55" s="31"/>
      <c r="AY55" s="31"/>
      <c r="AZ55" s="31"/>
      <c r="BA55" s="62"/>
      <c r="BB55" s="62"/>
      <c r="BC55" s="62"/>
      <c r="BD55" s="62"/>
      <c r="BE55" s="62"/>
      <c r="BF55" s="62"/>
      <c r="BG55" s="62"/>
      <c r="BH55" s="62"/>
      <c r="BI55" s="587"/>
      <c r="BJ55" s="588"/>
      <c r="BK55" s="588"/>
      <c r="BL55" s="588"/>
      <c r="BM55" s="588"/>
      <c r="BN55" s="588"/>
      <c r="BO55" s="588"/>
      <c r="BP55" s="588"/>
      <c r="BQ55" s="588"/>
      <c r="BR55" s="588"/>
      <c r="BS55" s="588"/>
      <c r="BT55" s="588"/>
      <c r="BU55" s="588"/>
      <c r="BV55" s="588"/>
      <c r="BW55" s="588"/>
    </row>
    <row r="56" spans="1:75"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075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075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075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075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</row>
    <row r="57" spans="1:75"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</row>
    <row r="62" spans="1:75">
      <c r="D62" s="157"/>
      <c r="E62" s="157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5:M55"/>
    <mergeCell ref="AF55:AK55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J64"/>
  <sheetViews>
    <sheetView zoomScale="130" zoomScaleNormal="130" workbookViewId="0">
      <pane xSplit="1" ySplit="3" topLeftCell="T40" activePane="bottomRight" state="frozen"/>
      <selection activeCell="BU10" sqref="BU10"/>
      <selection pane="topRight" activeCell="BU10" sqref="BU10"/>
      <selection pane="bottomLeft" activeCell="BU10" sqref="BU10"/>
      <selection pane="bottomRight" activeCell="A50" sqref="A4:XFD50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16384" width="9.140625" style="8"/>
  </cols>
  <sheetData>
    <row r="1" spans="1:36" s="127" customFormat="1" ht="15" customHeight="1">
      <c r="A1" s="2559" t="s">
        <v>316</v>
      </c>
      <c r="B1" s="2559"/>
      <c r="C1" s="2559"/>
      <c r="D1" s="2559"/>
      <c r="E1" s="2559"/>
      <c r="F1" s="2559"/>
      <c r="G1" s="2559"/>
      <c r="H1" s="2559"/>
      <c r="I1" s="2560" t="s">
        <v>317</v>
      </c>
      <c r="J1" s="2560"/>
      <c r="K1" s="2560"/>
      <c r="L1" s="2560"/>
      <c r="M1" s="2560"/>
      <c r="N1" s="2560"/>
      <c r="O1" s="343"/>
      <c r="P1" s="2558" t="s">
        <v>1088</v>
      </c>
      <c r="Q1" s="2558"/>
      <c r="R1" s="2558"/>
      <c r="S1" s="2559" t="s">
        <v>835</v>
      </c>
      <c r="T1" s="2559"/>
      <c r="U1" s="2559"/>
      <c r="V1" s="2559"/>
      <c r="W1" s="2559"/>
      <c r="X1" s="2559"/>
      <c r="Y1" s="2559"/>
      <c r="Z1" s="2559"/>
      <c r="AA1" s="2559"/>
      <c r="AB1" s="2560" t="s">
        <v>317</v>
      </c>
      <c r="AC1" s="2560"/>
      <c r="AD1" s="2560"/>
      <c r="AE1" s="2560"/>
      <c r="AF1" s="2560"/>
      <c r="AG1" s="343"/>
      <c r="AH1" s="2558" t="s">
        <v>1089</v>
      </c>
      <c r="AI1" s="2558"/>
      <c r="AJ1" s="2558"/>
    </row>
    <row r="2" spans="1:36" s="16" customFormat="1" ht="10.5" customHeight="1">
      <c r="A2" s="41"/>
      <c r="B2" s="41"/>
      <c r="C2" s="41"/>
      <c r="E2" s="1671"/>
      <c r="H2" s="66"/>
      <c r="I2" s="1876"/>
      <c r="J2" s="66"/>
      <c r="K2" s="66"/>
      <c r="L2" s="66"/>
      <c r="M2" s="66"/>
      <c r="N2" s="66"/>
      <c r="O2" s="41"/>
      <c r="P2" s="41"/>
      <c r="Q2" s="2525" t="s">
        <v>611</v>
      </c>
      <c r="R2" s="2525"/>
      <c r="W2" s="1671"/>
      <c r="AI2" s="2525" t="s">
        <v>611</v>
      </c>
      <c r="AJ2" s="2525"/>
    </row>
    <row r="3" spans="1:36" s="85" customFormat="1" ht="39" customHeight="1">
      <c r="A3" s="1865" t="s">
        <v>924</v>
      </c>
      <c r="B3" s="1865" t="s">
        <v>612</v>
      </c>
      <c r="C3" s="1865" t="s">
        <v>374</v>
      </c>
      <c r="D3" s="1865" t="s">
        <v>515</v>
      </c>
      <c r="E3" s="1865" t="s">
        <v>516</v>
      </c>
      <c r="F3" s="1865" t="s">
        <v>819</v>
      </c>
      <c r="G3" s="1865" t="s">
        <v>820</v>
      </c>
      <c r="H3" s="1865" t="s">
        <v>300</v>
      </c>
      <c r="I3" s="1865" t="s">
        <v>821</v>
      </c>
      <c r="J3" s="1865" t="s">
        <v>518</v>
      </c>
      <c r="K3" s="1865" t="s">
        <v>822</v>
      </c>
      <c r="L3" s="1865" t="s">
        <v>239</v>
      </c>
      <c r="M3" s="1865" t="s">
        <v>823</v>
      </c>
      <c r="N3" s="1865" t="s">
        <v>824</v>
      </c>
      <c r="O3" s="1865" t="s">
        <v>825</v>
      </c>
      <c r="P3" s="1865" t="s">
        <v>826</v>
      </c>
      <c r="Q3" s="1865" t="s">
        <v>521</v>
      </c>
      <c r="R3" s="1865" t="s">
        <v>522</v>
      </c>
      <c r="S3" s="1865" t="s">
        <v>924</v>
      </c>
      <c r="T3" s="1865" t="s">
        <v>523</v>
      </c>
      <c r="U3" s="1865" t="s">
        <v>524</v>
      </c>
      <c r="V3" s="1865" t="s">
        <v>827</v>
      </c>
      <c r="W3" s="1865" t="s">
        <v>526</v>
      </c>
      <c r="X3" s="1865" t="s">
        <v>1930</v>
      </c>
      <c r="Y3" s="1865" t="s">
        <v>828</v>
      </c>
      <c r="Z3" s="1865" t="s">
        <v>829</v>
      </c>
      <c r="AA3" s="1865" t="s">
        <v>375</v>
      </c>
      <c r="AB3" s="1865" t="s">
        <v>830</v>
      </c>
      <c r="AC3" s="1865" t="s">
        <v>831</v>
      </c>
      <c r="AD3" s="1879" t="s">
        <v>832</v>
      </c>
      <c r="AE3" s="1865" t="s">
        <v>1931</v>
      </c>
      <c r="AF3" s="1865" t="s">
        <v>614</v>
      </c>
      <c r="AG3" s="1865" t="s">
        <v>532</v>
      </c>
      <c r="AH3" s="1865" t="s">
        <v>1528</v>
      </c>
      <c r="AI3" s="1865" t="s">
        <v>1271</v>
      </c>
      <c r="AJ3" s="1865" t="s">
        <v>1270</v>
      </c>
    </row>
    <row r="4" spans="1:36" s="160" customFormat="1" ht="12.75" customHeight="1">
      <c r="A4" s="298" t="s">
        <v>814</v>
      </c>
      <c r="B4" s="294">
        <v>-10.71</v>
      </c>
      <c r="C4" s="294">
        <v>5.21</v>
      </c>
      <c r="D4" s="294">
        <v>0</v>
      </c>
      <c r="E4" s="294">
        <v>-3.35</v>
      </c>
      <c r="F4" s="294">
        <v>2.37</v>
      </c>
      <c r="G4" s="294">
        <v>2.58</v>
      </c>
      <c r="H4" s="294">
        <v>2.92</v>
      </c>
      <c r="I4" s="294">
        <v>0.02</v>
      </c>
      <c r="J4" s="294">
        <v>-6.75</v>
      </c>
      <c r="K4" s="294">
        <v>-5.37</v>
      </c>
      <c r="L4" s="294">
        <v>0.04</v>
      </c>
      <c r="M4" s="294">
        <v>-19.53</v>
      </c>
      <c r="N4" s="294">
        <v>-1.86</v>
      </c>
      <c r="O4" s="294">
        <v>0.35</v>
      </c>
      <c r="P4" s="294">
        <v>0</v>
      </c>
      <c r="Q4" s="294">
        <v>-4.8600000000000003</v>
      </c>
      <c r="R4" s="294">
        <v>-3.26</v>
      </c>
      <c r="S4" s="298" t="s">
        <v>814</v>
      </c>
      <c r="T4" s="294">
        <v>-1.79</v>
      </c>
      <c r="U4" s="294">
        <v>0</v>
      </c>
      <c r="V4" s="294">
        <v>-4.99</v>
      </c>
      <c r="W4" s="294">
        <v>-2.56</v>
      </c>
      <c r="X4" s="294">
        <v>0.01</v>
      </c>
      <c r="Y4" s="311">
        <v>-0.22</v>
      </c>
      <c r="Z4" s="311">
        <v>0.01</v>
      </c>
      <c r="AA4" s="311">
        <v>0.3</v>
      </c>
      <c r="AB4" s="311">
        <v>-0.15</v>
      </c>
      <c r="AC4" s="311">
        <v>3.24</v>
      </c>
      <c r="AD4" s="311">
        <v>2.04</v>
      </c>
      <c r="AE4" s="311">
        <v>0.57999999999999996</v>
      </c>
      <c r="AF4" s="311">
        <v>-36.24</v>
      </c>
      <c r="AG4" s="311">
        <v>-0.89</v>
      </c>
      <c r="AH4" s="311">
        <v>1.76</v>
      </c>
      <c r="AI4" s="311">
        <v>0</v>
      </c>
      <c r="AJ4" s="311">
        <v>-2.96</v>
      </c>
    </row>
    <row r="5" spans="1:36" s="249" customFormat="1" ht="12.75" customHeight="1">
      <c r="A5" s="630" t="s">
        <v>991</v>
      </c>
      <c r="B5" s="226">
        <v>3.09</v>
      </c>
      <c r="C5" s="226">
        <v>0.17</v>
      </c>
      <c r="D5" s="226">
        <v>0</v>
      </c>
      <c r="E5" s="226">
        <v>-1.3</v>
      </c>
      <c r="F5" s="226">
        <v>0.42</v>
      </c>
      <c r="G5" s="226">
        <v>4.9400000000000004</v>
      </c>
      <c r="H5" s="226">
        <v>4.9000000000000004</v>
      </c>
      <c r="I5" s="226">
        <v>0.06</v>
      </c>
      <c r="J5" s="226">
        <v>-0.86</v>
      </c>
      <c r="K5" s="226">
        <v>-17.149999999999999</v>
      </c>
      <c r="L5" s="226">
        <v>-52.09</v>
      </c>
      <c r="M5" s="226">
        <v>-2.16</v>
      </c>
      <c r="N5" s="226">
        <v>1.22</v>
      </c>
      <c r="O5" s="226">
        <v>-1.54</v>
      </c>
      <c r="P5" s="226">
        <v>0</v>
      </c>
      <c r="Q5" s="226">
        <v>-0.71</v>
      </c>
      <c r="R5" s="226">
        <v>13.34</v>
      </c>
      <c r="S5" s="630" t="s">
        <v>991</v>
      </c>
      <c r="T5" s="226">
        <v>-0.86</v>
      </c>
      <c r="U5" s="226">
        <v>0</v>
      </c>
      <c r="V5" s="226">
        <v>0.86</v>
      </c>
      <c r="W5" s="226">
        <v>-1.28</v>
      </c>
      <c r="X5" s="226">
        <v>-0.02</v>
      </c>
      <c r="Y5" s="226">
        <v>-2.2799999999999998</v>
      </c>
      <c r="Z5" s="226">
        <v>-0.01</v>
      </c>
      <c r="AA5" s="226">
        <v>12.42</v>
      </c>
      <c r="AB5" s="226">
        <v>1.42</v>
      </c>
      <c r="AC5" s="226">
        <v>-0.51</v>
      </c>
      <c r="AD5" s="226">
        <v>0.16</v>
      </c>
      <c r="AE5" s="226">
        <v>6.06</v>
      </c>
      <c r="AF5" s="226">
        <v>-32.82</v>
      </c>
      <c r="AG5" s="226">
        <v>2.67</v>
      </c>
      <c r="AH5" s="226">
        <v>-4.33</v>
      </c>
      <c r="AI5" s="226">
        <v>0.01</v>
      </c>
      <c r="AJ5" s="226">
        <v>12.04</v>
      </c>
    </row>
    <row r="6" spans="1:36" s="249" customFormat="1" ht="12.75" customHeight="1">
      <c r="A6" s="688" t="s">
        <v>1042</v>
      </c>
      <c r="B6" s="371">
        <v>-18.440000000000001</v>
      </c>
      <c r="C6" s="371">
        <v>-0.22</v>
      </c>
      <c r="D6" s="371">
        <v>-0.01</v>
      </c>
      <c r="E6" s="371">
        <v>-13.97</v>
      </c>
      <c r="F6" s="371">
        <v>0.64</v>
      </c>
      <c r="G6" s="371">
        <v>-17.73</v>
      </c>
      <c r="H6" s="371">
        <v>-17.670000000000002</v>
      </c>
      <c r="I6" s="371">
        <v>-0.01</v>
      </c>
      <c r="J6" s="371">
        <v>-5.75</v>
      </c>
      <c r="K6" s="371">
        <v>-10.130000000000001</v>
      </c>
      <c r="L6" s="371">
        <v>-12.59</v>
      </c>
      <c r="M6" s="371">
        <v>-17.21</v>
      </c>
      <c r="N6" s="371">
        <v>-6.77</v>
      </c>
      <c r="O6" s="371">
        <v>-15.23</v>
      </c>
      <c r="P6" s="371">
        <v>-99.43</v>
      </c>
      <c r="Q6" s="371">
        <v>-5.44</v>
      </c>
      <c r="R6" s="371">
        <v>-21.92</v>
      </c>
      <c r="S6" s="688" t="s">
        <v>1042</v>
      </c>
      <c r="T6" s="371">
        <v>-22.06</v>
      </c>
      <c r="U6" s="371">
        <v>0.01</v>
      </c>
      <c r="V6" s="371">
        <v>-3.09</v>
      </c>
      <c r="W6" s="371">
        <v>-3.09</v>
      </c>
      <c r="X6" s="371">
        <v>-0.01</v>
      </c>
      <c r="Y6" s="371">
        <v>-39.450000000000003</v>
      </c>
      <c r="Z6" s="371">
        <v>-0.01</v>
      </c>
      <c r="AA6" s="371">
        <v>-9.57</v>
      </c>
      <c r="AB6" s="371">
        <v>-7.17</v>
      </c>
      <c r="AC6" s="371">
        <v>-18.239999999999998</v>
      </c>
      <c r="AD6" s="371">
        <v>-2.5499999999999998</v>
      </c>
      <c r="AE6" s="371">
        <v>-3.8</v>
      </c>
      <c r="AF6" s="371">
        <v>-31.24</v>
      </c>
      <c r="AG6" s="371">
        <v>-9.1199999999999992</v>
      </c>
      <c r="AH6" s="371">
        <v>-3.91</v>
      </c>
      <c r="AI6" s="371">
        <v>0</v>
      </c>
      <c r="AJ6" s="371">
        <v>-7.63</v>
      </c>
    </row>
    <row r="7" spans="1:36" s="249" customFormat="1" ht="12.75" customHeight="1">
      <c r="A7" s="748" t="s">
        <v>1163</v>
      </c>
      <c r="B7" s="357">
        <v>-3.89</v>
      </c>
      <c r="C7" s="357">
        <v>-0.76</v>
      </c>
      <c r="D7" s="357">
        <v>-0.08</v>
      </c>
      <c r="E7" s="357">
        <v>-4.84</v>
      </c>
      <c r="F7" s="357">
        <v>-7.82</v>
      </c>
      <c r="G7" s="357">
        <v>-1.31</v>
      </c>
      <c r="H7" s="357">
        <v>-1.52</v>
      </c>
      <c r="I7" s="357">
        <v>-0.08</v>
      </c>
      <c r="J7" s="357">
        <v>-5.91</v>
      </c>
      <c r="K7" s="357">
        <v>1.28</v>
      </c>
      <c r="L7" s="357">
        <v>-2.61</v>
      </c>
      <c r="M7" s="357">
        <v>19.25</v>
      </c>
      <c r="N7" s="357">
        <v>0.05</v>
      </c>
      <c r="O7" s="357">
        <v>-6.68</v>
      </c>
      <c r="P7" s="357">
        <v>-5.53</v>
      </c>
      <c r="Q7" s="357">
        <v>-6.41</v>
      </c>
      <c r="R7" s="357">
        <v>2.8</v>
      </c>
      <c r="S7" s="748" t="s">
        <v>1163</v>
      </c>
      <c r="T7" s="357">
        <v>-7.3</v>
      </c>
      <c r="U7" s="357">
        <v>-0.01</v>
      </c>
      <c r="V7" s="357">
        <v>-2.68</v>
      </c>
      <c r="W7" s="357">
        <v>-3.89</v>
      </c>
      <c r="X7" s="357">
        <v>0</v>
      </c>
      <c r="Y7" s="357">
        <v>-13.36</v>
      </c>
      <c r="Z7" s="357">
        <v>0.01</v>
      </c>
      <c r="AA7" s="357">
        <v>-3.69</v>
      </c>
      <c r="AB7" s="357">
        <v>-0.55000000000000004</v>
      </c>
      <c r="AC7" s="357">
        <v>-3.04</v>
      </c>
      <c r="AD7" s="357">
        <v>-9.5299999999999994</v>
      </c>
      <c r="AE7" s="357">
        <v>-5.73</v>
      </c>
      <c r="AF7" s="357">
        <v>0.35</v>
      </c>
      <c r="AG7" s="357">
        <v>-0.56999999999999995</v>
      </c>
      <c r="AH7" s="357">
        <v>-4.17</v>
      </c>
      <c r="AI7" s="357">
        <v>0</v>
      </c>
      <c r="AJ7" s="357">
        <v>-15.21</v>
      </c>
    </row>
    <row r="8" spans="1:36" s="249" customFormat="1" ht="12.75" customHeight="1">
      <c r="A8" s="861" t="s">
        <v>1187</v>
      </c>
      <c r="B8" s="371">
        <v>4.01</v>
      </c>
      <c r="C8" s="371">
        <v>-2.72</v>
      </c>
      <c r="D8" s="371">
        <v>0.03</v>
      </c>
      <c r="E8" s="371">
        <v>0.15</v>
      </c>
      <c r="F8" s="371">
        <v>-2.1</v>
      </c>
      <c r="G8" s="371">
        <v>3.51</v>
      </c>
      <c r="H8" s="371">
        <v>3.38</v>
      </c>
      <c r="I8" s="371">
        <v>-0.6</v>
      </c>
      <c r="J8" s="371">
        <v>4.72</v>
      </c>
      <c r="K8" s="371">
        <v>-1.24</v>
      </c>
      <c r="L8" s="371">
        <v>-7.34</v>
      </c>
      <c r="M8" s="371">
        <v>-8.4</v>
      </c>
      <c r="N8" s="371">
        <v>-0.4</v>
      </c>
      <c r="O8" s="371">
        <v>-5.53</v>
      </c>
      <c r="P8" s="371">
        <v>-13.2</v>
      </c>
      <c r="Q8" s="371">
        <v>5.32</v>
      </c>
      <c r="R8" s="371">
        <v>3.58</v>
      </c>
      <c r="S8" s="861" t="s">
        <v>1187</v>
      </c>
      <c r="T8" s="371">
        <v>1.07</v>
      </c>
      <c r="U8" s="371">
        <v>-0.05</v>
      </c>
      <c r="V8" s="371">
        <v>-0.2</v>
      </c>
      <c r="W8" s="371">
        <v>-6.8</v>
      </c>
      <c r="X8" s="371">
        <v>-2.5099999999999998</v>
      </c>
      <c r="Y8" s="371">
        <v>8.65</v>
      </c>
      <c r="Z8" s="371">
        <v>0.01</v>
      </c>
      <c r="AA8" s="371">
        <v>1.68</v>
      </c>
      <c r="AB8" s="371">
        <v>-1.86</v>
      </c>
      <c r="AC8" s="371">
        <v>0.46</v>
      </c>
      <c r="AD8" s="371">
        <v>-3.74</v>
      </c>
      <c r="AE8" s="371">
        <v>2.76</v>
      </c>
      <c r="AF8" s="371">
        <v>-57.91</v>
      </c>
      <c r="AG8" s="371">
        <v>-0.33</v>
      </c>
      <c r="AH8" s="371">
        <v>3.75</v>
      </c>
      <c r="AI8" s="371">
        <v>-0.01</v>
      </c>
      <c r="AJ8" s="371">
        <v>-2.52</v>
      </c>
    </row>
    <row r="9" spans="1:36" s="249" customFormat="1" ht="12.75" customHeight="1">
      <c r="A9" s="925" t="s">
        <v>1311</v>
      </c>
      <c r="B9" s="357">
        <v>-4.29</v>
      </c>
      <c r="C9" s="357">
        <v>-3.74</v>
      </c>
      <c r="D9" s="357">
        <v>-0.21</v>
      </c>
      <c r="E9" s="357">
        <v>-1.83</v>
      </c>
      <c r="F9" s="357">
        <v>2.38</v>
      </c>
      <c r="G9" s="357">
        <v>0.88</v>
      </c>
      <c r="H9" s="357">
        <v>1.1200000000000001</v>
      </c>
      <c r="I9" s="357">
        <v>-0.54</v>
      </c>
      <c r="J9" s="357">
        <v>-6.07</v>
      </c>
      <c r="K9" s="357">
        <v>-7.22</v>
      </c>
      <c r="L9" s="357">
        <v>-23.72</v>
      </c>
      <c r="M9" s="357">
        <v>1.52</v>
      </c>
      <c r="N9" s="357">
        <v>0.28000000000000003</v>
      </c>
      <c r="O9" s="357">
        <v>6.39</v>
      </c>
      <c r="P9" s="357">
        <v>-3.88</v>
      </c>
      <c r="Q9" s="357">
        <v>-5.28</v>
      </c>
      <c r="R9" s="357">
        <v>-7.46</v>
      </c>
      <c r="S9" s="925" t="s">
        <v>1311</v>
      </c>
      <c r="T9" s="357">
        <v>2.41</v>
      </c>
      <c r="U9" s="357">
        <v>0.05</v>
      </c>
      <c r="V9" s="357">
        <v>-13.86</v>
      </c>
      <c r="W9" s="357">
        <v>-5.49</v>
      </c>
      <c r="X9" s="357">
        <v>2.58</v>
      </c>
      <c r="Y9" s="357">
        <v>-6.27</v>
      </c>
      <c r="Z9" s="357">
        <v>-0.01</v>
      </c>
      <c r="AA9" s="357">
        <v>2.57</v>
      </c>
      <c r="AB9" s="357">
        <v>0.84</v>
      </c>
      <c r="AC9" s="357">
        <v>-5.58</v>
      </c>
      <c r="AD9" s="357">
        <v>-3.02</v>
      </c>
      <c r="AE9" s="357">
        <v>-4.18</v>
      </c>
      <c r="AF9" s="357">
        <v>0</v>
      </c>
      <c r="AG9" s="357">
        <v>1.03</v>
      </c>
      <c r="AH9" s="357">
        <v>2.52</v>
      </c>
      <c r="AI9" s="357">
        <v>-0.01</v>
      </c>
      <c r="AJ9" s="357">
        <v>0.55000000000000004</v>
      </c>
    </row>
    <row r="10" spans="1:36" s="249" customFormat="1" ht="12.75" customHeight="1">
      <c r="A10" s="563" t="s">
        <v>1420</v>
      </c>
      <c r="B10" s="371">
        <v>-4.54</v>
      </c>
      <c r="C10" s="371">
        <v>-0.92</v>
      </c>
      <c r="D10" s="371">
        <v>0.28000000000000003</v>
      </c>
      <c r="E10" s="371">
        <v>1.18</v>
      </c>
      <c r="F10" s="371">
        <v>-3.75</v>
      </c>
      <c r="G10" s="371">
        <v>-1.86</v>
      </c>
      <c r="H10" s="371">
        <v>-1.72</v>
      </c>
      <c r="I10" s="371">
        <v>0.45</v>
      </c>
      <c r="J10" s="371">
        <v>-0.16</v>
      </c>
      <c r="K10" s="371">
        <v>1.68</v>
      </c>
      <c r="L10" s="371">
        <v>1.4</v>
      </c>
      <c r="M10" s="371">
        <v>2.41</v>
      </c>
      <c r="N10" s="371">
        <v>-0.33</v>
      </c>
      <c r="O10" s="371">
        <v>-2.34</v>
      </c>
      <c r="P10" s="371">
        <v>-6.34</v>
      </c>
      <c r="Q10" s="371">
        <v>-4.32</v>
      </c>
      <c r="R10" s="371">
        <v>-0.55000000000000004</v>
      </c>
      <c r="S10" s="563" t="s">
        <v>1420</v>
      </c>
      <c r="T10" s="371">
        <v>-4.04</v>
      </c>
      <c r="U10" s="371">
        <v>0</v>
      </c>
      <c r="V10" s="371">
        <v>-25.37</v>
      </c>
      <c r="W10" s="371">
        <v>4.0599999999999996</v>
      </c>
      <c r="X10" s="371">
        <v>-0.01</v>
      </c>
      <c r="Y10" s="371">
        <v>-0.19</v>
      </c>
      <c r="Z10" s="371">
        <v>0</v>
      </c>
      <c r="AA10" s="371">
        <v>-3.63</v>
      </c>
      <c r="AB10" s="371">
        <v>1.1100000000000001</v>
      </c>
      <c r="AC10" s="371">
        <v>-3.46</v>
      </c>
      <c r="AD10" s="371">
        <v>-10.28</v>
      </c>
      <c r="AE10" s="371">
        <v>2.1800000000000002</v>
      </c>
      <c r="AF10" s="371">
        <v>0</v>
      </c>
      <c r="AG10" s="371">
        <v>-1.04</v>
      </c>
      <c r="AH10" s="371">
        <v>7.98</v>
      </c>
      <c r="AI10" s="371">
        <v>0</v>
      </c>
      <c r="AJ10" s="371">
        <v>-2.93</v>
      </c>
    </row>
    <row r="11" spans="1:36" s="277" customFormat="1" ht="12.75" customHeight="1">
      <c r="A11" s="523" t="s">
        <v>1502</v>
      </c>
      <c r="B11" s="357">
        <v>-2.21</v>
      </c>
      <c r="C11" s="357">
        <v>-0.47</v>
      </c>
      <c r="D11" s="357">
        <v>-0.16</v>
      </c>
      <c r="E11" s="357">
        <v>-4.1500000000000004</v>
      </c>
      <c r="F11" s="357">
        <v>-2.89</v>
      </c>
      <c r="G11" s="357">
        <v>-0.97</v>
      </c>
      <c r="H11" s="357">
        <v>-1.1299999999999999</v>
      </c>
      <c r="I11" s="357">
        <v>0.81</v>
      </c>
      <c r="J11" s="357">
        <v>-8.69</v>
      </c>
      <c r="K11" s="357">
        <v>-1.1000000000000001</v>
      </c>
      <c r="L11" s="357">
        <v>0</v>
      </c>
      <c r="M11" s="357">
        <v>0.3</v>
      </c>
      <c r="N11" s="357">
        <v>-1.4</v>
      </c>
      <c r="O11" s="357">
        <v>-3.45</v>
      </c>
      <c r="P11" s="357">
        <v>9.74</v>
      </c>
      <c r="Q11" s="357">
        <v>-0.86</v>
      </c>
      <c r="R11" s="357">
        <v>-4.4400000000000004</v>
      </c>
      <c r="S11" s="523" t="s">
        <v>1502</v>
      </c>
      <c r="T11" s="357">
        <v>-11.79</v>
      </c>
      <c r="U11" s="357">
        <v>0</v>
      </c>
      <c r="V11" s="357">
        <v>-2.67</v>
      </c>
      <c r="W11" s="357">
        <v>2.9</v>
      </c>
      <c r="X11" s="357">
        <v>0.01</v>
      </c>
      <c r="Y11" s="357">
        <v>-9.75</v>
      </c>
      <c r="Z11" s="357">
        <v>-0.02</v>
      </c>
      <c r="AA11" s="357">
        <v>-3.35</v>
      </c>
      <c r="AB11" s="357">
        <v>-2.94</v>
      </c>
      <c r="AC11" s="357">
        <v>-0.49</v>
      </c>
      <c r="AD11" s="357">
        <v>-5.18</v>
      </c>
      <c r="AE11" s="357">
        <v>2.61</v>
      </c>
      <c r="AF11" s="357">
        <v>0.16</v>
      </c>
      <c r="AG11" s="357">
        <v>-0.76</v>
      </c>
      <c r="AH11" s="357">
        <v>-0.63</v>
      </c>
      <c r="AI11" s="357">
        <v>0</v>
      </c>
      <c r="AJ11" s="357">
        <v>-3.12</v>
      </c>
    </row>
    <row r="12" spans="1:36" s="277" customFormat="1" ht="12.75" customHeight="1">
      <c r="A12" s="563" t="s">
        <v>1555</v>
      </c>
      <c r="B12" s="371">
        <v>9.42</v>
      </c>
      <c r="C12" s="371">
        <v>0.1</v>
      </c>
      <c r="D12" s="371">
        <v>0.16</v>
      </c>
      <c r="E12" s="371">
        <v>10.14</v>
      </c>
      <c r="F12" s="371">
        <v>9.59</v>
      </c>
      <c r="G12" s="371">
        <v>6.06</v>
      </c>
      <c r="H12" s="371">
        <v>5.83</v>
      </c>
      <c r="I12" s="371">
        <v>-0.17</v>
      </c>
      <c r="J12" s="371">
        <v>1.63</v>
      </c>
      <c r="K12" s="371">
        <v>-1.74</v>
      </c>
      <c r="L12" s="371">
        <v>0</v>
      </c>
      <c r="M12" s="371">
        <v>-2.66</v>
      </c>
      <c r="N12" s="371">
        <v>2.21</v>
      </c>
      <c r="O12" s="371">
        <v>3.03</v>
      </c>
      <c r="P12" s="371">
        <v>-16.13</v>
      </c>
      <c r="Q12" s="371">
        <v>3.65</v>
      </c>
      <c r="R12" s="371">
        <v>8.8800000000000008</v>
      </c>
      <c r="S12" s="563" t="s">
        <v>1555</v>
      </c>
      <c r="T12" s="583">
        <v>12.92</v>
      </c>
      <c r="U12" s="583">
        <v>0</v>
      </c>
      <c r="V12" s="583">
        <v>5.84</v>
      </c>
      <c r="W12" s="583">
        <v>2.21</v>
      </c>
      <c r="X12" s="583">
        <v>-1.64</v>
      </c>
      <c r="Y12" s="583">
        <v>-3.71</v>
      </c>
      <c r="Z12" s="583">
        <v>0.02</v>
      </c>
      <c r="AA12" s="583">
        <v>5.92</v>
      </c>
      <c r="AB12" s="583">
        <v>3.59</v>
      </c>
      <c r="AC12" s="583">
        <v>9.41</v>
      </c>
      <c r="AD12" s="583">
        <v>-6.69</v>
      </c>
      <c r="AE12" s="583">
        <v>3.32</v>
      </c>
      <c r="AF12" s="583">
        <v>-79.510000000000005</v>
      </c>
      <c r="AG12" s="583">
        <v>3.41</v>
      </c>
      <c r="AH12" s="583">
        <v>-3.65</v>
      </c>
      <c r="AI12" s="583">
        <v>0</v>
      </c>
      <c r="AJ12" s="583">
        <v>12.51</v>
      </c>
    </row>
    <row r="13" spans="1:36" s="277" customFormat="1" ht="12.75" customHeight="1">
      <c r="A13" s="523" t="s">
        <v>1836</v>
      </c>
      <c r="B13" s="357">
        <v>-8.39</v>
      </c>
      <c r="C13" s="357">
        <v>-9.24</v>
      </c>
      <c r="D13" s="357">
        <v>0</v>
      </c>
      <c r="E13" s="357">
        <v>-3.81</v>
      </c>
      <c r="F13" s="357">
        <v>-3.74</v>
      </c>
      <c r="G13" s="357">
        <v>-12.29</v>
      </c>
      <c r="H13" s="357">
        <v>-12.24</v>
      </c>
      <c r="I13" s="357">
        <v>-1.06</v>
      </c>
      <c r="J13" s="357">
        <v>-5.88</v>
      </c>
      <c r="K13" s="357">
        <v>-2.3199999999999998</v>
      </c>
      <c r="L13" s="357">
        <v>0</v>
      </c>
      <c r="M13" s="357">
        <v>-19.09</v>
      </c>
      <c r="N13" s="357">
        <v>-1.86</v>
      </c>
      <c r="O13" s="357">
        <v>-5.71</v>
      </c>
      <c r="P13" s="357">
        <v>-11.1</v>
      </c>
      <c r="Q13" s="357">
        <v>-6.46</v>
      </c>
      <c r="R13" s="357">
        <v>-11.06</v>
      </c>
      <c r="S13" s="523" t="s">
        <v>1836</v>
      </c>
      <c r="T13" s="584">
        <v>-13.61</v>
      </c>
      <c r="U13" s="584">
        <v>0</v>
      </c>
      <c r="V13" s="584">
        <v>-22.47</v>
      </c>
      <c r="W13" s="584">
        <v>-11.25</v>
      </c>
      <c r="X13" s="584">
        <v>1.06</v>
      </c>
      <c r="Y13" s="584">
        <v>37.840000000000003</v>
      </c>
      <c r="Z13" s="584">
        <v>-0.05</v>
      </c>
      <c r="AA13" s="584">
        <v>-13.05</v>
      </c>
      <c r="AB13" s="584">
        <v>-3.47</v>
      </c>
      <c r="AC13" s="584">
        <v>-16.670000000000002</v>
      </c>
      <c r="AD13" s="584">
        <v>-44.74</v>
      </c>
      <c r="AE13" s="584">
        <v>-3.61</v>
      </c>
      <c r="AF13" s="584">
        <v>-0.04</v>
      </c>
      <c r="AG13" s="584">
        <v>-6.93</v>
      </c>
      <c r="AH13" s="584">
        <v>-9.18</v>
      </c>
      <c r="AI13" s="584">
        <v>0</v>
      </c>
      <c r="AJ13" s="584">
        <v>-12.36</v>
      </c>
    </row>
    <row r="14" spans="1:36" s="277" customFormat="1" ht="12.75" customHeight="1">
      <c r="A14" s="598" t="s">
        <v>2088</v>
      </c>
      <c r="B14" s="529">
        <v>-2.9642547042443099</v>
      </c>
      <c r="C14" s="529">
        <v>-11.839622641509401</v>
      </c>
      <c r="D14" s="529">
        <v>0</v>
      </c>
      <c r="E14" s="529">
        <v>-2.20351196571472</v>
      </c>
      <c r="F14" s="529">
        <v>-7.65</v>
      </c>
      <c r="G14" s="529">
        <v>4.24700822190362</v>
      </c>
      <c r="H14" s="529">
        <v>4.51</v>
      </c>
      <c r="I14" s="529">
        <v>0.213922183411133</v>
      </c>
      <c r="J14" s="529">
        <v>-3.83818943675697</v>
      </c>
      <c r="K14" s="529">
        <v>-0.96489768757278305</v>
      </c>
      <c r="L14" s="529">
        <v>-5.9520266650794603E-3</v>
      </c>
      <c r="M14" s="529">
        <v>-5.3625246821630199</v>
      </c>
      <c r="N14" s="529">
        <v>-0.21141649048625799</v>
      </c>
      <c r="O14" s="529">
        <v>-5.94513822179528</v>
      </c>
      <c r="P14" s="529">
        <v>-11.8333333333333</v>
      </c>
      <c r="Q14" s="529">
        <v>-0.21704301206533499</v>
      </c>
      <c r="R14" s="529">
        <v>-1.2143242707333299</v>
      </c>
      <c r="S14" s="598" t="s">
        <v>2088</v>
      </c>
      <c r="T14" s="916">
        <v>-8.3931491283984094</v>
      </c>
      <c r="U14" s="916">
        <v>0</v>
      </c>
      <c r="V14" s="916">
        <v>-28.801742919390001</v>
      </c>
      <c r="W14" s="916">
        <v>-1.5605381165919301</v>
      </c>
      <c r="X14" s="916">
        <v>0.54623809393099299</v>
      </c>
      <c r="Y14" s="916">
        <v>-36.85</v>
      </c>
      <c r="Z14" s="916">
        <v>0.03</v>
      </c>
      <c r="AA14" s="916">
        <v>-0.26</v>
      </c>
      <c r="AB14" s="916">
        <v>3.07</v>
      </c>
      <c r="AC14" s="916">
        <v>-5.2622076551302701</v>
      </c>
      <c r="AD14" s="916">
        <v>17.303005686433799</v>
      </c>
      <c r="AE14" s="916">
        <v>6.44</v>
      </c>
      <c r="AF14" s="916">
        <v>0</v>
      </c>
      <c r="AG14" s="916">
        <v>0.45</v>
      </c>
      <c r="AH14" s="916">
        <v>0.23</v>
      </c>
      <c r="AI14" s="916">
        <v>0.01</v>
      </c>
      <c r="AJ14" s="916">
        <v>4.7744704442882204</v>
      </c>
    </row>
    <row r="15" spans="1:36" s="461" customFormat="1" ht="12.75" customHeight="1">
      <c r="A15" s="548" t="s">
        <v>2228</v>
      </c>
      <c r="B15" s="600">
        <v>1.49992507123463E-2</v>
      </c>
      <c r="C15" s="600">
        <v>-10.1694915254237</v>
      </c>
      <c r="D15" s="600">
        <v>0</v>
      </c>
      <c r="E15" s="600">
        <v>-3.2274571439014599</v>
      </c>
      <c r="F15" s="600">
        <v>1.9763428186563401</v>
      </c>
      <c r="G15" s="600">
        <v>-1.7958738003563</v>
      </c>
      <c r="H15" s="600">
        <v>-1.8053520285684601</v>
      </c>
      <c r="I15" s="600">
        <v>0.27919545602991702</v>
      </c>
      <c r="J15" s="600">
        <v>-1.51631477927063</v>
      </c>
      <c r="K15" s="600">
        <v>-8.2290076335877895</v>
      </c>
      <c r="L15" s="600">
        <v>0</v>
      </c>
      <c r="M15" s="600">
        <v>-10.270119051319501</v>
      </c>
      <c r="N15" s="600">
        <v>0.228198859005705</v>
      </c>
      <c r="O15" s="600">
        <v>-0.69952305246422897</v>
      </c>
      <c r="P15" s="600">
        <v>0</v>
      </c>
      <c r="Q15" s="600">
        <v>-1.35741382975896</v>
      </c>
      <c r="R15" s="600">
        <v>-0.91175532286413696</v>
      </c>
      <c r="S15" s="548" t="s">
        <v>2228</v>
      </c>
      <c r="T15" s="663">
        <v>1.3548435422557601</v>
      </c>
      <c r="U15" s="663">
        <v>0</v>
      </c>
      <c r="V15" s="663">
        <v>3.0812073302191898</v>
      </c>
      <c r="W15" s="663">
        <v>-4.6845614634980297</v>
      </c>
      <c r="X15" s="663">
        <v>-7.9539221064179905E-2</v>
      </c>
      <c r="Y15" s="663">
        <v>-2.4489795918367299</v>
      </c>
      <c r="Z15" s="663">
        <v>-1.86577109654033E-2</v>
      </c>
      <c r="AA15" s="663">
        <v>-5.6983584007529302</v>
      </c>
      <c r="AB15" s="663">
        <v>-0.27287141856263097</v>
      </c>
      <c r="AC15" s="663">
        <v>1.9039891308450001</v>
      </c>
      <c r="AD15" s="663">
        <v>0.58833142670370997</v>
      </c>
      <c r="AE15" s="663">
        <v>-0.161308265658026</v>
      </c>
      <c r="AF15" s="663">
        <v>-80.675306695381295</v>
      </c>
      <c r="AG15" s="663">
        <v>-1.1179797448375599</v>
      </c>
      <c r="AH15" s="663">
        <v>-4.2289910252923599</v>
      </c>
      <c r="AI15" s="663">
        <v>-2.7225701061802301E-3</v>
      </c>
      <c r="AJ15" s="663">
        <v>-0.48795846906843299</v>
      </c>
    </row>
    <row r="16" spans="1:36" s="277" customFormat="1" ht="12.75" customHeight="1">
      <c r="A16" s="540" t="s">
        <v>559</v>
      </c>
      <c r="B16" s="371">
        <v>-0.25498726212541201</v>
      </c>
      <c r="C16" s="371">
        <v>-2.75229357798165</v>
      </c>
      <c r="D16" s="371">
        <v>0</v>
      </c>
      <c r="E16" s="371">
        <v>-0.120718273728686</v>
      </c>
      <c r="F16" s="371">
        <v>1.92342752962625</v>
      </c>
      <c r="G16" s="371">
        <v>1.06305906705107</v>
      </c>
      <c r="H16" s="371">
        <v>0.95308173832079202</v>
      </c>
      <c r="I16" s="371">
        <v>0.43354732784771199</v>
      </c>
      <c r="J16" s="371">
        <v>-0.19087449697883399</v>
      </c>
      <c r="K16" s="371">
        <v>-0.44057241287929</v>
      </c>
      <c r="L16" s="371">
        <v>0</v>
      </c>
      <c r="M16" s="371">
        <v>2.2455991215953</v>
      </c>
      <c r="N16" s="371">
        <v>8.1380208333324405E-2</v>
      </c>
      <c r="O16" s="371">
        <v>3.2851945761217101</v>
      </c>
      <c r="P16" s="371">
        <v>0</v>
      </c>
      <c r="Q16" s="371">
        <v>0.72743924932475501</v>
      </c>
      <c r="R16" s="371">
        <v>0.40703362570683899</v>
      </c>
      <c r="S16" s="540" t="s">
        <v>559</v>
      </c>
      <c r="T16" s="583">
        <v>6.14832465507605</v>
      </c>
      <c r="U16" s="583">
        <v>0</v>
      </c>
      <c r="V16" s="583">
        <v>1.39433782207613</v>
      </c>
      <c r="W16" s="583">
        <v>1.69646114556731</v>
      </c>
      <c r="X16" s="583">
        <v>-4.1156779893542703E-2</v>
      </c>
      <c r="Y16" s="583">
        <v>-8.7388173685358801</v>
      </c>
      <c r="Z16" s="583">
        <v>1.3331200341271301E-2</v>
      </c>
      <c r="AA16" s="583">
        <v>2.1523464458246999</v>
      </c>
      <c r="AB16" s="583">
        <v>1.57746478873239</v>
      </c>
      <c r="AC16" s="583">
        <v>2.3967083183222999</v>
      </c>
      <c r="AD16" s="583">
        <v>-6.4589665653495398</v>
      </c>
      <c r="AE16" s="583">
        <v>3.1551724137931001</v>
      </c>
      <c r="AF16" s="583">
        <v>0</v>
      </c>
      <c r="AG16" s="583">
        <v>0.96696212731667996</v>
      </c>
      <c r="AH16" s="583">
        <v>2.66763848396501</v>
      </c>
      <c r="AI16" s="583">
        <v>-5.4449919686362499E-3</v>
      </c>
      <c r="AJ16" s="583">
        <v>1.14512941397815</v>
      </c>
    </row>
    <row r="17" spans="1:36" s="277" customFormat="1" ht="12.75" customHeight="1">
      <c r="A17" s="537" t="s">
        <v>560</v>
      </c>
      <c r="B17" s="357">
        <v>-2.6015038786249902</v>
      </c>
      <c r="C17" s="357">
        <v>-0.45662100456621002</v>
      </c>
      <c r="D17" s="357">
        <v>0</v>
      </c>
      <c r="E17" s="357">
        <v>-2.0616271336732401</v>
      </c>
      <c r="F17" s="357">
        <v>-0.70462742476779305</v>
      </c>
      <c r="G17" s="357">
        <v>-0.873503246324984</v>
      </c>
      <c r="H17" s="357">
        <v>-0.81699597007812397</v>
      </c>
      <c r="I17" s="357">
        <v>-0.654348518636508</v>
      </c>
      <c r="J17" s="357">
        <v>-0.43877964788689799</v>
      </c>
      <c r="K17" s="357">
        <v>-0.91899698043849298</v>
      </c>
      <c r="L17" s="357">
        <v>0</v>
      </c>
      <c r="M17" s="357">
        <v>-3.4802228983624501</v>
      </c>
      <c r="N17" s="357">
        <v>-0.25974025974025999</v>
      </c>
      <c r="O17" s="357">
        <v>-2.25215517241379</v>
      </c>
      <c r="P17" s="357">
        <v>0</v>
      </c>
      <c r="Q17" s="357">
        <v>-1.2731787691349401</v>
      </c>
      <c r="R17" s="357">
        <v>-3.4052220683002599</v>
      </c>
      <c r="S17" s="537" t="s">
        <v>560</v>
      </c>
      <c r="T17" s="584">
        <v>-3.74526886084552</v>
      </c>
      <c r="U17" s="584">
        <v>0</v>
      </c>
      <c r="V17" s="584">
        <v>-7.0837438423645303</v>
      </c>
      <c r="W17" s="584">
        <v>-3.3668253128856001</v>
      </c>
      <c r="X17" s="584">
        <v>-1.50885423096443E-2</v>
      </c>
      <c r="Y17" s="584">
        <v>-4.8182762201453802</v>
      </c>
      <c r="Z17" s="584">
        <v>-1.86601977980967E-2</v>
      </c>
      <c r="AA17" s="584">
        <v>-3.6470868265848599</v>
      </c>
      <c r="AB17" s="584">
        <v>-1.36697043787508</v>
      </c>
      <c r="AC17" s="584">
        <v>-2.7314644042788601</v>
      </c>
      <c r="AD17" s="584">
        <v>3.13479623824451</v>
      </c>
      <c r="AE17" s="584">
        <v>-0.922446190638879</v>
      </c>
      <c r="AF17" s="584">
        <v>-80.675306695381295</v>
      </c>
      <c r="AG17" s="584">
        <v>-0.95770151636073397</v>
      </c>
      <c r="AH17" s="584">
        <v>-1.85979971387697</v>
      </c>
      <c r="AI17" s="584">
        <v>6.8067032413520797E-3</v>
      </c>
      <c r="AJ17" s="584">
        <v>-1.02322795922659</v>
      </c>
    </row>
    <row r="18" spans="1:36" s="277" customFormat="1" ht="12.75" customHeight="1">
      <c r="A18" s="540" t="s">
        <v>554</v>
      </c>
      <c r="B18" s="371">
        <v>-1.24285759781206</v>
      </c>
      <c r="C18" s="371">
        <v>-0.68027210884353695</v>
      </c>
      <c r="D18" s="371">
        <v>0</v>
      </c>
      <c r="E18" s="371">
        <v>0.118369460679145</v>
      </c>
      <c r="F18" s="371">
        <v>0.131070736366552</v>
      </c>
      <c r="G18" s="371">
        <v>-3.2582342015341199</v>
      </c>
      <c r="H18" s="371">
        <v>-3.2399782548073301</v>
      </c>
      <c r="I18" s="371">
        <v>0.33369984913186901</v>
      </c>
      <c r="J18" s="371">
        <v>-0.76812203471262996</v>
      </c>
      <c r="K18" s="371">
        <v>-1.95333869670153</v>
      </c>
      <c r="L18" s="371">
        <v>0</v>
      </c>
      <c r="M18" s="371">
        <v>-1.8883745891192101</v>
      </c>
      <c r="N18" s="371">
        <v>-0.43639890092128703</v>
      </c>
      <c r="O18" s="371">
        <v>-1.4129395516838399</v>
      </c>
      <c r="P18" s="371">
        <v>0</v>
      </c>
      <c r="Q18" s="371">
        <v>-0.78431437699255901</v>
      </c>
      <c r="R18" s="371">
        <v>-0.176269611265854</v>
      </c>
      <c r="S18" s="540" t="s">
        <v>554</v>
      </c>
      <c r="T18" s="583">
        <v>-2.0614363496861601</v>
      </c>
      <c r="U18" s="583">
        <v>0</v>
      </c>
      <c r="V18" s="583">
        <v>6.7859021567596001</v>
      </c>
      <c r="W18" s="583">
        <v>-0.36880927291886201</v>
      </c>
      <c r="X18" s="583">
        <v>-1.50862660120142E-2</v>
      </c>
      <c r="Y18" s="583">
        <v>-1.0383137784238401E-2</v>
      </c>
      <c r="Z18" s="583">
        <v>0</v>
      </c>
      <c r="AA18" s="583">
        <v>-2.0146676094610201</v>
      </c>
      <c r="AB18" s="583">
        <v>-1.39898454907404</v>
      </c>
      <c r="AC18" s="583">
        <v>-1.52203131243416</v>
      </c>
      <c r="AD18" s="583">
        <v>-1.2383900928792599</v>
      </c>
      <c r="AE18" s="583">
        <v>-4.1113841113841101</v>
      </c>
      <c r="AF18" s="583">
        <v>0</v>
      </c>
      <c r="AG18" s="583">
        <v>-1.4162077104641999</v>
      </c>
      <c r="AH18" s="583">
        <v>-4.3775649794801597</v>
      </c>
      <c r="AI18" s="583">
        <v>-6.8062399607960603E-3</v>
      </c>
      <c r="AJ18" s="583">
        <v>-4.41823727734897</v>
      </c>
    </row>
    <row r="19" spans="1:36" s="277" customFormat="1" ht="12.75" customHeight="1">
      <c r="A19" s="537" t="s">
        <v>561</v>
      </c>
      <c r="B19" s="357">
        <v>-0.33612315970047801</v>
      </c>
      <c r="C19" s="357">
        <v>-0.22624434389140299</v>
      </c>
      <c r="D19" s="357">
        <v>-5.3022269353128301E-2</v>
      </c>
      <c r="E19" s="357">
        <v>-2.2349197164761998</v>
      </c>
      <c r="F19" s="357">
        <v>-8.6376238175510905E-2</v>
      </c>
      <c r="G19" s="357">
        <v>0.29507334172337102</v>
      </c>
      <c r="H19" s="357">
        <v>0.40673480014749003</v>
      </c>
      <c r="I19" s="357">
        <v>8.3112233481443601E-3</v>
      </c>
      <c r="J19" s="357">
        <v>0</v>
      </c>
      <c r="K19" s="357">
        <v>-2.27987421383648</v>
      </c>
      <c r="L19" s="357">
        <v>0</v>
      </c>
      <c r="M19" s="357">
        <v>-3.01780504979378E-2</v>
      </c>
      <c r="N19" s="357">
        <v>0</v>
      </c>
      <c r="O19" s="357">
        <v>-1.2484263533361299</v>
      </c>
      <c r="P19" s="357">
        <v>0</v>
      </c>
      <c r="Q19" s="357">
        <v>-0.40282182104584802</v>
      </c>
      <c r="R19" s="357">
        <v>-1.74051377843911</v>
      </c>
      <c r="S19" s="537" t="s">
        <v>561</v>
      </c>
      <c r="T19" s="584">
        <v>-2.9532874610878399</v>
      </c>
      <c r="U19" s="584">
        <v>0</v>
      </c>
      <c r="V19" s="584">
        <v>1.4046941678520599</v>
      </c>
      <c r="W19" s="584">
        <v>0.193559739574169</v>
      </c>
      <c r="X19" s="584">
        <v>-0.25444596443228501</v>
      </c>
      <c r="Y19" s="584">
        <v>3.4840304080371798</v>
      </c>
      <c r="Z19" s="584">
        <v>-1.0661833302236299E-2</v>
      </c>
      <c r="AA19" s="584">
        <v>-1.44359967130346E-2</v>
      </c>
      <c r="AB19" s="584">
        <v>0.329827390332393</v>
      </c>
      <c r="AC19" s="584">
        <v>-1.4445538351382801</v>
      </c>
      <c r="AD19" s="584">
        <v>-1.3363879343260801</v>
      </c>
      <c r="AE19" s="584">
        <v>1.5243902439024399</v>
      </c>
      <c r="AF19" s="584">
        <v>0</v>
      </c>
      <c r="AG19" s="584">
        <v>2.62329485834208E-2</v>
      </c>
      <c r="AH19" s="584">
        <v>1.28862408202854</v>
      </c>
      <c r="AI19" s="584">
        <v>0</v>
      </c>
      <c r="AJ19" s="584">
        <v>9.0475408362933399E-2</v>
      </c>
    </row>
    <row r="20" spans="1:36" s="277" customFormat="1" ht="12.75" customHeight="1">
      <c r="A20" s="540" t="s">
        <v>562</v>
      </c>
      <c r="B20" s="371">
        <v>3.8117648900224599</v>
      </c>
      <c r="C20" s="371">
        <v>0</v>
      </c>
      <c r="D20" s="371">
        <v>0.15932023366967599</v>
      </c>
      <c r="E20" s="371">
        <v>1.7403142131792899</v>
      </c>
      <c r="F20" s="371">
        <v>1.0715593229885401</v>
      </c>
      <c r="G20" s="371">
        <v>3.4626588983050799</v>
      </c>
      <c r="H20" s="371">
        <v>3.3443243033131802</v>
      </c>
      <c r="I20" s="371">
        <v>0.21013921723141599</v>
      </c>
      <c r="J20" s="371">
        <v>-0.12236524826949099</v>
      </c>
      <c r="K20" s="371">
        <v>2.6733824099186401</v>
      </c>
      <c r="L20" s="371">
        <v>0</v>
      </c>
      <c r="M20" s="371">
        <v>1.2699921898876001</v>
      </c>
      <c r="N20" s="371">
        <v>0.32430679422733899</v>
      </c>
      <c r="O20" s="371">
        <v>2.4285407264130701</v>
      </c>
      <c r="P20" s="371">
        <v>0</v>
      </c>
      <c r="Q20" s="371">
        <v>1.7705739020319999</v>
      </c>
      <c r="R20" s="371">
        <v>5.3739390658547004</v>
      </c>
      <c r="S20" s="540" t="s">
        <v>562</v>
      </c>
      <c r="T20" s="583">
        <v>4.5675422138836801</v>
      </c>
      <c r="U20" s="583">
        <v>0</v>
      </c>
      <c r="V20" s="583">
        <v>-1.6783216783216801</v>
      </c>
      <c r="W20" s="583">
        <v>2.4794878730502199</v>
      </c>
      <c r="X20" s="583">
        <v>0.23997257456290699</v>
      </c>
      <c r="Y20" s="583">
        <v>4.9239007891769999</v>
      </c>
      <c r="Z20" s="583">
        <v>1.06629701703409E-2</v>
      </c>
      <c r="AA20" s="583">
        <v>4.78428999740132</v>
      </c>
      <c r="AB20" s="583">
        <v>2.3479989497768301</v>
      </c>
      <c r="AC20" s="583">
        <v>7.9532553611888099</v>
      </c>
      <c r="AD20" s="583">
        <v>7.6423385555980106E-2</v>
      </c>
      <c r="AE20" s="583">
        <v>3.2095657646318401</v>
      </c>
      <c r="AF20" s="583">
        <v>0</v>
      </c>
      <c r="AG20" s="583">
        <v>1.89788826516974</v>
      </c>
      <c r="AH20" s="583">
        <v>3.3806044979229299</v>
      </c>
      <c r="AI20" s="583">
        <v>1.36147038801906E-2</v>
      </c>
      <c r="AJ20" s="583">
        <v>4.3224587637182701</v>
      </c>
    </row>
    <row r="21" spans="1:36" s="277" customFormat="1" ht="12.75" customHeight="1">
      <c r="A21" s="537" t="s">
        <v>555</v>
      </c>
      <c r="B21" s="357">
        <v>2.91628904031937</v>
      </c>
      <c r="C21" s="357">
        <v>0.45454545454545497</v>
      </c>
      <c r="D21" s="357">
        <v>-0.10610079575596799</v>
      </c>
      <c r="E21" s="357">
        <v>2.5816191734289502</v>
      </c>
      <c r="F21" s="357">
        <v>0.26967117059878298</v>
      </c>
      <c r="G21" s="357">
        <v>0.62326972330377395</v>
      </c>
      <c r="H21" s="357">
        <v>0.61075912719686798</v>
      </c>
      <c r="I21" s="357">
        <v>-5.50671370851556E-2</v>
      </c>
      <c r="J21" s="357">
        <v>0.167633009883738</v>
      </c>
      <c r="K21" s="357">
        <v>0.57803468208092501</v>
      </c>
      <c r="L21" s="357">
        <v>0</v>
      </c>
      <c r="M21" s="357">
        <v>4.3809591323148904</v>
      </c>
      <c r="N21" s="357">
        <v>0.35801464605370198</v>
      </c>
      <c r="O21" s="357">
        <v>1.26224156692057</v>
      </c>
      <c r="P21" s="357">
        <v>0</v>
      </c>
      <c r="Q21" s="357">
        <v>0.614942796511455</v>
      </c>
      <c r="R21" s="357">
        <v>2.7286157093608701</v>
      </c>
      <c r="S21" s="537" t="s">
        <v>555</v>
      </c>
      <c r="T21" s="584">
        <v>4.9315877547002698</v>
      </c>
      <c r="U21" s="584">
        <v>0</v>
      </c>
      <c r="V21" s="584">
        <v>1.7341040462427699</v>
      </c>
      <c r="W21" s="584">
        <v>0.102891801148056</v>
      </c>
      <c r="X21" s="584">
        <v>2.05733095597312E-2</v>
      </c>
      <c r="Y21" s="584">
        <v>-3.1923601637107799</v>
      </c>
      <c r="Z21" s="584">
        <v>2.6664533503986301E-2</v>
      </c>
      <c r="AA21" s="584">
        <v>-0.45866777858855401</v>
      </c>
      <c r="AB21" s="584">
        <v>1.02307604865295</v>
      </c>
      <c r="AC21" s="584">
        <v>2.7943586432934402</v>
      </c>
      <c r="AD21" s="584">
        <v>1</v>
      </c>
      <c r="AE21" s="584">
        <v>3.8315314244980399</v>
      </c>
      <c r="AF21" s="584">
        <v>0</v>
      </c>
      <c r="AG21" s="584">
        <v>0.38910505836575898</v>
      </c>
      <c r="AH21" s="584">
        <v>1.54181818181818</v>
      </c>
      <c r="AI21" s="584">
        <v>-8.1681550860379006E-3</v>
      </c>
      <c r="AJ21" s="584">
        <v>0.28000000000000003</v>
      </c>
    </row>
    <row r="22" spans="1:36" s="277" customFormat="1" ht="12.75" customHeight="1">
      <c r="A22" s="540" t="s">
        <v>563</v>
      </c>
      <c r="B22" s="371">
        <v>-3.06856569010779</v>
      </c>
      <c r="C22" s="371">
        <v>0</v>
      </c>
      <c r="D22" s="371">
        <v>-1.3260840737302699E-2</v>
      </c>
      <c r="E22" s="371">
        <v>-1.1233019853709501</v>
      </c>
      <c r="F22" s="371">
        <v>-0.29842762426272901</v>
      </c>
      <c r="G22" s="371">
        <v>-1.72408776115929</v>
      </c>
      <c r="H22" s="371">
        <v>-1.7667869886026599</v>
      </c>
      <c r="I22" s="371">
        <v>-0.119595804553594</v>
      </c>
      <c r="J22" s="371">
        <v>0.111278195488722</v>
      </c>
      <c r="K22" s="371">
        <v>-2.4363970471754901</v>
      </c>
      <c r="L22" s="371">
        <v>0</v>
      </c>
      <c r="M22" s="371">
        <v>-4.4307442159818402</v>
      </c>
      <c r="N22" s="371">
        <v>-0.146246343841404</v>
      </c>
      <c r="O22" s="371">
        <v>-2.86439065637882</v>
      </c>
      <c r="P22" s="371">
        <v>0</v>
      </c>
      <c r="Q22" s="371">
        <v>-0.93165460380550802</v>
      </c>
      <c r="R22" s="371">
        <v>-2.98022809764523</v>
      </c>
      <c r="S22" s="540" t="s">
        <v>563</v>
      </c>
      <c r="T22" s="583">
        <v>-2.69902689449084</v>
      </c>
      <c r="U22" s="583">
        <v>0</v>
      </c>
      <c r="V22" s="583">
        <v>0.34802784222737798</v>
      </c>
      <c r="W22" s="583">
        <v>-1.71996274448929</v>
      </c>
      <c r="X22" s="583">
        <v>0</v>
      </c>
      <c r="Y22" s="583">
        <v>2.2315202231520201</v>
      </c>
      <c r="Z22" s="583">
        <v>5.3331911149035998E-3</v>
      </c>
      <c r="AA22" s="583">
        <v>-2.9819606550499702</v>
      </c>
      <c r="AB22" s="583">
        <v>-1.4672939068100399</v>
      </c>
      <c r="AC22" s="583">
        <v>-3.4641124470267899</v>
      </c>
      <c r="AD22" s="583">
        <v>2.4675735526731999</v>
      </c>
      <c r="AE22" s="583">
        <v>-2.3323276862381102</v>
      </c>
      <c r="AF22" s="583">
        <v>0</v>
      </c>
      <c r="AG22" s="583">
        <v>-0.86459164671455202</v>
      </c>
      <c r="AH22" s="583">
        <v>-3.1144306651634701</v>
      </c>
      <c r="AI22" s="583">
        <v>-4.0839107529370101E-3</v>
      </c>
      <c r="AJ22" s="583">
        <v>-0.25135497275526703</v>
      </c>
    </row>
    <row r="23" spans="1:36" s="277" customFormat="1" ht="12.75" customHeight="1">
      <c r="A23" s="537" t="s">
        <v>564</v>
      </c>
      <c r="B23" s="357">
        <v>-1.58</v>
      </c>
      <c r="C23" s="357">
        <v>0</v>
      </c>
      <c r="D23" s="357">
        <v>0.09</v>
      </c>
      <c r="E23" s="357">
        <v>-1.33</v>
      </c>
      <c r="F23" s="357">
        <v>0</v>
      </c>
      <c r="G23" s="357">
        <v>-0.06</v>
      </c>
      <c r="H23" s="357">
        <v>-0.04</v>
      </c>
      <c r="I23" s="357">
        <v>-0.13</v>
      </c>
      <c r="J23" s="357">
        <v>0.24</v>
      </c>
      <c r="K23" s="357">
        <v>0.38</v>
      </c>
      <c r="L23" s="357">
        <v>0</v>
      </c>
      <c r="M23" s="357">
        <v>-2.04</v>
      </c>
      <c r="N23" s="357">
        <v>0.05</v>
      </c>
      <c r="O23" s="357">
        <v>-0.68</v>
      </c>
      <c r="P23" s="357">
        <v>0</v>
      </c>
      <c r="Q23" s="357">
        <v>-0.05</v>
      </c>
      <c r="R23" s="357">
        <v>-0.59</v>
      </c>
      <c r="S23" s="537" t="s">
        <v>564</v>
      </c>
      <c r="T23" s="584">
        <v>-1.4</v>
      </c>
      <c r="U23" s="584">
        <v>0</v>
      </c>
      <c r="V23" s="584">
        <v>0.94</v>
      </c>
      <c r="W23" s="584">
        <v>0.39</v>
      </c>
      <c r="X23" s="584">
        <v>-0.03</v>
      </c>
      <c r="Y23" s="584">
        <v>-2.1</v>
      </c>
      <c r="Z23" s="584">
        <v>-0.01</v>
      </c>
      <c r="AA23" s="584">
        <v>0.06</v>
      </c>
      <c r="AB23" s="584">
        <v>-0.51</v>
      </c>
      <c r="AC23" s="584">
        <v>0.99</v>
      </c>
      <c r="AD23" s="584">
        <v>1.99</v>
      </c>
      <c r="AE23" s="584">
        <v>-1.93</v>
      </c>
      <c r="AF23" s="584">
        <v>0</v>
      </c>
      <c r="AG23" s="584">
        <v>-0.28000000000000003</v>
      </c>
      <c r="AH23" s="584">
        <v>-1.2</v>
      </c>
      <c r="AI23" s="584">
        <v>0</v>
      </c>
      <c r="AJ23" s="584">
        <v>-0.28000000000000003</v>
      </c>
    </row>
    <row r="24" spans="1:36" s="277" customFormat="1" ht="12.75" customHeight="1">
      <c r="A24" s="540" t="s">
        <v>556</v>
      </c>
      <c r="B24" s="371">
        <v>0.38</v>
      </c>
      <c r="C24" s="371">
        <v>0</v>
      </c>
      <c r="D24" s="371">
        <v>0</v>
      </c>
      <c r="E24" s="371">
        <v>0.28000000000000003</v>
      </c>
      <c r="F24" s="371">
        <v>0.12</v>
      </c>
      <c r="G24" s="371">
        <v>-0.48</v>
      </c>
      <c r="H24" s="371">
        <v>-0.4</v>
      </c>
      <c r="I24" s="371">
        <v>0.03</v>
      </c>
      <c r="J24" s="371">
        <v>-0.53</v>
      </c>
      <c r="K24" s="371">
        <v>-0.84</v>
      </c>
      <c r="L24" s="371">
        <v>0</v>
      </c>
      <c r="M24" s="371">
        <v>-0.42</v>
      </c>
      <c r="N24" s="371">
        <v>-0.03</v>
      </c>
      <c r="O24" s="371">
        <v>0.81</v>
      </c>
      <c r="P24" s="371">
        <v>0</v>
      </c>
      <c r="Q24" s="371">
        <v>-0.33</v>
      </c>
      <c r="R24" s="371">
        <v>-1.98</v>
      </c>
      <c r="S24" s="540" t="s">
        <v>556</v>
      </c>
      <c r="T24" s="583">
        <v>-2.11</v>
      </c>
      <c r="U24" s="583">
        <v>0.01</v>
      </c>
      <c r="V24" s="583">
        <v>-0.16</v>
      </c>
      <c r="W24" s="583">
        <v>-7.0000000000000007E-2</v>
      </c>
      <c r="X24" s="583">
        <v>0</v>
      </c>
      <c r="Y24" s="583">
        <v>-1.1100000000000001</v>
      </c>
      <c r="Z24" s="583">
        <v>-0.01</v>
      </c>
      <c r="AA24" s="583">
        <v>-0.91</v>
      </c>
      <c r="AB24" s="583">
        <v>-0.25</v>
      </c>
      <c r="AC24" s="583">
        <v>-3.05</v>
      </c>
      <c r="AD24" s="583">
        <v>3.17</v>
      </c>
      <c r="AE24" s="583">
        <v>-2.5499999999999998</v>
      </c>
      <c r="AF24" s="583">
        <v>0</v>
      </c>
      <c r="AG24" s="583">
        <v>-0.17</v>
      </c>
      <c r="AH24" s="583">
        <v>-1.29</v>
      </c>
      <c r="AI24" s="583">
        <v>0.01</v>
      </c>
      <c r="AJ24" s="583">
        <v>-0.3</v>
      </c>
    </row>
    <row r="25" spans="1:36" s="277" customFormat="1" ht="12.75" customHeight="1">
      <c r="A25" s="537" t="s">
        <v>565</v>
      </c>
      <c r="B25" s="357">
        <v>0.68</v>
      </c>
      <c r="C25" s="357">
        <v>0</v>
      </c>
      <c r="D25" s="357">
        <v>-0.09</v>
      </c>
      <c r="E25" s="357">
        <v>-0.89</v>
      </c>
      <c r="F25" s="357">
        <v>-0.16</v>
      </c>
      <c r="G25" s="357">
        <v>-0.66</v>
      </c>
      <c r="H25" s="357">
        <v>-0.69</v>
      </c>
      <c r="I25" s="357">
        <v>0</v>
      </c>
      <c r="J25" s="357">
        <v>-7.0000000000000007E-2</v>
      </c>
      <c r="K25" s="357">
        <v>-2.5656782915962499</v>
      </c>
      <c r="L25" s="357">
        <v>0</v>
      </c>
      <c r="M25" s="357">
        <v>-3.2046566667732801</v>
      </c>
      <c r="N25" s="357">
        <v>-0.11363636363636399</v>
      </c>
      <c r="O25" s="357">
        <v>-0.90194022024121701</v>
      </c>
      <c r="P25" s="357">
        <v>0</v>
      </c>
      <c r="Q25" s="357">
        <v>-0.49545884846579102</v>
      </c>
      <c r="R25" s="357">
        <v>-0.2</v>
      </c>
      <c r="S25" s="537" t="s">
        <v>565</v>
      </c>
      <c r="T25" s="584">
        <v>-1.57008512400078</v>
      </c>
      <c r="U25" s="584">
        <v>-2.5970653161926999E-2</v>
      </c>
      <c r="V25" s="584">
        <v>-0.25116612845353398</v>
      </c>
      <c r="W25" s="584">
        <v>-2.3463978447901299</v>
      </c>
      <c r="X25" s="584">
        <v>-1.3709898546750801E-2</v>
      </c>
      <c r="Y25" s="584">
        <v>-0.61728395061728403</v>
      </c>
      <c r="Z25" s="584">
        <v>1.3331200341278699E-3</v>
      </c>
      <c r="AA25" s="584">
        <v>-2.3102597591060801</v>
      </c>
      <c r="AB25" s="584">
        <v>-0.74289286896399498</v>
      </c>
      <c r="AC25" s="584">
        <v>-2.79</v>
      </c>
      <c r="AD25" s="584">
        <v>0.97</v>
      </c>
      <c r="AE25" s="584">
        <v>-0.96</v>
      </c>
      <c r="AF25" s="584">
        <v>0</v>
      </c>
      <c r="AG25" s="584">
        <v>-0.46</v>
      </c>
      <c r="AH25" s="584">
        <v>-1.78</v>
      </c>
      <c r="AI25" s="584">
        <v>-0.01</v>
      </c>
      <c r="AJ25" s="584">
        <v>-0.49</v>
      </c>
    </row>
    <row r="26" spans="1:36" s="277" customFormat="1" ht="12.75" customHeight="1">
      <c r="A26" s="540" t="s">
        <v>566</v>
      </c>
      <c r="B26" s="371">
        <v>0.692909268189561</v>
      </c>
      <c r="C26" s="371">
        <v>-6.5420560747663599</v>
      </c>
      <c r="D26" s="371">
        <v>0.01</v>
      </c>
      <c r="E26" s="371">
        <v>-0.40099154272382598</v>
      </c>
      <c r="F26" s="371">
        <v>-6.7500105468914801E-2</v>
      </c>
      <c r="G26" s="371">
        <v>0.72830997335804504</v>
      </c>
      <c r="H26" s="371">
        <v>0.75552658909238402</v>
      </c>
      <c r="I26" s="371">
        <v>0.14653655415133601</v>
      </c>
      <c r="J26" s="371">
        <v>7.1972650392850696E-2</v>
      </c>
      <c r="K26" s="371">
        <v>0.138461538461538</v>
      </c>
      <c r="L26" s="371">
        <v>0</v>
      </c>
      <c r="M26" s="371">
        <v>-0.81210544681661001</v>
      </c>
      <c r="N26" s="371">
        <v>0.342075256556442</v>
      </c>
      <c r="O26" s="371">
        <v>1.2423019749416</v>
      </c>
      <c r="P26" s="371">
        <v>0</v>
      </c>
      <c r="Q26" s="371">
        <v>0.58445378045790697</v>
      </c>
      <c r="R26" s="371">
        <v>2.19136025717776</v>
      </c>
      <c r="S26" s="540" t="s">
        <v>566</v>
      </c>
      <c r="T26" s="583">
        <v>3.7414452258460398</v>
      </c>
      <c r="U26" s="583">
        <v>1.2987012987013E-2</v>
      </c>
      <c r="V26" s="583">
        <v>7.1813285457809697E-2</v>
      </c>
      <c r="W26" s="583">
        <v>-1.91783157176952</v>
      </c>
      <c r="X26" s="583">
        <v>5.2124770239499602E-2</v>
      </c>
      <c r="Y26" s="583">
        <v>3.9910689366452701</v>
      </c>
      <c r="Z26" s="583">
        <v>0</v>
      </c>
      <c r="AA26" s="583">
        <v>5.1906191355985697E-2</v>
      </c>
      <c r="AB26" s="583">
        <v>0.57702977621601603</v>
      </c>
      <c r="AC26" s="583">
        <v>2.5732472152017198</v>
      </c>
      <c r="AD26" s="583">
        <v>-1.3430608522633101</v>
      </c>
      <c r="AE26" s="583">
        <v>-0.32840722495894897</v>
      </c>
      <c r="AF26" s="583">
        <v>0</v>
      </c>
      <c r="AG26" s="583">
        <v>0.343869858484327</v>
      </c>
      <c r="AH26" s="583">
        <v>0.31144211238997999</v>
      </c>
      <c r="AI26" s="583">
        <v>-1.3613221160391001E-3</v>
      </c>
      <c r="AJ26" s="583">
        <v>1.1621428588546401</v>
      </c>
    </row>
    <row r="27" spans="1:36" s="1422" customFormat="1" ht="12.75" customHeight="1">
      <c r="A27" s="537" t="s">
        <v>557</v>
      </c>
      <c r="B27" s="357">
        <v>0.84694498716098598</v>
      </c>
      <c r="C27" s="357">
        <v>-0.25423728813559299</v>
      </c>
      <c r="D27" s="357">
        <v>0</v>
      </c>
      <c r="E27" s="357">
        <v>0.26682261778573801</v>
      </c>
      <c r="F27" s="357">
        <v>-0.220295223662794</v>
      </c>
      <c r="G27" s="357">
        <v>-0.77581748175392196</v>
      </c>
      <c r="H27" s="357">
        <v>-0.80540646166529095</v>
      </c>
      <c r="I27" s="357">
        <v>7.1719933659061402E-2</v>
      </c>
      <c r="J27" s="357">
        <v>5.9980806142034496E-3</v>
      </c>
      <c r="K27" s="357">
        <v>-0.76335877862595403</v>
      </c>
      <c r="L27" s="357">
        <v>0</v>
      </c>
      <c r="M27" s="357">
        <v>-2.0142364241086699</v>
      </c>
      <c r="N27" s="357">
        <v>6.5199674001630001E-2</v>
      </c>
      <c r="O27" s="357">
        <v>-0.18018018018018001</v>
      </c>
      <c r="P27" s="357">
        <v>0</v>
      </c>
      <c r="Q27" s="357">
        <v>-0.74701360652688098</v>
      </c>
      <c r="R27" s="357">
        <v>-0.37649377868169598</v>
      </c>
      <c r="S27" s="537" t="s">
        <v>557</v>
      </c>
      <c r="T27" s="584">
        <v>-0.81178255088855999</v>
      </c>
      <c r="U27" s="584">
        <v>0</v>
      </c>
      <c r="V27" s="584">
        <v>7.1864893999281407E-2</v>
      </c>
      <c r="W27" s="584">
        <v>0.29064797401265202</v>
      </c>
      <c r="X27" s="584">
        <v>-2.46845858475041E-2</v>
      </c>
      <c r="Y27" s="584">
        <v>4.4606413994169101</v>
      </c>
      <c r="Z27" s="584">
        <v>-3.1984647369262799E-2</v>
      </c>
      <c r="AA27" s="584">
        <v>-0.27438417404209903</v>
      </c>
      <c r="AB27" s="584">
        <v>-0.30974593458460897</v>
      </c>
      <c r="AC27" s="584">
        <v>0.79442955806317705</v>
      </c>
      <c r="AD27" s="584">
        <v>-1.4381434874979599</v>
      </c>
      <c r="AE27" s="584">
        <v>1.6242073645566799</v>
      </c>
      <c r="AF27" s="584">
        <v>0</v>
      </c>
      <c r="AG27" s="584">
        <v>-0.552413520978561</v>
      </c>
      <c r="AH27" s="584">
        <v>0.42153929834103898</v>
      </c>
      <c r="AI27" s="584">
        <v>-2.7225701061802301E-3</v>
      </c>
      <c r="AJ27" s="584">
        <v>-0.51144860514373403</v>
      </c>
    </row>
    <row r="28" spans="1:36" s="1422" customFormat="1" ht="12.75" customHeight="1">
      <c r="A28" s="598" t="s">
        <v>2501</v>
      </c>
      <c r="B28" s="529">
        <v>-2.0620859538754099</v>
      </c>
      <c r="C28" s="529">
        <v>-3.8892282630828801</v>
      </c>
      <c r="D28" s="529">
        <v>-3.9771974015643599E-2</v>
      </c>
      <c r="E28" s="529">
        <v>-1.8272182429469399E-2</v>
      </c>
      <c r="F28" s="529">
        <v>-0.44422093705473098</v>
      </c>
      <c r="G28" s="529">
        <v>9.3439738594947794</v>
      </c>
      <c r="H28" s="529">
        <v>9.3793777228019</v>
      </c>
      <c r="I28" s="529">
        <v>-0.53185390896699303</v>
      </c>
      <c r="J28" s="529">
        <v>-2.4515827043473202</v>
      </c>
      <c r="K28" s="529">
        <v>0.877868473740952</v>
      </c>
      <c r="L28" s="529">
        <v>0</v>
      </c>
      <c r="M28" s="529">
        <v>11.191373172502001</v>
      </c>
      <c r="N28" s="529">
        <v>0.40916530278232399</v>
      </c>
      <c r="O28" s="529">
        <v>11.868626986009</v>
      </c>
      <c r="P28" s="529">
        <v>0</v>
      </c>
      <c r="Q28" s="529">
        <v>4.4172290925425104</v>
      </c>
      <c r="R28" s="529">
        <v>-0.48470895855336898</v>
      </c>
      <c r="S28" s="598" t="s">
        <v>2501</v>
      </c>
      <c r="T28" s="916">
        <v>5.9475331451840896</v>
      </c>
      <c r="U28" s="916">
        <v>0</v>
      </c>
      <c r="V28" s="916">
        <v>-1.8861272695222999</v>
      </c>
      <c r="W28" s="916">
        <v>3.8179591402048301</v>
      </c>
      <c r="X28" s="916">
        <v>3.0179154434963901E-2</v>
      </c>
      <c r="Y28" s="916">
        <v>9.2356687898089191</v>
      </c>
      <c r="Z28" s="916">
        <v>3.4662045060658599E-2</v>
      </c>
      <c r="AA28" s="916">
        <v>1.9203099059214199</v>
      </c>
      <c r="AB28" s="916">
        <v>6.2698381598025001</v>
      </c>
      <c r="AC28" s="916">
        <v>11.7804636250501</v>
      </c>
      <c r="AD28" s="916">
        <v>2.0683903252710598</v>
      </c>
      <c r="AE28" s="916">
        <v>12.4890501814541</v>
      </c>
      <c r="AF28" s="916">
        <v>-2.69127258746636E-2</v>
      </c>
      <c r="AG28" s="916">
        <v>4.4655125034350096</v>
      </c>
      <c r="AH28" s="916">
        <v>12.9126362659297</v>
      </c>
      <c r="AI28" s="916">
        <v>1.36147038801906E-2</v>
      </c>
      <c r="AJ28" s="916">
        <v>8.4743766143370198</v>
      </c>
    </row>
    <row r="29" spans="1:36" s="1422" customFormat="1" ht="12.75" customHeight="1">
      <c r="A29" s="537" t="s">
        <v>559</v>
      </c>
      <c r="B29" s="357">
        <v>-1.2056787729652101</v>
      </c>
      <c r="C29" s="357">
        <v>0</v>
      </c>
      <c r="D29" s="357">
        <v>0</v>
      </c>
      <c r="E29" s="357">
        <v>-1.22748113650312</v>
      </c>
      <c r="F29" s="357">
        <v>-0.109326381296779</v>
      </c>
      <c r="G29" s="357">
        <v>0.87901735570129402</v>
      </c>
      <c r="H29" s="357">
        <v>0.93794077176746904</v>
      </c>
      <c r="I29" s="357">
        <v>-6.6552759059814295E-2</v>
      </c>
      <c r="J29" s="357">
        <v>-0.441896572315777</v>
      </c>
      <c r="K29" s="357">
        <v>0.475533057217365</v>
      </c>
      <c r="L29" s="357">
        <v>0</v>
      </c>
      <c r="M29" s="357">
        <v>5.2957156416718503</v>
      </c>
      <c r="N29" s="357">
        <v>0.39273441335296999</v>
      </c>
      <c r="O29" s="357">
        <v>2.4207555362570599</v>
      </c>
      <c r="P29" s="357">
        <v>0</v>
      </c>
      <c r="Q29" s="357">
        <v>0.79826417722536203</v>
      </c>
      <c r="R29" s="357">
        <v>-2.9986757280693701</v>
      </c>
      <c r="S29" s="537" t="s">
        <v>559</v>
      </c>
      <c r="T29" s="584">
        <v>-2.52090102588441</v>
      </c>
      <c r="U29" s="584">
        <v>0</v>
      </c>
      <c r="V29" s="584">
        <v>-0.19723865877711999</v>
      </c>
      <c r="W29" s="584">
        <v>-3.4182191078448103E-2</v>
      </c>
      <c r="X29" s="584">
        <v>-1.64536828826852E-2</v>
      </c>
      <c r="Y29" s="584">
        <v>0</v>
      </c>
      <c r="Z29" s="584">
        <v>5.3310587482674103E-3</v>
      </c>
      <c r="AA29" s="584">
        <v>1.23089844725781E-2</v>
      </c>
      <c r="AB29" s="584">
        <v>1.0169112716978299</v>
      </c>
      <c r="AC29" s="584">
        <v>-1.5292565546202901</v>
      </c>
      <c r="AD29" s="584">
        <v>1.1739417989418</v>
      </c>
      <c r="AE29" s="584">
        <v>1.8468162247903901</v>
      </c>
      <c r="AF29" s="584">
        <v>0</v>
      </c>
      <c r="AG29" s="584">
        <v>0.99628055260361303</v>
      </c>
      <c r="AH29" s="584">
        <v>2.8100097861037301</v>
      </c>
      <c r="AI29" s="584">
        <v>1.36130358431234E-3</v>
      </c>
      <c r="AJ29" s="584">
        <v>1.5145535103754999</v>
      </c>
    </row>
    <row r="30" spans="1:36" s="1422" customFormat="1" ht="12.75" customHeight="1">
      <c r="A30" s="540" t="s">
        <v>560</v>
      </c>
      <c r="B30" s="371">
        <v>3.0040472395423699</v>
      </c>
      <c r="C30" s="371">
        <v>-1.6666666666666701</v>
      </c>
      <c r="D30" s="371">
        <v>1.32643586682584E-2</v>
      </c>
      <c r="E30" s="371">
        <v>2.7372871926115501</v>
      </c>
      <c r="F30" s="371">
        <v>6.5919578114700103E-2</v>
      </c>
      <c r="G30" s="371">
        <v>2.8723293226580799</v>
      </c>
      <c r="H30" s="371">
        <v>2.82002682525837</v>
      </c>
      <c r="I30" s="371">
        <v>0.15702913691658901</v>
      </c>
      <c r="J30" s="371">
        <v>-0.22046118095692099</v>
      </c>
      <c r="K30" s="371">
        <v>5.7661107145174899</v>
      </c>
      <c r="L30" s="371">
        <v>0</v>
      </c>
      <c r="M30" s="371">
        <v>5.6612256190344397</v>
      </c>
      <c r="N30" s="371">
        <v>9.8280098280098302E-2</v>
      </c>
      <c r="O30" s="371">
        <v>6.4355863662622799</v>
      </c>
      <c r="P30" s="371">
        <v>0</v>
      </c>
      <c r="Q30" s="371">
        <v>1.7876436164592699</v>
      </c>
      <c r="R30" s="371">
        <v>5.7847020355610903</v>
      </c>
      <c r="S30" s="540" t="s">
        <v>560</v>
      </c>
      <c r="T30" s="583">
        <v>4.3456728983533504</v>
      </c>
      <c r="U30" s="583">
        <v>0</v>
      </c>
      <c r="V30" s="583">
        <v>-0.125358166189112</v>
      </c>
      <c r="W30" s="583">
        <v>3.9023307436182</v>
      </c>
      <c r="X30" s="583">
        <v>4.38957475994513E-2</v>
      </c>
      <c r="Y30" s="583">
        <v>-6.2841530054644803</v>
      </c>
      <c r="Z30" s="583">
        <v>-2.66481905878591E-2</v>
      </c>
      <c r="AA30" s="583">
        <v>3.4341883542407801</v>
      </c>
      <c r="AB30" s="583">
        <v>2.97660145761412</v>
      </c>
      <c r="AC30" s="583">
        <v>5.8020377169313297</v>
      </c>
      <c r="AD30" s="583">
        <v>0.63227953410981697</v>
      </c>
      <c r="AE30" s="583">
        <v>4.7907390917186099</v>
      </c>
      <c r="AF30" s="583">
        <v>0</v>
      </c>
      <c r="AG30" s="583">
        <v>1.37355238351737</v>
      </c>
      <c r="AH30" s="583">
        <v>5.2066480364759498</v>
      </c>
      <c r="AI30" s="583">
        <v>4.0840775430189503E-3</v>
      </c>
      <c r="AJ30" s="583">
        <v>2.77355778577081</v>
      </c>
    </row>
    <row r="31" spans="1:36" s="1422" customFormat="1" ht="12.75" customHeight="1">
      <c r="A31" s="1469" t="s">
        <v>554</v>
      </c>
      <c r="B31" s="357">
        <v>1.7242649953545499</v>
      </c>
      <c r="C31" s="357">
        <v>0</v>
      </c>
      <c r="D31" s="357">
        <v>0</v>
      </c>
      <c r="E31" s="357">
        <v>-0.258961932595908</v>
      </c>
      <c r="F31" s="357">
        <v>1.748151953649</v>
      </c>
      <c r="G31" s="357">
        <v>0.41921815813507801</v>
      </c>
      <c r="H31" s="357">
        <v>0.386673262654748</v>
      </c>
      <c r="I31" s="357">
        <v>0.37248380435272099</v>
      </c>
      <c r="J31" s="357">
        <v>0.23291925465838501</v>
      </c>
      <c r="K31" s="357">
        <v>1.7095709570957101</v>
      </c>
      <c r="L31" s="357">
        <v>0</v>
      </c>
      <c r="M31" s="357">
        <v>1.6772741657582899</v>
      </c>
      <c r="N31" s="357">
        <v>8.1967213114754106E-2</v>
      </c>
      <c r="O31" s="357">
        <v>5.2535570959503799</v>
      </c>
      <c r="P31" s="357">
        <v>0</v>
      </c>
      <c r="Q31" s="357">
        <v>0.40749489455010901</v>
      </c>
      <c r="R31" s="357">
        <v>1.5292253506445901</v>
      </c>
      <c r="S31" s="1469" t="s">
        <v>554</v>
      </c>
      <c r="T31" s="526">
        <v>-1.52356285172877E-2</v>
      </c>
      <c r="U31" s="526">
        <v>0.13003901170351101</v>
      </c>
      <c r="V31" s="526">
        <v>0.54015124234785705</v>
      </c>
      <c r="W31" s="526">
        <v>0.50419418168838104</v>
      </c>
      <c r="X31" s="526">
        <v>0</v>
      </c>
      <c r="Y31" s="526">
        <v>-2.9949642194540198</v>
      </c>
      <c r="Z31" s="526">
        <v>3.1988057791757701E-2</v>
      </c>
      <c r="AA31" s="526">
        <v>1.97068223560363</v>
      </c>
      <c r="AB31" s="526">
        <v>1.7405557290040601</v>
      </c>
      <c r="AC31" s="526">
        <v>0.75069201325100099</v>
      </c>
      <c r="AD31" s="526">
        <v>1.2978257205460999</v>
      </c>
      <c r="AE31" s="526">
        <v>0.20224852774968799</v>
      </c>
      <c r="AF31" s="526">
        <v>0</v>
      </c>
      <c r="AG31" s="526">
        <v>0.71883900718839</v>
      </c>
      <c r="AH31" s="526">
        <v>5.7222826932047903</v>
      </c>
      <c r="AI31" s="526">
        <v>-5.4451402123604697E-3</v>
      </c>
      <c r="AJ31" s="526">
        <v>1.3872569813892</v>
      </c>
    </row>
    <row r="32" spans="1:36" s="1422" customFormat="1" ht="12.75" customHeight="1">
      <c r="A32" s="1258" t="s">
        <v>561</v>
      </c>
      <c r="B32" s="371">
        <v>-4.7881219511208801</v>
      </c>
      <c r="C32" s="371">
        <v>0</v>
      </c>
      <c r="D32" s="371">
        <v>-2.6521681474605499E-2</v>
      </c>
      <c r="E32" s="371">
        <v>-2.7906642212392598</v>
      </c>
      <c r="F32" s="371">
        <v>-1.6505263157894701</v>
      </c>
      <c r="G32" s="371">
        <v>-2.7978490398538902</v>
      </c>
      <c r="H32" s="371">
        <v>-2.7545131037524602</v>
      </c>
      <c r="I32" s="371">
        <v>6.4332677140026501E-4</v>
      </c>
      <c r="J32" s="371">
        <v>-0.44000475680818202</v>
      </c>
      <c r="K32" s="371">
        <v>-3.5185480019105202</v>
      </c>
      <c r="L32" s="371">
        <v>0</v>
      </c>
      <c r="M32" s="371">
        <v>-7.3165167514013802</v>
      </c>
      <c r="N32" s="371">
        <v>-0.48939641109298498</v>
      </c>
      <c r="O32" s="371">
        <v>-6.1087006165791298</v>
      </c>
      <c r="P32" s="371">
        <v>0</v>
      </c>
      <c r="Q32" s="371">
        <v>-1.99999496940982</v>
      </c>
      <c r="R32" s="371">
        <v>-5.7960749195856502</v>
      </c>
      <c r="S32" s="1258" t="s">
        <v>561</v>
      </c>
      <c r="T32" s="875">
        <v>-4.1780721924157804</v>
      </c>
      <c r="U32" s="875">
        <v>-0.12987012987013</v>
      </c>
      <c r="V32" s="875">
        <v>-2.70002700027E-2</v>
      </c>
      <c r="W32" s="875">
        <v>-3.62917096663227</v>
      </c>
      <c r="X32" s="875">
        <v>-2.7427317608337901E-2</v>
      </c>
      <c r="Y32" s="875">
        <v>-2.6674233825198601</v>
      </c>
      <c r="Z32" s="875">
        <v>-0.114492637857124</v>
      </c>
      <c r="AA32" s="875">
        <v>-4.9822038233661399</v>
      </c>
      <c r="AB32" s="875">
        <v>-3.1118841456497899</v>
      </c>
      <c r="AC32" s="875">
        <v>-5.5311524949595601</v>
      </c>
      <c r="AD32" s="875">
        <v>1.2630141662399701</v>
      </c>
      <c r="AE32" s="875">
        <v>-3.0227862705509101</v>
      </c>
      <c r="AF32" s="875">
        <v>-2.69127258746636E-2</v>
      </c>
      <c r="AG32" s="875">
        <v>-1.8242343541944099</v>
      </c>
      <c r="AH32" s="875">
        <v>-4.6835630650659601</v>
      </c>
      <c r="AI32" s="875">
        <v>-1.3612665223724099E-3</v>
      </c>
      <c r="AJ32" s="875">
        <v>-3.0804879153473999</v>
      </c>
    </row>
    <row r="33" spans="1:36" s="1422" customFormat="1" ht="12.75" customHeight="1">
      <c r="A33" s="1469" t="s">
        <v>562</v>
      </c>
      <c r="B33" s="357">
        <v>-1.14121219179192</v>
      </c>
      <c r="C33" s="357">
        <v>0</v>
      </c>
      <c r="D33" s="357">
        <v>1.3262599469495999E-2</v>
      </c>
      <c r="E33" s="357">
        <v>-0.90163934426229497</v>
      </c>
      <c r="F33" s="357">
        <v>-0.89576320694355605</v>
      </c>
      <c r="G33" s="357">
        <v>-2.6500340020401199</v>
      </c>
      <c r="H33" s="357">
        <v>-2.6713364859849098</v>
      </c>
      <c r="I33" s="357">
        <v>-0.122724614959552</v>
      </c>
      <c r="J33" s="357">
        <v>-0.39090262970860001</v>
      </c>
      <c r="K33" s="357">
        <v>-0.99306431273644402</v>
      </c>
      <c r="L33" s="357">
        <v>0</v>
      </c>
      <c r="M33" s="357">
        <v>1.52532839228402</v>
      </c>
      <c r="N33" s="357">
        <v>-0.29277813923227097</v>
      </c>
      <c r="O33" s="357">
        <v>-1.46264626462646</v>
      </c>
      <c r="P33" s="357">
        <v>0</v>
      </c>
      <c r="Q33" s="357">
        <v>-1.21241637615222</v>
      </c>
      <c r="R33" s="357">
        <v>-1.31424539080314</v>
      </c>
      <c r="S33" s="1469" t="s">
        <v>562</v>
      </c>
      <c r="T33" s="526">
        <v>-0.92658717603348395</v>
      </c>
      <c r="U33" s="526">
        <v>-1.29853265809635E-2</v>
      </c>
      <c r="V33" s="526">
        <v>0</v>
      </c>
      <c r="W33" s="526">
        <v>-0.83574961623742094</v>
      </c>
      <c r="X33" s="526">
        <v>1.5087300607606701E-2</v>
      </c>
      <c r="Y33" s="526">
        <v>-14.3526292532037</v>
      </c>
      <c r="Z33" s="526">
        <v>5.3255225669018797E-3</v>
      </c>
      <c r="AA33" s="526">
        <v>-1.27480478544308</v>
      </c>
      <c r="AB33" s="526">
        <v>-1.3429328160555101</v>
      </c>
      <c r="AC33" s="526">
        <v>-2.2439385763542701</v>
      </c>
      <c r="AD33" s="526">
        <v>0.68740333390616903</v>
      </c>
      <c r="AE33" s="526">
        <v>-1.70116246101503</v>
      </c>
      <c r="AF33" s="526">
        <v>0</v>
      </c>
      <c r="AG33" s="526">
        <v>-1.3270266719222199</v>
      </c>
      <c r="AH33" s="526">
        <v>-2.01858844031368</v>
      </c>
      <c r="AI33" s="526">
        <v>4.0839663481172898E-3</v>
      </c>
      <c r="AJ33" s="526">
        <v>-2.1832220527402399</v>
      </c>
    </row>
    <row r="34" spans="1:36" s="1422" customFormat="1" ht="12.75" customHeight="1">
      <c r="A34" s="1258" t="s">
        <v>555</v>
      </c>
      <c r="B34" s="371">
        <v>-4.2481277081479503</v>
      </c>
      <c r="C34" s="371">
        <v>0</v>
      </c>
      <c r="D34" s="371">
        <v>-6.62690523525514E-2</v>
      </c>
      <c r="E34" s="371">
        <v>-2.2640195053988199</v>
      </c>
      <c r="F34" s="371">
        <v>1.39113015413722E-2</v>
      </c>
      <c r="G34" s="371">
        <v>-1.5022222842430599</v>
      </c>
      <c r="H34" s="371">
        <v>-1.50009134135241</v>
      </c>
      <c r="I34" s="371">
        <v>0.196358673259168</v>
      </c>
      <c r="J34" s="371">
        <v>-1.2648900896475499</v>
      </c>
      <c r="K34" s="371">
        <v>-1.7195972114639799</v>
      </c>
      <c r="L34" s="371">
        <v>0</v>
      </c>
      <c r="M34" s="371">
        <v>-3.6532882782364799</v>
      </c>
      <c r="N34" s="371">
        <v>-0.19480519480519501</v>
      </c>
      <c r="O34" s="371">
        <v>-0.58165548098433995</v>
      </c>
      <c r="P34" s="371">
        <v>0</v>
      </c>
      <c r="Q34" s="371">
        <v>-0.58700503100117696</v>
      </c>
      <c r="R34" s="371">
        <v>-4.3260667359834102</v>
      </c>
      <c r="S34" s="1258" t="s">
        <v>555</v>
      </c>
      <c r="T34" s="875">
        <v>-2.34297064665637</v>
      </c>
      <c r="U34" s="875">
        <v>1.2987012987013E-2</v>
      </c>
      <c r="V34" s="875">
        <v>-0.20657445661936399</v>
      </c>
      <c r="W34" s="875">
        <v>1.3833650354487299</v>
      </c>
      <c r="X34" s="875">
        <v>-1.3715539706487499E-3</v>
      </c>
      <c r="Y34" s="875">
        <v>6.9976359338061496</v>
      </c>
      <c r="Z34" s="875">
        <v>0</v>
      </c>
      <c r="AA34" s="875">
        <v>-5.2760153360702997</v>
      </c>
      <c r="AB34" s="875">
        <v>-1.4484761589647399</v>
      </c>
      <c r="AC34" s="875">
        <v>-0.75924320742814899</v>
      </c>
      <c r="AD34" s="875">
        <v>-0.512908189434091</v>
      </c>
      <c r="AE34" s="875">
        <v>-2.4450959783149901</v>
      </c>
      <c r="AF34" s="875">
        <v>0</v>
      </c>
      <c r="AG34" s="875">
        <v>-0.74334898278560302</v>
      </c>
      <c r="AH34" s="875">
        <v>0.45222465353756403</v>
      </c>
      <c r="AI34" s="875">
        <v>-2.7225701061802301E-3</v>
      </c>
      <c r="AJ34" s="875">
        <v>-1.00555939903915</v>
      </c>
    </row>
    <row r="35" spans="1:36" s="1422" customFormat="1" ht="12.75" customHeight="1">
      <c r="A35" s="1469" t="s">
        <v>563</v>
      </c>
      <c r="B35" s="357">
        <v>0.168800644366565</v>
      </c>
      <c r="C35" s="357">
        <v>-1.63934426229508</v>
      </c>
      <c r="D35" s="357">
        <v>6.6312997347480099E-2</v>
      </c>
      <c r="E35" s="357">
        <v>-0.44731093311141201</v>
      </c>
      <c r="F35" s="357">
        <v>0.25942146224441398</v>
      </c>
      <c r="G35" s="357">
        <v>7.7508553871936295E-2</v>
      </c>
      <c r="H35" s="357">
        <v>0.124909921306482</v>
      </c>
      <c r="I35" s="357">
        <v>-0.32982122919367102</v>
      </c>
      <c r="J35" s="357">
        <v>-1.31405817174515</v>
      </c>
      <c r="K35" s="357">
        <v>-0.68619607360452906</v>
      </c>
      <c r="L35" s="357">
        <v>0</v>
      </c>
      <c r="M35" s="357">
        <v>1.0436463198582699</v>
      </c>
      <c r="N35" s="357">
        <v>-0.113507377979569</v>
      </c>
      <c r="O35" s="357">
        <v>1.75278852720237</v>
      </c>
      <c r="P35" s="357">
        <v>0</v>
      </c>
      <c r="Q35" s="357">
        <v>0.145707564011963</v>
      </c>
      <c r="R35" s="357">
        <v>0.33690930575766398</v>
      </c>
      <c r="S35" s="1469" t="s">
        <v>563</v>
      </c>
      <c r="T35" s="526">
        <v>0.33215234720991998</v>
      </c>
      <c r="U35" s="526">
        <v>0</v>
      </c>
      <c r="V35" s="526">
        <v>-0.179307871615564</v>
      </c>
      <c r="W35" s="526">
        <v>-0.94210346008907198</v>
      </c>
      <c r="X35" s="526">
        <v>-8.2286466619123401E-3</v>
      </c>
      <c r="Y35" s="526">
        <v>7.5678974671956096</v>
      </c>
      <c r="Z35" s="526">
        <v>0.127976111125923</v>
      </c>
      <c r="AA35" s="526">
        <v>2.21790625487714</v>
      </c>
      <c r="AB35" s="526">
        <v>0.78177102630603901</v>
      </c>
      <c r="AC35" s="526">
        <v>0.249314158587462</v>
      </c>
      <c r="AD35" s="526">
        <v>-1.32433572332349</v>
      </c>
      <c r="AE35" s="526">
        <v>-0.33081546010916901</v>
      </c>
      <c r="AF35" s="526">
        <v>0</v>
      </c>
      <c r="AG35" s="526">
        <v>-0.415584415584416</v>
      </c>
      <c r="AH35" s="526">
        <v>1.5405125166642</v>
      </c>
      <c r="AI35" s="526">
        <v>2.7226442320781902E-3</v>
      </c>
      <c r="AJ35" s="526">
        <v>-0.80068154301622096</v>
      </c>
    </row>
    <row r="36" spans="1:36" s="1422" customFormat="1" ht="12.75" customHeight="1">
      <c r="A36" s="1258" t="s">
        <v>564</v>
      </c>
      <c r="B36" s="371">
        <v>1.2035677729733001</v>
      </c>
      <c r="C36" s="371">
        <v>0</v>
      </c>
      <c r="D36" s="371">
        <v>2.6532236667551098E-2</v>
      </c>
      <c r="E36" s="371">
        <v>0.57192676547515298</v>
      </c>
      <c r="F36" s="371">
        <v>-5.8544744912182901E-2</v>
      </c>
      <c r="G36" s="371">
        <v>0.65717800035143203</v>
      </c>
      <c r="H36" s="371">
        <v>0.61417215619221599</v>
      </c>
      <c r="I36" s="371">
        <v>0.23218271042764099</v>
      </c>
      <c r="J36" s="371">
        <v>-0.57435979825683803</v>
      </c>
      <c r="K36" s="371">
        <v>-1.1768283411889899</v>
      </c>
      <c r="L36" s="371">
        <v>0</v>
      </c>
      <c r="M36" s="371">
        <v>4.1149641156348498</v>
      </c>
      <c r="N36" s="371">
        <v>-3.2420165342843199E-2</v>
      </c>
      <c r="O36" s="371">
        <v>-1.1809695197390599</v>
      </c>
      <c r="P36" s="371">
        <v>0</v>
      </c>
      <c r="Q36" s="371">
        <v>0.58958439608657998</v>
      </c>
      <c r="R36" s="371">
        <v>0.65387734243154705</v>
      </c>
      <c r="S36" s="1258" t="s">
        <v>564</v>
      </c>
      <c r="T36" s="875">
        <v>1.2610544065151501</v>
      </c>
      <c r="U36" s="875">
        <v>0</v>
      </c>
      <c r="V36" s="875">
        <v>-0.36623492630638699</v>
      </c>
      <c r="W36" s="875">
        <v>0.80290080290080301</v>
      </c>
      <c r="X36" s="875">
        <v>3.5670187954451898E-2</v>
      </c>
      <c r="Y36" s="875">
        <v>13.227756982435899</v>
      </c>
      <c r="Z36" s="875">
        <v>1.06658134015945E-2</v>
      </c>
      <c r="AA36" s="875">
        <v>-1.5604410846799401E-2</v>
      </c>
      <c r="AB36" s="875">
        <v>0.806752819899903</v>
      </c>
      <c r="AC36" s="875">
        <v>2.9570471684856399</v>
      </c>
      <c r="AD36" s="875">
        <v>0.32157061860032199</v>
      </c>
      <c r="AE36" s="875">
        <v>1.3523330539256799</v>
      </c>
      <c r="AF36" s="875">
        <v>0</v>
      </c>
      <c r="AG36" s="875">
        <v>0.798533839507789</v>
      </c>
      <c r="AH36" s="875">
        <v>-0.39834759516081403</v>
      </c>
      <c r="AI36" s="875">
        <v>2.7227183620126302E-3</v>
      </c>
      <c r="AJ36" s="875">
        <v>1.7829295889671399</v>
      </c>
    </row>
    <row r="37" spans="1:36" s="1422" customFormat="1" ht="12.75" customHeight="1">
      <c r="A37" s="1469" t="s">
        <v>556</v>
      </c>
      <c r="B37" s="357">
        <v>-3.1718342327301703E-2</v>
      </c>
      <c r="C37" s="357">
        <v>0</v>
      </c>
      <c r="D37" s="357">
        <v>-3.97825222119082E-2</v>
      </c>
      <c r="E37" s="357">
        <v>0.22719328905976899</v>
      </c>
      <c r="F37" s="357">
        <v>-1.28315387526231</v>
      </c>
      <c r="G37" s="357">
        <v>2.5412795767897398</v>
      </c>
      <c r="H37" s="357">
        <v>3.02351278502656</v>
      </c>
      <c r="I37" s="357">
        <v>-2.7005651897147001E-2</v>
      </c>
      <c r="J37" s="357">
        <v>1.7402218330414501</v>
      </c>
      <c r="K37" s="357">
        <v>-0.70954106280193197</v>
      </c>
      <c r="L37" s="357">
        <v>-0.26120510537251401</v>
      </c>
      <c r="M37" s="357">
        <v>-1.30085068352587</v>
      </c>
      <c r="N37" s="357">
        <v>1.6212710765239901E-2</v>
      </c>
      <c r="O37" s="357">
        <v>0.33856223902494098</v>
      </c>
      <c r="P37" s="357">
        <v>0</v>
      </c>
      <c r="Q37" s="357">
        <v>1.0961633444386401</v>
      </c>
      <c r="R37" s="357">
        <v>0.59696872571705795</v>
      </c>
      <c r="S37" s="1469" t="s">
        <v>556</v>
      </c>
      <c r="T37" s="526">
        <v>5.6064409187781203</v>
      </c>
      <c r="U37" s="526">
        <v>0</v>
      </c>
      <c r="V37" s="526">
        <v>-0.142716974400143</v>
      </c>
      <c r="W37" s="526">
        <v>0.64559854718604204</v>
      </c>
      <c r="X37" s="526">
        <v>-2.05747205267128E-2</v>
      </c>
      <c r="Y37" s="526">
        <v>3.2708890871245901</v>
      </c>
      <c r="Z37" s="526">
        <v>-2.3992322456813799E-2</v>
      </c>
      <c r="AA37" s="526">
        <v>-1.61708515283843</v>
      </c>
      <c r="AB37" s="526">
        <v>-6.34541450487104E-2</v>
      </c>
      <c r="AC37" s="526">
        <v>6.7300577919091298</v>
      </c>
      <c r="AD37" s="526">
        <v>-0.278481012658228</v>
      </c>
      <c r="AE37" s="526">
        <v>1.2561534544220001</v>
      </c>
      <c r="AF37" s="526">
        <v>0</v>
      </c>
      <c r="AG37" s="526">
        <v>1.5014615997873999</v>
      </c>
      <c r="AH37" s="526">
        <v>-7.3713696004717694E-2</v>
      </c>
      <c r="AI37" s="526">
        <v>-2.7226442320781902E-3</v>
      </c>
      <c r="AJ37" s="526">
        <v>2.1738189590757102</v>
      </c>
    </row>
    <row r="38" spans="1:36" s="1422" customFormat="1" ht="12.75" customHeight="1">
      <c r="A38" s="1258" t="s">
        <v>565</v>
      </c>
      <c r="B38" s="371">
        <v>1.2609874155573499</v>
      </c>
      <c r="C38" s="371">
        <v>0</v>
      </c>
      <c r="D38" s="371">
        <v>2.6528717336516801E-2</v>
      </c>
      <c r="E38" s="371">
        <v>3.4083926699678302</v>
      </c>
      <c r="F38" s="371">
        <v>0.914405532257617</v>
      </c>
      <c r="G38" s="371">
        <v>5.8159133027767798</v>
      </c>
      <c r="H38" s="371">
        <v>5.4066565054718998</v>
      </c>
      <c r="I38" s="371">
        <v>0.22297118774045099</v>
      </c>
      <c r="J38" s="371">
        <v>0.58188351760623302</v>
      </c>
      <c r="K38" s="371">
        <v>-0.95693779904306198</v>
      </c>
      <c r="L38" s="371">
        <v>0.26188917326349598</v>
      </c>
      <c r="M38" s="371">
        <v>6.1077549873560004</v>
      </c>
      <c r="N38" s="371">
        <v>0.66916925085686296</v>
      </c>
      <c r="O38" s="371">
        <v>2.6767091541135599</v>
      </c>
      <c r="P38" s="371">
        <v>0</v>
      </c>
      <c r="Q38" s="371">
        <v>1.99530616818082</v>
      </c>
      <c r="R38" s="371">
        <v>3.5256131080256599</v>
      </c>
      <c r="S38" s="1258" t="s">
        <v>565</v>
      </c>
      <c r="T38" s="875">
        <v>1.7977928946442301</v>
      </c>
      <c r="U38" s="875">
        <v>0</v>
      </c>
      <c r="V38" s="875">
        <v>-0.30235660293463801</v>
      </c>
      <c r="W38" s="875">
        <v>2.9548056967007801</v>
      </c>
      <c r="X38" s="875">
        <v>-2.7432208155595498E-3</v>
      </c>
      <c r="Y38" s="875">
        <v>2.5304878048780499</v>
      </c>
      <c r="Z38" s="875">
        <v>7.9980804606894305E-3</v>
      </c>
      <c r="AA38" s="875">
        <v>2.56840926586885</v>
      </c>
      <c r="AB38" s="875">
        <v>2.3651230322482002</v>
      </c>
      <c r="AC38" s="875">
        <v>3.6887285394376699</v>
      </c>
      <c r="AD38" s="875">
        <v>-1.08514190317195</v>
      </c>
      <c r="AE38" s="875">
        <v>7.2586029010135302</v>
      </c>
      <c r="AF38" s="875">
        <v>0</v>
      </c>
      <c r="AG38" s="875">
        <v>2.0612964469758599</v>
      </c>
      <c r="AH38" s="875">
        <v>1.4963339817447301</v>
      </c>
      <c r="AI38" s="875">
        <v>-5.4449919686368501E-3</v>
      </c>
      <c r="AJ38" s="875">
        <v>3.5408225465373602</v>
      </c>
    </row>
    <row r="39" spans="1:36" s="1422" customFormat="1" ht="12.75" customHeight="1">
      <c r="A39" s="1469" t="s">
        <v>566</v>
      </c>
      <c r="B39" s="357">
        <v>0.67357869167898998</v>
      </c>
      <c r="C39" s="357">
        <v>-0.73230268510984498</v>
      </c>
      <c r="D39" s="357">
        <v>-1.3262599469495999E-2</v>
      </c>
      <c r="E39" s="357">
        <v>-2.1681783688071402E-2</v>
      </c>
      <c r="F39" s="357">
        <v>0.14880331539349401</v>
      </c>
      <c r="G39" s="357">
        <v>-0.71704399182251799</v>
      </c>
      <c r="H39" s="357">
        <v>-0.812437457916378</v>
      </c>
      <c r="I39" s="357">
        <v>-1.0174010665169799</v>
      </c>
      <c r="J39" s="357">
        <v>-0.30323075392063298</v>
      </c>
      <c r="K39" s="357">
        <v>2.63965623081645</v>
      </c>
      <c r="L39" s="357">
        <v>0</v>
      </c>
      <c r="M39" s="357">
        <v>-1.7088410950391799</v>
      </c>
      <c r="N39" s="357">
        <v>-0.227975899690604</v>
      </c>
      <c r="O39" s="357">
        <v>1.80488380323228</v>
      </c>
      <c r="P39" s="357">
        <v>0</v>
      </c>
      <c r="Q39" s="357">
        <v>0.23627488130530699</v>
      </c>
      <c r="R39" s="357">
        <v>0.60692911590781395</v>
      </c>
      <c r="S39" s="1469" t="s">
        <v>566</v>
      </c>
      <c r="T39" s="526">
        <v>1.78872880025126</v>
      </c>
      <c r="U39" s="526">
        <v>-1.29853265809635E-2</v>
      </c>
      <c r="V39" s="526">
        <v>-0.57471264367816099</v>
      </c>
      <c r="W39" s="526">
        <v>0.35191037058316599</v>
      </c>
      <c r="X39" s="526">
        <v>3.2929489730115398E-2</v>
      </c>
      <c r="Y39" s="526">
        <v>2.660406885759</v>
      </c>
      <c r="Z39" s="526">
        <v>0</v>
      </c>
      <c r="AA39" s="526">
        <v>3.3581077415504801</v>
      </c>
      <c r="AB39" s="526">
        <v>1.4969363220352101</v>
      </c>
      <c r="AC39" s="526">
        <v>-0.415040574862169</v>
      </c>
      <c r="AD39" s="526">
        <v>1.6697278343629999E-2</v>
      </c>
      <c r="AE39" s="526">
        <v>-0.43507160553507801</v>
      </c>
      <c r="AF39" s="526">
        <v>0</v>
      </c>
      <c r="AG39" s="526">
        <v>4.0700040700040699E-2</v>
      </c>
      <c r="AH39" s="526">
        <v>1.7509135200974399</v>
      </c>
      <c r="AI39" s="526">
        <v>1.36143331699613E-2</v>
      </c>
      <c r="AJ39" s="526">
        <v>0.49226180606486403</v>
      </c>
    </row>
    <row r="40" spans="1:36" s="1422" customFormat="1" ht="12.75" customHeight="1">
      <c r="A40" s="1258" t="s">
        <v>557</v>
      </c>
      <c r="B40" s="371">
        <v>1.6103955160627601</v>
      </c>
      <c r="C40" s="371">
        <v>0.101812258195887</v>
      </c>
      <c r="D40" s="371">
        <v>-3.9771974015643599E-2</v>
      </c>
      <c r="E40" s="371">
        <v>1.12922087414121</v>
      </c>
      <c r="F40" s="371">
        <v>0.44841170061185098</v>
      </c>
      <c r="G40" s="371">
        <v>3.7372753550333</v>
      </c>
      <c r="H40" s="371">
        <v>3.7811033965676102</v>
      </c>
      <c r="I40" s="371">
        <v>-0.14395087835513801</v>
      </c>
      <c r="J40" s="371">
        <v>-4.8563571470364497E-2</v>
      </c>
      <c r="K40" s="371">
        <v>0.35422762975512101</v>
      </c>
      <c r="L40" s="371">
        <v>0</v>
      </c>
      <c r="M40" s="371">
        <v>0.117512874572288</v>
      </c>
      <c r="N40" s="371">
        <v>0.50736497545008197</v>
      </c>
      <c r="O40" s="371">
        <v>0.50984111927910802</v>
      </c>
      <c r="P40" s="371">
        <v>0</v>
      </c>
      <c r="Q40" s="371">
        <v>1.1489010040851899</v>
      </c>
      <c r="R40" s="371">
        <v>1.4914118347788901</v>
      </c>
      <c r="S40" s="1258" t="s">
        <v>557</v>
      </c>
      <c r="T40" s="875">
        <v>1.0728474850332099</v>
      </c>
      <c r="U40" s="875">
        <v>1.2987012987013E-2</v>
      </c>
      <c r="V40" s="875">
        <v>-0.31729243786356398</v>
      </c>
      <c r="W40" s="875">
        <v>-1.1413053124833601</v>
      </c>
      <c r="X40" s="875">
        <v>-2.0576696205657202E-2</v>
      </c>
      <c r="Y40" s="875">
        <v>1.7515923566878999</v>
      </c>
      <c r="Z40" s="875">
        <v>1.06652446340488E-2</v>
      </c>
      <c r="AA40" s="875">
        <v>2.0088544548976199</v>
      </c>
      <c r="AB40" s="875">
        <v>1.04627924291704</v>
      </c>
      <c r="AC40" s="875">
        <v>2.1514902233753102</v>
      </c>
      <c r="AD40" s="875">
        <v>-0.100083402835696</v>
      </c>
      <c r="AE40" s="875">
        <v>3.54774120885997</v>
      </c>
      <c r="AF40" s="875">
        <v>0</v>
      </c>
      <c r="AG40" s="875">
        <v>1.2778235779060201</v>
      </c>
      <c r="AH40" s="875">
        <v>0.84446491632120402</v>
      </c>
      <c r="AI40" s="875">
        <v>2.7229407760381201E-3</v>
      </c>
      <c r="AJ40" s="875">
        <v>1.7961183504353999</v>
      </c>
    </row>
    <row r="41" spans="1:36" s="1422" customFormat="1" ht="12.75" customHeight="1">
      <c r="A41" s="1597" t="s">
        <v>2755</v>
      </c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1597" t="s">
        <v>2755</v>
      </c>
      <c r="T41" s="526"/>
      <c r="U41" s="526"/>
      <c r="V41" s="526"/>
      <c r="W41" s="526"/>
      <c r="X41" s="526"/>
      <c r="Y41" s="526"/>
      <c r="Z41" s="526"/>
      <c r="AA41" s="526"/>
      <c r="AB41" s="526"/>
      <c r="AC41" s="526"/>
      <c r="AD41" s="526"/>
      <c r="AE41" s="526"/>
      <c r="AF41" s="526"/>
      <c r="AG41" s="526"/>
      <c r="AH41" s="526"/>
      <c r="AI41" s="526"/>
      <c r="AJ41" s="526"/>
    </row>
    <row r="42" spans="1:36" s="1422" customFormat="1" ht="12.75" customHeight="1">
      <c r="A42" s="1258" t="s">
        <v>559</v>
      </c>
      <c r="B42" s="371">
        <v>-1.4929962137372099</v>
      </c>
      <c r="C42" s="371">
        <v>0.130489744321657</v>
      </c>
      <c r="D42" s="371">
        <v>3.9787798408488097E-2</v>
      </c>
      <c r="E42" s="371">
        <v>-1.05940629858625</v>
      </c>
      <c r="F42" s="371">
        <v>0.12868212717151101</v>
      </c>
      <c r="G42" s="371">
        <v>-2.73284997211378</v>
      </c>
      <c r="H42" s="371">
        <v>-2.6834480737085702</v>
      </c>
      <c r="I42" s="371">
        <v>6.3695484627094797E-4</v>
      </c>
      <c r="J42" s="371">
        <v>-2.54986258567014</v>
      </c>
      <c r="K42" s="371">
        <v>-1.38213851761847</v>
      </c>
      <c r="L42" s="371">
        <v>0</v>
      </c>
      <c r="M42" s="371">
        <v>-3.23734992140731</v>
      </c>
      <c r="N42" s="371">
        <v>-0.114435180644107</v>
      </c>
      <c r="O42" s="371">
        <v>-0.86976962858486095</v>
      </c>
      <c r="P42" s="371">
        <v>0</v>
      </c>
      <c r="Q42" s="371">
        <v>-0.80094623655913999</v>
      </c>
      <c r="R42" s="371">
        <v>-2.6830783205781401</v>
      </c>
      <c r="S42" s="1258" t="s">
        <v>559</v>
      </c>
      <c r="T42" s="875">
        <v>-2.4256503327283698</v>
      </c>
      <c r="U42" s="875">
        <v>0</v>
      </c>
      <c r="V42" s="875">
        <v>-3.5242290748898703E-2</v>
      </c>
      <c r="W42" s="875">
        <v>-3.2408202521210501</v>
      </c>
      <c r="X42" s="875">
        <v>-5.4868179199473299E-3</v>
      </c>
      <c r="Y42" s="875">
        <v>-2.6779072650632298</v>
      </c>
      <c r="Z42" s="875">
        <v>-1.8660695244188501E-2</v>
      </c>
      <c r="AA42" s="875">
        <v>-2.78186265718815</v>
      </c>
      <c r="AB42" s="875">
        <v>-1.63056048107316</v>
      </c>
      <c r="AC42" s="875">
        <v>-3.1327738303817299</v>
      </c>
      <c r="AD42" s="875">
        <v>-0.80251509886655104</v>
      </c>
      <c r="AE42" s="875">
        <v>-1.92083461184412</v>
      </c>
      <c r="AF42" s="875">
        <v>0</v>
      </c>
      <c r="AG42" s="875">
        <v>-1.39547486790408</v>
      </c>
      <c r="AH42" s="875">
        <v>-0.45850527281063702</v>
      </c>
      <c r="AI42" s="875">
        <v>-2.7228666339922701E-3</v>
      </c>
      <c r="AJ42" s="875">
        <v>-3.48146638127889</v>
      </c>
    </row>
    <row r="43" spans="1:36" s="1422" customFormat="1" ht="12.75" customHeight="1">
      <c r="A43" s="1469" t="s">
        <v>560</v>
      </c>
      <c r="B43" s="357">
        <v>1.67106814916403</v>
      </c>
      <c r="C43" s="357">
        <v>0.80154554422887203</v>
      </c>
      <c r="D43" s="357">
        <v>0</v>
      </c>
      <c r="E43" s="357">
        <v>0.60749363404874501</v>
      </c>
      <c r="F43" s="357">
        <v>0.65324510770097099</v>
      </c>
      <c r="G43" s="357">
        <v>2.45553885653454</v>
      </c>
      <c r="H43" s="357">
        <v>2.4593385632803701</v>
      </c>
      <c r="I43" s="357">
        <v>0.67459681297893503</v>
      </c>
      <c r="J43" s="357">
        <v>-0.54778052487127704</v>
      </c>
      <c r="K43" s="357">
        <v>-0.18192844147968501</v>
      </c>
      <c r="L43" s="357">
        <v>-0.112960760998811</v>
      </c>
      <c r="M43" s="357">
        <v>1.67295725798225</v>
      </c>
      <c r="N43" s="357">
        <v>9.8183603338242498E-2</v>
      </c>
      <c r="O43" s="357">
        <v>0.68639053254437898</v>
      </c>
      <c r="P43" s="357">
        <v>0</v>
      </c>
      <c r="Q43" s="357">
        <v>0.45505057749772299</v>
      </c>
      <c r="R43" s="357">
        <v>-0.16118738632468099</v>
      </c>
      <c r="S43" s="1469" t="s">
        <v>560</v>
      </c>
      <c r="T43" s="526">
        <v>2.7136792499726599</v>
      </c>
      <c r="U43" s="526">
        <v>0</v>
      </c>
      <c r="V43" s="526">
        <v>-4.4033465433729602E-2</v>
      </c>
      <c r="W43" s="526">
        <v>1.88989605571694</v>
      </c>
      <c r="X43" s="526">
        <v>-0.143821825304423</v>
      </c>
      <c r="Y43" s="526">
        <v>0.95118898623279102</v>
      </c>
      <c r="Z43" s="526">
        <v>-2.6651031394914999E-2</v>
      </c>
      <c r="AA43" s="526">
        <v>0.36429872495446303</v>
      </c>
      <c r="AB43" s="526">
        <v>1.0359869138495099</v>
      </c>
      <c r="AC43" s="526">
        <v>3.4577700738799102</v>
      </c>
      <c r="AD43" s="526">
        <v>4.1383876841582498E-2</v>
      </c>
      <c r="AE43" s="526">
        <v>1.77378052588845</v>
      </c>
      <c r="AF43" s="526">
        <v>0</v>
      </c>
      <c r="AG43" s="526">
        <v>1.0127275215546701</v>
      </c>
      <c r="AH43" s="526">
        <v>1.26915338182944</v>
      </c>
      <c r="AI43" s="526">
        <v>-8.1679326962345797E-3</v>
      </c>
      <c r="AJ43" s="526">
        <v>2.01314795993718</v>
      </c>
    </row>
    <row r="44" spans="1:36" s="1422" customFormat="1" ht="12.75" customHeight="1">
      <c r="A44" s="1258" t="s">
        <v>554</v>
      </c>
      <c r="B44" s="371">
        <v>0.55805730066738901</v>
      </c>
      <c r="C44" s="371">
        <v>-0.13136288998358001</v>
      </c>
      <c r="D44" s="371">
        <v>0</v>
      </c>
      <c r="E44" s="371">
        <v>-1.21815372453196</v>
      </c>
      <c r="F44" s="371">
        <v>-3.5184012384772402E-2</v>
      </c>
      <c r="G44" s="371">
        <v>0.34954872866378101</v>
      </c>
      <c r="H44" s="371">
        <v>0.34656984086158898</v>
      </c>
      <c r="I44" s="371">
        <v>0.17794280134645499</v>
      </c>
      <c r="J44" s="371">
        <v>-0.59749278499278502</v>
      </c>
      <c r="K44" s="371">
        <v>-1.22791254866727</v>
      </c>
      <c r="L44" s="371">
        <v>0</v>
      </c>
      <c r="M44" s="371">
        <v>-1.0431037383491999</v>
      </c>
      <c r="N44" s="371">
        <v>3.2738582419381199E-2</v>
      </c>
      <c r="O44" s="371">
        <v>0.237247924080664</v>
      </c>
      <c r="P44" s="371">
        <v>0</v>
      </c>
      <c r="Q44" s="371">
        <v>-0.219180255497613</v>
      </c>
      <c r="R44" s="371">
        <v>-1.8268184279167301</v>
      </c>
      <c r="S44" s="1258" t="s">
        <v>554</v>
      </c>
      <c r="T44" s="875">
        <v>0.78153963307716201</v>
      </c>
      <c r="U44" s="875">
        <v>0</v>
      </c>
      <c r="V44" s="875">
        <v>0.13227513227513199</v>
      </c>
      <c r="W44" s="875">
        <v>-1.87253698282005</v>
      </c>
      <c r="X44" s="875">
        <v>0.15227172958735699</v>
      </c>
      <c r="Y44" s="875">
        <v>-3.82184772795667</v>
      </c>
      <c r="Z44" s="875">
        <v>4.7994880546075099E-2</v>
      </c>
      <c r="AA44" s="875">
        <v>-1.06698956515545</v>
      </c>
      <c r="AB44" s="875">
        <v>-0.48062015503875999</v>
      </c>
      <c r="AC44" s="875">
        <v>0.45815791848717602</v>
      </c>
      <c r="AD44" s="875">
        <v>-0.15701181720519</v>
      </c>
      <c r="AE44" s="875">
        <v>0.36356798094402298</v>
      </c>
      <c r="AF44" s="875">
        <v>0</v>
      </c>
      <c r="AG44" s="875">
        <v>0.17822868110776</v>
      </c>
      <c r="AH44" s="875">
        <v>-0.21621621621621601</v>
      </c>
      <c r="AI44" s="875">
        <v>-2.7225701061802301E-3</v>
      </c>
      <c r="AJ44" s="875">
        <v>-0.56647881978380199</v>
      </c>
    </row>
    <row r="45" spans="1:36" s="1422" customFormat="1" ht="12.75" customHeight="1">
      <c r="A45" s="1469" t="s">
        <v>561</v>
      </c>
      <c r="B45" s="357">
        <v>-3.8016461818787602E-2</v>
      </c>
      <c r="C45" s="357">
        <v>-0.40068689181453898</v>
      </c>
      <c r="D45" s="357">
        <v>0</v>
      </c>
      <c r="E45" s="357">
        <v>-0.20440364340529299</v>
      </c>
      <c r="F45" s="357">
        <v>0.26953036802890001</v>
      </c>
      <c r="G45" s="357">
        <v>-1.11463236550621</v>
      </c>
      <c r="H45" s="357">
        <v>-1.0702268791048599</v>
      </c>
      <c r="I45" s="357">
        <v>0.15956762321451501</v>
      </c>
      <c r="J45" s="357">
        <v>0.33537878573650398</v>
      </c>
      <c r="K45" s="357">
        <v>0.34258925351604802</v>
      </c>
      <c r="L45" s="357">
        <v>0</v>
      </c>
      <c r="M45" s="357">
        <v>-2.7073921299024399</v>
      </c>
      <c r="N45" s="357">
        <v>-0.472466601498859</v>
      </c>
      <c r="O45" s="357">
        <v>0.41691483025610498</v>
      </c>
      <c r="P45" s="357">
        <v>0</v>
      </c>
      <c r="Q45" s="357">
        <v>-5.1276703743888798E-2</v>
      </c>
      <c r="R45" s="357">
        <v>-0.22503030604006299</v>
      </c>
      <c r="S45" s="1469" t="s">
        <v>561</v>
      </c>
      <c r="T45" s="526">
        <v>-0.444395676743293</v>
      </c>
      <c r="U45" s="526">
        <v>0</v>
      </c>
      <c r="V45" s="526">
        <v>0.13598714303375001</v>
      </c>
      <c r="W45" s="526">
        <v>-1.02986786761269</v>
      </c>
      <c r="X45" s="526">
        <v>-2.7435594940876302E-3</v>
      </c>
      <c r="Y45" s="526">
        <v>3.84375</v>
      </c>
      <c r="Z45" s="526">
        <v>5.3330489040584496E-3</v>
      </c>
      <c r="AA45" s="526">
        <v>-1.2620481821794201</v>
      </c>
      <c r="AB45" s="526">
        <v>-0.57037151225528004</v>
      </c>
      <c r="AC45" s="526">
        <v>0.19734882335418499</v>
      </c>
      <c r="AD45" s="526">
        <v>-0.55062458908612799</v>
      </c>
      <c r="AE45" s="526">
        <v>-0.29375000000000001</v>
      </c>
      <c r="AF45" s="526">
        <v>17.585895117540701</v>
      </c>
      <c r="AG45" s="526">
        <v>-0.92366204835642496</v>
      </c>
      <c r="AH45" s="526">
        <v>-0.21574973031283701</v>
      </c>
      <c r="AI45" s="526">
        <v>1.08914665359691E-2</v>
      </c>
      <c r="AJ45" s="526">
        <v>-1.7426257305483399</v>
      </c>
    </row>
    <row r="46" spans="1:36" s="13" customFormat="1" ht="12.75" customHeight="1">
      <c r="A46" s="1258" t="s">
        <v>562</v>
      </c>
      <c r="B46" s="371">
        <v>-0.37265840665931699</v>
      </c>
      <c r="C46" s="371">
        <v>2.4537870112874199E-2</v>
      </c>
      <c r="D46" s="371">
        <v>0</v>
      </c>
      <c r="E46" s="371">
        <v>-0.221840561041935</v>
      </c>
      <c r="F46" s="371">
        <v>0.105948664340505</v>
      </c>
      <c r="G46" s="371">
        <v>-4.3478936008323102E-2</v>
      </c>
      <c r="H46" s="371">
        <v>-4.30975052785997E-2</v>
      </c>
      <c r="I46" s="371">
        <v>-0.19073062029193999</v>
      </c>
      <c r="J46" s="371">
        <v>-1.0625916268451301</v>
      </c>
      <c r="K46" s="371">
        <v>-0.102071450015011</v>
      </c>
      <c r="L46" s="371">
        <v>0</v>
      </c>
      <c r="M46" s="371">
        <v>-2.2058588122298701</v>
      </c>
      <c r="N46" s="371">
        <v>-1.6289297931259199E-2</v>
      </c>
      <c r="O46" s="371">
        <v>1.57289776164549</v>
      </c>
      <c r="P46" s="371">
        <v>0</v>
      </c>
      <c r="Q46" s="371">
        <v>-0.46159045834791601</v>
      </c>
      <c r="R46" s="371">
        <v>-0.51179512479293898</v>
      </c>
      <c r="S46" s="1258" t="s">
        <v>562</v>
      </c>
      <c r="T46" s="875">
        <v>-1.0541224775826199</v>
      </c>
      <c r="U46" s="875">
        <v>0</v>
      </c>
      <c r="V46" s="875">
        <v>0.21769911504424799</v>
      </c>
      <c r="W46" s="875">
        <v>0.35730731840431201</v>
      </c>
      <c r="X46" s="875">
        <v>2.19532943662358E-2</v>
      </c>
      <c r="Y46" s="875">
        <v>3.2258064516128999</v>
      </c>
      <c r="Z46" s="875">
        <v>-3.5985126147858898E-2</v>
      </c>
      <c r="AA46" s="875">
        <v>-3.1155885038361402</v>
      </c>
      <c r="AB46" s="875">
        <v>9.6439455309956401E-2</v>
      </c>
      <c r="AC46" s="875">
        <v>-0.54385779282615598</v>
      </c>
      <c r="AD46" s="875">
        <v>-1.28985154538817</v>
      </c>
      <c r="AE46" s="875">
        <v>-0.46656298600311003</v>
      </c>
      <c r="AF46" s="875">
        <v>-1.8079913216416599E-2</v>
      </c>
      <c r="AG46" s="875">
        <v>1.3585110718652401E-2</v>
      </c>
      <c r="AH46" s="875">
        <v>1.04328869511056</v>
      </c>
      <c r="AI46" s="875">
        <v>-1.2251398701351701E-2</v>
      </c>
      <c r="AJ46" s="875">
        <v>0.32969460414004498</v>
      </c>
    </row>
    <row r="47" spans="1:36" s="1422" customFormat="1" ht="12.75" customHeight="1">
      <c r="A47" s="1469" t="s">
        <v>555</v>
      </c>
      <c r="B47" s="357">
        <v>2.2137596198270999</v>
      </c>
      <c r="C47" s="357">
        <v>-5.3137134682199098E-2</v>
      </c>
      <c r="D47" s="357">
        <v>-1.3260840737302699E-2</v>
      </c>
      <c r="E47" s="357">
        <v>2.0260650531157598</v>
      </c>
      <c r="F47" s="357">
        <v>0.626883493489509</v>
      </c>
      <c r="G47" s="357">
        <v>1.5148649074687099</v>
      </c>
      <c r="H47" s="357">
        <v>1.3107946437006901</v>
      </c>
      <c r="I47" s="357">
        <v>0.154363667938023</v>
      </c>
      <c r="J47" s="357">
        <v>-0.46006460955775902</v>
      </c>
      <c r="K47" s="357">
        <v>-0.76563291327792204</v>
      </c>
      <c r="L47" s="357">
        <v>0</v>
      </c>
      <c r="M47" s="357">
        <v>-0.150246147944505</v>
      </c>
      <c r="N47" s="357">
        <v>-0.25995125913891098</v>
      </c>
      <c r="O47" s="357">
        <v>1.9489330208461799</v>
      </c>
      <c r="P47" s="357">
        <v>0</v>
      </c>
      <c r="Q47" s="357">
        <v>0.82441057930151695</v>
      </c>
      <c r="R47" s="357">
        <v>1.2032375346283299</v>
      </c>
      <c r="S47" s="1469" t="s">
        <v>555</v>
      </c>
      <c r="T47" s="526">
        <v>0.88923409361354699</v>
      </c>
      <c r="U47" s="526">
        <v>0</v>
      </c>
      <c r="V47" s="526">
        <v>0.44444444444444398</v>
      </c>
      <c r="W47" s="526">
        <v>-0.33232191879786099</v>
      </c>
      <c r="X47" s="526">
        <v>-2.8805398954775501E-2</v>
      </c>
      <c r="Y47" s="526">
        <v>-1.2738853503184699</v>
      </c>
      <c r="Z47" s="526">
        <v>2.26624363452156E-2</v>
      </c>
      <c r="AA47" s="526">
        <v>2.2154741922677799</v>
      </c>
      <c r="AB47" s="526">
        <v>0.81670750204176901</v>
      </c>
      <c r="AC47" s="526">
        <v>2.7539493569044402</v>
      </c>
      <c r="AD47" s="526">
        <v>-0.60474117077890699</v>
      </c>
      <c r="AE47" s="526">
        <v>1.86945500633714</v>
      </c>
      <c r="AF47" s="526">
        <v>1.8083182640144701E-2</v>
      </c>
      <c r="AG47" s="526">
        <v>0.80799780881950101</v>
      </c>
      <c r="AH47" s="526">
        <v>1.85567010309278</v>
      </c>
      <c r="AI47" s="526">
        <v>1.22528998529652E-2</v>
      </c>
      <c r="AJ47" s="526">
        <v>1.7374882406499701</v>
      </c>
    </row>
    <row r="48" spans="1:36" ht="12.75" customHeight="1">
      <c r="A48" s="1258" t="s">
        <v>563</v>
      </c>
      <c r="B48" s="371">
        <v>5.1680360725790102</v>
      </c>
      <c r="C48" s="371">
        <v>1.3262599469495999E-2</v>
      </c>
      <c r="D48" s="371">
        <v>-2.04331834899877E-2</v>
      </c>
      <c r="E48" s="371">
        <v>1.02898871431733</v>
      </c>
      <c r="F48" s="371">
        <v>0.82699115678433699</v>
      </c>
      <c r="G48" s="371">
        <v>1.5625500304184901</v>
      </c>
      <c r="H48" s="371">
        <v>1.7534900565015501</v>
      </c>
      <c r="I48" s="371">
        <v>-0.35122576510174702</v>
      </c>
      <c r="J48" s="371">
        <v>-2.4694979520441498</v>
      </c>
      <c r="K48" s="371">
        <v>-0.104160466638891</v>
      </c>
      <c r="L48" s="371">
        <v>287.539744712225</v>
      </c>
      <c r="M48" s="371">
        <v>1.95554396714686</v>
      </c>
      <c r="N48" s="371">
        <v>0.98441345365053301</v>
      </c>
      <c r="O48" s="371">
        <v>3.0638189677091301</v>
      </c>
      <c r="P48" s="371">
        <v>0</v>
      </c>
      <c r="Q48" s="371">
        <v>0.70085257186852501</v>
      </c>
      <c r="R48" s="371">
        <v>4.4283627743467804</v>
      </c>
      <c r="S48" s="1258" t="s">
        <v>563</v>
      </c>
      <c r="T48" s="875">
        <v>4.68687289880378</v>
      </c>
      <c r="U48" s="875">
        <v>0</v>
      </c>
      <c r="V48" s="875">
        <v>0.53619302949061698</v>
      </c>
      <c r="W48" s="875">
        <v>-8.4985594941657406E-3</v>
      </c>
      <c r="X48" s="875">
        <v>1.7835093977226001E-2</v>
      </c>
      <c r="Y48" s="875">
        <v>2.5473546701502299</v>
      </c>
      <c r="Z48" s="875">
        <v>1.19992000533298E-2</v>
      </c>
      <c r="AA48" s="875">
        <v>1.8457638531310701</v>
      </c>
      <c r="AB48" s="875">
        <v>0.68793828892005604</v>
      </c>
      <c r="AC48" s="875">
        <v>0.89816222191515804</v>
      </c>
      <c r="AD48" s="875">
        <v>0.16961473225102999</v>
      </c>
      <c r="AE48" s="875">
        <v>2.6875772759809999</v>
      </c>
      <c r="AF48" s="875">
        <v>9471.6140199048004</v>
      </c>
      <c r="AG48" s="875">
        <v>0.89816222191515804</v>
      </c>
      <c r="AH48" s="875">
        <v>1.4317889317889301</v>
      </c>
      <c r="AI48" s="875">
        <v>-1.08902804247209E-2</v>
      </c>
      <c r="AJ48" s="875">
        <v>1.8457638531310701</v>
      </c>
    </row>
    <row r="49" spans="1:36" s="9" customFormat="1" ht="12.75" customHeight="1">
      <c r="A49" s="1880" t="s">
        <v>564</v>
      </c>
      <c r="B49" s="1881">
        <v>1.0651736796281199</v>
      </c>
      <c r="C49" s="1881">
        <v>4.0883074407195401E-2</v>
      </c>
      <c r="D49" s="1881">
        <v>-1.3260840737302699E-2</v>
      </c>
      <c r="E49" s="1881">
        <v>-0.64128403385979704</v>
      </c>
      <c r="F49" s="1881">
        <v>0.78436470792165003</v>
      </c>
      <c r="G49" s="1881">
        <v>-1.24272704275234</v>
      </c>
      <c r="H49" s="1881">
        <v>-1.17115404005502</v>
      </c>
      <c r="I49" s="1881">
        <v>-0.27292715976785198</v>
      </c>
      <c r="J49" s="1881">
        <v>1.0617506258509399</v>
      </c>
      <c r="K49" s="1881">
        <v>0.21473307485833601</v>
      </c>
      <c r="L49" s="1881">
        <v>-99.174309971821302</v>
      </c>
      <c r="M49" s="1881">
        <v>-1.6949152542372901</v>
      </c>
      <c r="N49" s="1881">
        <v>-0.26182294223531299</v>
      </c>
      <c r="O49" s="1881">
        <v>1.07941403238242</v>
      </c>
      <c r="P49" s="1881">
        <v>0</v>
      </c>
      <c r="Q49" s="1882">
        <v>-0.41320557844877898</v>
      </c>
      <c r="R49" s="1882">
        <v>-1.05601310708698</v>
      </c>
      <c r="S49" s="1469" t="s">
        <v>564</v>
      </c>
      <c r="T49" s="1882">
        <v>0.84945778730964705</v>
      </c>
      <c r="U49" s="1882">
        <v>0</v>
      </c>
      <c r="V49" s="1882">
        <v>0.134228187919463</v>
      </c>
      <c r="W49" s="1882">
        <v>1.98214595250477</v>
      </c>
      <c r="X49" s="1882">
        <v>-6.8591810137869497E-3</v>
      </c>
      <c r="Y49" s="1882">
        <v>-0.59732502272432197</v>
      </c>
      <c r="Z49" s="1882">
        <v>-1.73291743314938E-2</v>
      </c>
      <c r="AA49" s="1882">
        <v>-0.95846645367412098</v>
      </c>
      <c r="AB49" s="1882">
        <v>-0.20948616600790501</v>
      </c>
      <c r="AC49" s="1882">
        <v>-2.5250567584030099</v>
      </c>
      <c r="AD49" s="1882">
        <v>9.53982472593215E-2</v>
      </c>
      <c r="AE49" s="1882">
        <v>-6.5032190934512596E-2</v>
      </c>
      <c r="AF49" s="1882">
        <v>4.3290043290043302E-2</v>
      </c>
      <c r="AG49" s="1882">
        <v>-0.50866098432774298</v>
      </c>
      <c r="AH49" s="1882">
        <v>8.0502334567702505E-2</v>
      </c>
      <c r="AI49" s="1882">
        <v>-1.3612665223724099E-3</v>
      </c>
      <c r="AJ49" s="1882">
        <v>-2.3355991474011799</v>
      </c>
    </row>
    <row r="50" spans="1:36" s="9" customFormat="1" ht="12.75" customHeight="1" thickBot="1">
      <c r="A50" s="1883" t="s">
        <v>556</v>
      </c>
      <c r="B50" s="1802">
        <v>-3.70993434666818</v>
      </c>
      <c r="C50" s="1802">
        <v>-0.36659877800407298</v>
      </c>
      <c r="D50" s="1802">
        <v>-0.13243279035889299</v>
      </c>
      <c r="E50" s="1802">
        <v>-2.0073254811835701</v>
      </c>
      <c r="F50" s="1802">
        <v>4.9137208428476499E-2</v>
      </c>
      <c r="G50" s="1802">
        <v>-2.9834491433129302</v>
      </c>
      <c r="H50" s="1802">
        <v>-2.9456577371118899</v>
      </c>
      <c r="I50" s="1802">
        <v>-0.16718353178401399</v>
      </c>
      <c r="J50" s="1802">
        <v>-3.4992079763929298</v>
      </c>
      <c r="K50" s="1802">
        <v>-1.3678482129725</v>
      </c>
      <c r="L50" s="1802">
        <v>-0.15825910426714601</v>
      </c>
      <c r="M50" s="1802">
        <v>-2.29769917044921</v>
      </c>
      <c r="N50" s="1802">
        <v>-0.45610034207525701</v>
      </c>
      <c r="O50" s="1802">
        <v>-3.2811334824757599</v>
      </c>
      <c r="P50" s="1883">
        <v>0</v>
      </c>
      <c r="Q50" s="1884">
        <v>-1.0919937615063</v>
      </c>
      <c r="R50" s="1884">
        <v>-4.5943489538740803</v>
      </c>
      <c r="S50" s="1258" t="s">
        <v>556</v>
      </c>
      <c r="T50" s="1884">
        <v>-2.3854726817454099</v>
      </c>
      <c r="U50" s="1884">
        <v>1.2988699831146901E-2</v>
      </c>
      <c r="V50" s="1884">
        <v>6.2679083094555901E-2</v>
      </c>
      <c r="W50" s="1884">
        <v>-4.8930066932638701</v>
      </c>
      <c r="X50" s="1884">
        <v>3.7053301860899203E-2</v>
      </c>
      <c r="Y50" s="1884">
        <v>-5.2767527675276797</v>
      </c>
      <c r="Z50" s="1884">
        <v>-4.7965464865297E-2</v>
      </c>
      <c r="AA50" s="1884">
        <v>-5.9691745036572597</v>
      </c>
      <c r="AB50" s="1884">
        <v>-2.0367071943003201</v>
      </c>
      <c r="AC50" s="1884">
        <v>-5.3972644360977098</v>
      </c>
      <c r="AD50" s="1884">
        <v>-2.0028521628901901</v>
      </c>
      <c r="AE50" s="1884">
        <v>-3.8336460287679799</v>
      </c>
      <c r="AF50" s="1884">
        <v>-1.7313019390581701E-2</v>
      </c>
      <c r="AG50" s="1884">
        <v>-1.34273701342737</v>
      </c>
      <c r="AH50" s="1884">
        <v>-5.5361216730037999</v>
      </c>
      <c r="AI50" s="1884">
        <v>1.36145185225524E-2</v>
      </c>
      <c r="AJ50" s="1884">
        <v>-2.2097831802655401</v>
      </c>
    </row>
    <row r="51" spans="1:36" s="1598" customFormat="1">
      <c r="A51" s="586" t="s">
        <v>591</v>
      </c>
      <c r="B51" s="2509" t="s">
        <v>1307</v>
      </c>
      <c r="C51" s="2509"/>
      <c r="D51" s="2509"/>
      <c r="E51" s="2509"/>
      <c r="F51" s="2509"/>
      <c r="G51" s="2509"/>
      <c r="H51" s="202"/>
      <c r="I51" s="963" t="s">
        <v>261</v>
      </c>
      <c r="J51" s="1868" t="s">
        <v>1230</v>
      </c>
      <c r="K51" s="30"/>
      <c r="L51" s="30"/>
      <c r="M51" s="13"/>
      <c r="N51" s="13"/>
      <c r="O51" s="13"/>
      <c r="P51" s="13"/>
      <c r="Q51" s="13"/>
      <c r="R51" s="13"/>
      <c r="S51" s="963" t="s">
        <v>261</v>
      </c>
      <c r="T51" s="1868" t="s">
        <v>1230</v>
      </c>
      <c r="U51" s="30"/>
      <c r="V51" s="30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s="54" customForma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1:36" s="54" customFormat="1">
      <c r="A53" s="1528"/>
    </row>
    <row r="54" spans="1:36" s="54" customFormat="1">
      <c r="B54" s="1528"/>
      <c r="C54" s="1528"/>
      <c r="D54" s="1528"/>
      <c r="E54" s="1528"/>
      <c r="F54" s="1528"/>
      <c r="G54" s="1528"/>
      <c r="H54" s="1528"/>
      <c r="I54" s="1528"/>
      <c r="J54" s="1528"/>
      <c r="K54" s="1528"/>
      <c r="L54" s="1528"/>
      <c r="M54" s="1528"/>
      <c r="N54" s="1528"/>
      <c r="O54" s="1528"/>
      <c r="P54" s="1528"/>
      <c r="Q54" s="1528"/>
      <c r="R54" s="1528"/>
      <c r="S54" s="1528"/>
      <c r="T54" s="1528"/>
      <c r="U54" s="1528"/>
      <c r="V54" s="1528"/>
      <c r="W54" s="1528"/>
      <c r="X54" s="1528"/>
      <c r="Z54" s="1528"/>
      <c r="AA54" s="1528"/>
      <c r="AB54" s="1528"/>
      <c r="AD54" s="1528"/>
      <c r="AF54" s="1528"/>
      <c r="AG54" s="1528"/>
      <c r="AH54" s="1528"/>
      <c r="AI54" s="1528"/>
    </row>
    <row r="55" spans="1:36">
      <c r="A55" s="54"/>
      <c r="B55" s="1528"/>
      <c r="C55" s="1528"/>
      <c r="D55" s="1528"/>
      <c r="E55" s="1528"/>
      <c r="F55" s="1528"/>
      <c r="G55" s="1528"/>
      <c r="H55" s="1528"/>
      <c r="I55" s="1528"/>
      <c r="J55" s="1528"/>
      <c r="K55" s="1528"/>
      <c r="L55" s="1528"/>
      <c r="M55" s="1528"/>
      <c r="N55" s="1528"/>
      <c r="O55" s="1528"/>
      <c r="P55" s="1528"/>
      <c r="Q55" s="1528"/>
      <c r="R55" s="1528"/>
      <c r="S55" s="1528"/>
      <c r="T55" s="1528"/>
      <c r="U55" s="1528"/>
      <c r="V55" s="1528"/>
      <c r="W55" s="1528"/>
      <c r="X55" s="1528"/>
      <c r="Y55" s="1528"/>
      <c r="Z55" s="1528"/>
      <c r="AA55" s="1528"/>
      <c r="AB55" s="1528"/>
      <c r="AC55" s="54"/>
      <c r="AD55" s="1528"/>
      <c r="AE55" s="54"/>
      <c r="AF55" s="1528"/>
      <c r="AG55" s="1528"/>
      <c r="AH55" s="1528"/>
      <c r="AI55" s="1528"/>
      <c r="AJ55" s="54"/>
    </row>
    <row r="56" spans="1:36">
      <c r="A56" s="54"/>
      <c r="B56" s="1528"/>
      <c r="C56" s="1528"/>
      <c r="D56" s="1528"/>
      <c r="E56" s="1528"/>
      <c r="F56" s="1528"/>
      <c r="G56" s="1528"/>
      <c r="H56" s="1528"/>
      <c r="I56" s="1528"/>
      <c r="J56" s="1528"/>
      <c r="K56" s="1528"/>
      <c r="L56" s="1528"/>
      <c r="M56" s="1528"/>
      <c r="N56" s="1528"/>
      <c r="O56" s="1528"/>
      <c r="P56" s="1528"/>
      <c r="Q56" s="1528"/>
      <c r="R56" s="1528"/>
      <c r="S56" s="1528"/>
      <c r="T56" s="1528"/>
      <c r="U56" s="1528"/>
      <c r="V56" s="1528"/>
      <c r="W56" s="1528"/>
      <c r="X56" s="1528"/>
      <c r="Y56" s="1528"/>
      <c r="Z56" s="1528"/>
      <c r="AA56" s="1528"/>
      <c r="AB56" s="1528"/>
      <c r="AC56" s="54"/>
      <c r="AD56" s="1528"/>
      <c r="AE56" s="54"/>
      <c r="AF56" s="1528"/>
      <c r="AG56" s="1528"/>
      <c r="AH56" s="1528"/>
      <c r="AI56" s="1528"/>
      <c r="AJ56" s="54"/>
    </row>
    <row r="57" spans="1:36">
      <c r="A57" s="54"/>
      <c r="B57" s="1528"/>
      <c r="C57" s="1528"/>
      <c r="D57" s="1528"/>
      <c r="E57" s="1528"/>
      <c r="F57" s="1528"/>
      <c r="G57" s="1528"/>
      <c r="H57" s="1528"/>
      <c r="I57" s="1528"/>
      <c r="J57" s="1528"/>
      <c r="K57" s="1528"/>
      <c r="L57" s="1528"/>
      <c r="M57" s="1528"/>
      <c r="N57" s="1528"/>
      <c r="O57" s="1528"/>
      <c r="P57" s="1528"/>
      <c r="Q57" s="1528"/>
      <c r="R57" s="1528"/>
      <c r="S57" s="1528"/>
      <c r="T57" s="1528"/>
      <c r="U57" s="1528"/>
      <c r="V57" s="1528"/>
      <c r="W57" s="1528"/>
      <c r="X57" s="1528"/>
      <c r="Y57" s="1528"/>
      <c r="Z57" s="1528"/>
      <c r="AA57" s="1528"/>
      <c r="AB57" s="1528"/>
      <c r="AC57" s="1528"/>
      <c r="AD57" s="1528"/>
      <c r="AE57" s="1528"/>
      <c r="AF57" s="1528"/>
      <c r="AG57" s="1528"/>
      <c r="AH57" s="1528"/>
      <c r="AI57" s="1528"/>
      <c r="AJ57" s="54"/>
    </row>
    <row r="58" spans="1:36">
      <c r="A58" s="54"/>
      <c r="B58" s="1528"/>
      <c r="C58" s="1528"/>
      <c r="D58" s="1528"/>
      <c r="E58" s="1528"/>
      <c r="F58" s="1528"/>
      <c r="G58" s="1528"/>
      <c r="H58" s="1528"/>
      <c r="I58" s="1528"/>
      <c r="J58" s="1528"/>
      <c r="K58" s="1528"/>
      <c r="L58" s="1528"/>
      <c r="M58" s="1528"/>
      <c r="N58" s="1528"/>
      <c r="O58" s="1528"/>
      <c r="P58" s="1528"/>
      <c r="Q58" s="1528"/>
      <c r="R58" s="1528"/>
      <c r="S58" s="1528"/>
      <c r="T58" s="1528"/>
      <c r="U58" s="1528"/>
      <c r="V58" s="1528"/>
      <c r="W58" s="1528"/>
      <c r="X58" s="1528"/>
      <c r="Y58" s="1528"/>
      <c r="Z58" s="1528"/>
      <c r="AA58" s="1528"/>
      <c r="AB58" s="1528"/>
      <c r="AC58" s="1528"/>
      <c r="AD58" s="1528"/>
      <c r="AE58" s="1528"/>
      <c r="AF58" s="1528"/>
      <c r="AG58" s="1528"/>
      <c r="AH58" s="1528"/>
      <c r="AI58" s="1528"/>
      <c r="AJ58" s="54"/>
    </row>
    <row r="59" spans="1:36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</row>
    <row r="60" spans="1:36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</row>
    <row r="61" spans="1:36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</row>
    <row r="62" spans="1:36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</row>
    <row r="63" spans="1:36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</row>
    <row r="64" spans="1:36">
      <c r="B64" s="84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1:G51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41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K1" sqref="K1:R1"/>
    </sheetView>
  </sheetViews>
  <sheetFormatPr defaultColWidth="9.140625" defaultRowHeight="11.25"/>
  <cols>
    <col min="1" max="1" width="7.85546875" style="16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2" customFormat="1" ht="20.45" customHeight="1">
      <c r="A1" s="2563" t="s">
        <v>592</v>
      </c>
      <c r="B1" s="2563"/>
      <c r="C1" s="2563"/>
      <c r="D1" s="2563"/>
      <c r="E1" s="2563"/>
      <c r="F1" s="2563"/>
      <c r="G1" s="2563"/>
      <c r="H1" s="2563"/>
      <c r="I1" s="2563"/>
      <c r="J1" s="2563"/>
      <c r="K1" s="2294" t="s">
        <v>312</v>
      </c>
      <c r="L1" s="2564"/>
      <c r="M1" s="2564"/>
      <c r="N1" s="2564"/>
      <c r="O1" s="2564"/>
      <c r="P1" s="2564"/>
      <c r="Q1" s="2564"/>
      <c r="R1" s="2564"/>
      <c r="S1" s="2301" t="s">
        <v>1090</v>
      </c>
      <c r="T1" s="2301"/>
      <c r="U1" s="2301"/>
    </row>
    <row r="2" spans="1:22" s="108" customFormat="1" ht="30" customHeight="1">
      <c r="A2" s="910" t="s">
        <v>581</v>
      </c>
      <c r="B2" s="910" t="s">
        <v>315</v>
      </c>
      <c r="C2" s="192" t="s">
        <v>776</v>
      </c>
      <c r="D2" s="910" t="s">
        <v>1066</v>
      </c>
      <c r="E2" s="2566" t="s">
        <v>995</v>
      </c>
      <c r="F2" s="2567"/>
      <c r="G2" s="910" t="s">
        <v>314</v>
      </c>
      <c r="H2" s="910" t="s">
        <v>999</v>
      </c>
      <c r="I2" s="917" t="s">
        <v>992</v>
      </c>
      <c r="J2" s="910" t="s">
        <v>998</v>
      </c>
      <c r="K2" s="910" t="s">
        <v>994</v>
      </c>
      <c r="L2" s="2569" t="s">
        <v>1211</v>
      </c>
      <c r="M2" s="2570"/>
      <c r="N2" s="2571"/>
      <c r="O2" s="2566" t="s">
        <v>1210</v>
      </c>
      <c r="P2" s="2567"/>
      <c r="Q2" s="910" t="s">
        <v>752</v>
      </c>
      <c r="R2" s="910" t="s">
        <v>242</v>
      </c>
      <c r="S2" s="2565" t="s">
        <v>993</v>
      </c>
      <c r="T2" s="2565"/>
      <c r="U2" s="2565"/>
      <c r="V2" s="124"/>
    </row>
    <row r="3" spans="1:22" s="608" customFormat="1" ht="35.1" customHeight="1">
      <c r="A3" s="605" t="s">
        <v>582</v>
      </c>
      <c r="B3" s="605" t="s">
        <v>583</v>
      </c>
      <c r="C3" s="605" t="s">
        <v>535</v>
      </c>
      <c r="D3" s="611" t="s">
        <v>1067</v>
      </c>
      <c r="E3" s="605" t="s">
        <v>593</v>
      </c>
      <c r="F3" s="605" t="s">
        <v>594</v>
      </c>
      <c r="G3" s="605" t="s">
        <v>331</v>
      </c>
      <c r="H3" s="605" t="s">
        <v>595</v>
      </c>
      <c r="I3" s="612" t="s">
        <v>536</v>
      </c>
      <c r="J3" s="606" t="s">
        <v>605</v>
      </c>
      <c r="K3" s="606" t="s">
        <v>606</v>
      </c>
      <c r="L3" s="606" t="s">
        <v>607</v>
      </c>
      <c r="M3" s="606" t="s">
        <v>1209</v>
      </c>
      <c r="N3" s="606" t="s">
        <v>537</v>
      </c>
      <c r="O3" s="606" t="s">
        <v>596</v>
      </c>
      <c r="P3" s="606" t="s">
        <v>513</v>
      </c>
      <c r="Q3" s="606" t="s">
        <v>41</v>
      </c>
      <c r="R3" s="606" t="s">
        <v>597</v>
      </c>
      <c r="S3" s="606" t="s">
        <v>608</v>
      </c>
      <c r="T3" s="606" t="s">
        <v>609</v>
      </c>
      <c r="U3" s="606" t="s">
        <v>610</v>
      </c>
      <c r="V3" s="607"/>
    </row>
    <row r="4" spans="1:22" s="108" customFormat="1" ht="11.1" customHeight="1">
      <c r="A4" s="125" t="s">
        <v>481</v>
      </c>
      <c r="B4" s="125">
        <v>1</v>
      </c>
      <c r="C4" s="125">
        <v>2</v>
      </c>
      <c r="D4" s="125">
        <v>3</v>
      </c>
      <c r="E4" s="125">
        <v>4</v>
      </c>
      <c r="F4" s="125">
        <v>5</v>
      </c>
      <c r="G4" s="125">
        <v>6</v>
      </c>
      <c r="H4" s="125">
        <v>7</v>
      </c>
      <c r="I4" s="125">
        <v>8</v>
      </c>
      <c r="J4" s="125">
        <v>9</v>
      </c>
      <c r="K4" s="125">
        <v>10</v>
      </c>
      <c r="L4" s="125">
        <v>11</v>
      </c>
      <c r="M4" s="125">
        <v>12</v>
      </c>
      <c r="N4" s="125">
        <v>13</v>
      </c>
      <c r="O4" s="125">
        <v>14</v>
      </c>
      <c r="P4" s="125">
        <v>15</v>
      </c>
      <c r="Q4" s="125">
        <v>16</v>
      </c>
      <c r="R4" s="125">
        <v>17</v>
      </c>
      <c r="S4" s="125">
        <v>18</v>
      </c>
      <c r="T4" s="125">
        <v>19</v>
      </c>
      <c r="U4" s="125">
        <v>20</v>
      </c>
      <c r="V4" s="126"/>
    </row>
    <row r="5" spans="1:22" s="160" customFormat="1" ht="11.45" customHeight="1">
      <c r="A5" s="906">
        <v>2002</v>
      </c>
      <c r="B5" s="14">
        <v>310.03500000000003</v>
      </c>
      <c r="C5" s="14">
        <v>27.06</v>
      </c>
      <c r="D5" s="14">
        <v>12.68</v>
      </c>
      <c r="E5" s="14">
        <v>23.734200000000001</v>
      </c>
      <c r="F5" s="14">
        <v>24.9983</v>
      </c>
      <c r="G5" s="14">
        <v>46.260800000000003</v>
      </c>
      <c r="H5" s="14">
        <v>133.06700000000001</v>
      </c>
      <c r="I5" s="14">
        <v>94.361699999999999</v>
      </c>
      <c r="J5" s="14">
        <v>191.827</v>
      </c>
      <c r="K5" s="14">
        <v>222.398</v>
      </c>
      <c r="L5" s="14">
        <v>152.78299999999999</v>
      </c>
      <c r="M5" s="14">
        <v>132.167</v>
      </c>
      <c r="N5" s="14">
        <v>121.22</v>
      </c>
      <c r="O5" s="14">
        <v>356.745</v>
      </c>
      <c r="P5" s="14">
        <v>359.661</v>
      </c>
      <c r="Q5" s="14">
        <v>183.917</v>
      </c>
      <c r="R5" s="14">
        <v>409.84199999999998</v>
      </c>
      <c r="S5" s="14">
        <v>24.978300000000001</v>
      </c>
      <c r="T5" s="14">
        <v>6.2366700000000002</v>
      </c>
      <c r="U5" s="14">
        <v>20.940799999999999</v>
      </c>
      <c r="V5" s="475"/>
    </row>
    <row r="6" spans="1:22" ht="11.45" customHeight="1">
      <c r="A6" s="304">
        <v>2003</v>
      </c>
      <c r="B6" s="316">
        <v>363.50900000000001</v>
      </c>
      <c r="C6" s="316">
        <v>27.9542</v>
      </c>
      <c r="D6" s="316">
        <v>13.82</v>
      </c>
      <c r="E6" s="316">
        <v>26.7333</v>
      </c>
      <c r="F6" s="316">
        <v>28.852499999999999</v>
      </c>
      <c r="G6" s="316">
        <v>63.4437</v>
      </c>
      <c r="H6" s="316">
        <v>149.333</v>
      </c>
      <c r="I6" s="316">
        <v>138.89599999999999</v>
      </c>
      <c r="J6" s="316">
        <v>199.46100000000001</v>
      </c>
      <c r="K6" s="316">
        <v>248.75399999999999</v>
      </c>
      <c r="L6" s="316">
        <v>165.548</v>
      </c>
      <c r="M6" s="316">
        <v>131.571</v>
      </c>
      <c r="N6" s="316">
        <v>152.44999999999999</v>
      </c>
      <c r="O6" s="316">
        <v>410.37299999999999</v>
      </c>
      <c r="P6" s="316">
        <v>425.53800000000001</v>
      </c>
      <c r="Q6" s="316">
        <v>214.65600000000001</v>
      </c>
      <c r="R6" s="316">
        <v>500.28300000000002</v>
      </c>
      <c r="S6" s="316">
        <v>27.1768</v>
      </c>
      <c r="T6" s="316">
        <v>6.9257099999999996</v>
      </c>
      <c r="U6" s="316">
        <v>21.4998</v>
      </c>
      <c r="V6" s="84"/>
    </row>
    <row r="7" spans="1:22" s="160" customFormat="1" ht="11.45" customHeight="1">
      <c r="A7" s="906">
        <v>2004</v>
      </c>
      <c r="B7" s="14">
        <v>409.21199999999999</v>
      </c>
      <c r="C7" s="14">
        <v>56.729900000000001</v>
      </c>
      <c r="D7" s="14">
        <v>16.39</v>
      </c>
      <c r="E7" s="14">
        <v>33.455800000000004</v>
      </c>
      <c r="F7" s="14">
        <v>38.297499999999999</v>
      </c>
      <c r="G7" s="14">
        <v>62.006</v>
      </c>
      <c r="H7" s="14">
        <v>186.31200000000001</v>
      </c>
      <c r="I7" s="14">
        <v>175.292</v>
      </c>
      <c r="J7" s="14">
        <v>245.78299999999999</v>
      </c>
      <c r="K7" s="14">
        <v>269.95499999999998</v>
      </c>
      <c r="L7" s="14">
        <v>167.05</v>
      </c>
      <c r="M7" s="14">
        <v>133.45599999999999</v>
      </c>
      <c r="N7" s="14">
        <v>139.5</v>
      </c>
      <c r="O7" s="14">
        <v>434.72300000000001</v>
      </c>
      <c r="P7" s="14">
        <v>448.73899999999998</v>
      </c>
      <c r="Q7" s="14">
        <v>257.20499999999998</v>
      </c>
      <c r="R7" s="14">
        <v>590.452</v>
      </c>
      <c r="S7" s="14">
        <v>30.459700000000002</v>
      </c>
      <c r="T7" s="14">
        <v>7.5450999999999997</v>
      </c>
      <c r="U7" s="14">
        <v>20.571100000000001</v>
      </c>
      <c r="V7" s="475"/>
    </row>
    <row r="8" spans="1:22" ht="11.45" customHeight="1">
      <c r="A8" s="304">
        <v>2005</v>
      </c>
      <c r="B8" s="316">
        <v>444.84300000000002</v>
      </c>
      <c r="C8" s="316">
        <v>51.022399999999998</v>
      </c>
      <c r="D8" s="316">
        <v>28.11</v>
      </c>
      <c r="E8" s="316">
        <v>49.201700000000002</v>
      </c>
      <c r="F8" s="316">
        <v>54.434199999999997</v>
      </c>
      <c r="G8" s="316">
        <v>55.168300000000002</v>
      </c>
      <c r="H8" s="316">
        <v>201.47900000000001</v>
      </c>
      <c r="I8" s="316">
        <v>219.01900000000001</v>
      </c>
      <c r="J8" s="316">
        <v>287.81099999999998</v>
      </c>
      <c r="K8" s="316">
        <v>308.45100000000002</v>
      </c>
      <c r="L8" s="316">
        <v>163.43100000000001</v>
      </c>
      <c r="M8" s="316">
        <v>129.886</v>
      </c>
      <c r="N8" s="316">
        <v>121.4</v>
      </c>
      <c r="O8" s="316">
        <v>367.68700000000001</v>
      </c>
      <c r="P8" s="316">
        <v>390.75200000000001</v>
      </c>
      <c r="Q8" s="316">
        <v>205.762</v>
      </c>
      <c r="R8" s="316">
        <v>495.74700000000001</v>
      </c>
      <c r="S8" s="316">
        <v>30.2624</v>
      </c>
      <c r="T8" s="316">
        <v>10.0702</v>
      </c>
      <c r="U8" s="316">
        <v>21.0684</v>
      </c>
      <c r="V8" s="84"/>
    </row>
    <row r="9" spans="1:22" s="160" customFormat="1" ht="11.45" customHeight="1">
      <c r="A9" s="906">
        <v>2006</v>
      </c>
      <c r="B9" s="14">
        <v>604.33600000000001</v>
      </c>
      <c r="C9" s="14">
        <v>52.595999999999997</v>
      </c>
      <c r="D9" s="14">
        <v>33.450000000000003</v>
      </c>
      <c r="E9" s="14">
        <v>61.431699999999999</v>
      </c>
      <c r="F9" s="14">
        <v>65.39</v>
      </c>
      <c r="G9" s="14">
        <v>58.052500000000002</v>
      </c>
      <c r="H9" s="14">
        <v>201.63300000000001</v>
      </c>
      <c r="I9" s="14">
        <v>222.95400000000001</v>
      </c>
      <c r="J9" s="14">
        <v>303.51499999999999</v>
      </c>
      <c r="K9" s="14">
        <v>345.83100000000002</v>
      </c>
      <c r="L9" s="14">
        <v>169.399</v>
      </c>
      <c r="M9" s="14">
        <v>168.566</v>
      </c>
      <c r="N9" s="14">
        <v>153.30000000000001</v>
      </c>
      <c r="O9" s="14">
        <v>416.81400000000002</v>
      </c>
      <c r="P9" s="14">
        <v>425.46100000000001</v>
      </c>
      <c r="Q9" s="14">
        <v>193.97499999999999</v>
      </c>
      <c r="R9" s="14">
        <v>551.49599999999998</v>
      </c>
      <c r="S9" s="14">
        <v>30.639700000000001</v>
      </c>
      <c r="T9" s="14">
        <v>14.788500000000001</v>
      </c>
      <c r="U9" s="14">
        <v>22.119499999999999</v>
      </c>
      <c r="V9" s="475"/>
    </row>
    <row r="10" spans="1:22" ht="11.45" customHeight="1">
      <c r="A10" s="304">
        <v>2007</v>
      </c>
      <c r="B10" s="316">
        <v>696.72</v>
      </c>
      <c r="C10" s="316">
        <v>70.428299999999993</v>
      </c>
      <c r="D10" s="316">
        <v>36.630000000000003</v>
      </c>
      <c r="E10" s="316">
        <v>68.368300000000005</v>
      </c>
      <c r="F10" s="316">
        <v>72.712500000000006</v>
      </c>
      <c r="G10" s="316">
        <v>63.283700000000003</v>
      </c>
      <c r="H10" s="316">
        <v>339.05399999999997</v>
      </c>
      <c r="I10" s="316">
        <v>309.39999999999998</v>
      </c>
      <c r="J10" s="316">
        <v>332.39299999999997</v>
      </c>
      <c r="K10" s="316">
        <v>375.70800000000003</v>
      </c>
      <c r="L10" s="316">
        <v>243.411</v>
      </c>
      <c r="M10" s="316">
        <v>226.88499999999999</v>
      </c>
      <c r="N10" s="316">
        <v>209.6</v>
      </c>
      <c r="O10" s="316">
        <v>719.12199999999996</v>
      </c>
      <c r="P10" s="316">
        <v>694.65099999999995</v>
      </c>
      <c r="Q10" s="316">
        <v>263.673</v>
      </c>
      <c r="R10" s="316">
        <v>799.74199999999996</v>
      </c>
      <c r="S10" s="316">
        <v>33.284399999999998</v>
      </c>
      <c r="T10" s="316">
        <v>9.9566400000000002</v>
      </c>
      <c r="U10" s="316">
        <v>20.763200000000001</v>
      </c>
      <c r="V10" s="84"/>
    </row>
    <row r="11" spans="1:22" s="160" customFormat="1" ht="11.45" customHeight="1">
      <c r="A11" s="906">
        <v>2008</v>
      </c>
      <c r="B11" s="14">
        <v>871.70699999999999</v>
      </c>
      <c r="C11" s="14">
        <v>136.18299999999999</v>
      </c>
      <c r="D11" s="14">
        <v>61.565199999999997</v>
      </c>
      <c r="E11" s="14">
        <v>93.776700000000005</v>
      </c>
      <c r="F11" s="14">
        <v>97.66</v>
      </c>
      <c r="G11" s="14">
        <v>71.399900000000002</v>
      </c>
      <c r="H11" s="14">
        <v>879.38099999999997</v>
      </c>
      <c r="I11" s="14">
        <v>492.72500000000002</v>
      </c>
      <c r="J11" s="14">
        <v>700.2</v>
      </c>
      <c r="K11" s="14">
        <v>597.11800000000005</v>
      </c>
      <c r="L11" s="14">
        <v>383.31099999999998</v>
      </c>
      <c r="M11" s="14">
        <v>286.952</v>
      </c>
      <c r="N11" s="14">
        <v>289.39999999999998</v>
      </c>
      <c r="O11" s="14">
        <v>862.91800000000001</v>
      </c>
      <c r="P11" s="14">
        <v>924.9</v>
      </c>
      <c r="Q11" s="14">
        <v>367.93799999999999</v>
      </c>
      <c r="R11" s="14">
        <v>1133.79</v>
      </c>
      <c r="S11" s="14">
        <v>30.816099999999999</v>
      </c>
      <c r="T11" s="14">
        <v>12.452199999999999</v>
      </c>
      <c r="U11" s="14">
        <v>21.323399999999999</v>
      </c>
      <c r="V11" s="475"/>
    </row>
    <row r="12" spans="1:22" s="17" customFormat="1" ht="11.45" customHeight="1">
      <c r="A12" s="904">
        <v>2009</v>
      </c>
      <c r="B12" s="315">
        <v>972.96600000000001</v>
      </c>
      <c r="C12" s="315">
        <v>76.975899999999996</v>
      </c>
      <c r="D12" s="315">
        <v>79.993899999999996</v>
      </c>
      <c r="E12" s="315">
        <v>61.754899999999999</v>
      </c>
      <c r="F12" s="315">
        <v>61.860599999999998</v>
      </c>
      <c r="G12" s="315">
        <v>62.752000000000002</v>
      </c>
      <c r="H12" s="315">
        <v>257.41699999999997</v>
      </c>
      <c r="I12" s="315">
        <v>249.57400000000001</v>
      </c>
      <c r="J12" s="315">
        <v>589.37599999999998</v>
      </c>
      <c r="K12" s="315">
        <v>582.69000000000005</v>
      </c>
      <c r="L12" s="315">
        <v>246.96899999999999</v>
      </c>
      <c r="M12" s="315">
        <v>190.11199999999999</v>
      </c>
      <c r="N12" s="315">
        <v>200.2</v>
      </c>
      <c r="O12" s="315">
        <v>644.06799999999998</v>
      </c>
      <c r="P12" s="315">
        <v>634.09199999999998</v>
      </c>
      <c r="Q12" s="315">
        <v>359.27</v>
      </c>
      <c r="R12" s="315">
        <v>787.02</v>
      </c>
      <c r="S12" s="315">
        <v>26.014600000000002</v>
      </c>
      <c r="T12" s="315">
        <v>18.150400000000001</v>
      </c>
      <c r="U12" s="315">
        <v>24.335699999999999</v>
      </c>
      <c r="V12" s="216"/>
    </row>
    <row r="13" spans="1:22" s="160" customFormat="1" ht="11.45" customHeight="1">
      <c r="A13" s="906">
        <v>2010</v>
      </c>
      <c r="B13" s="27">
        <v>1224.6600000000001</v>
      </c>
      <c r="C13" s="27">
        <v>106.035</v>
      </c>
      <c r="D13" s="27">
        <v>146.72</v>
      </c>
      <c r="E13" s="27">
        <v>78.057900000000004</v>
      </c>
      <c r="F13" s="27">
        <v>79.631500000000003</v>
      </c>
      <c r="G13" s="27">
        <v>103.545</v>
      </c>
      <c r="H13" s="27">
        <v>381.89</v>
      </c>
      <c r="I13" s="27">
        <v>288.59199999999998</v>
      </c>
      <c r="J13" s="27">
        <v>520.55600000000004</v>
      </c>
      <c r="K13" s="27">
        <v>593.779</v>
      </c>
      <c r="L13" s="27">
        <v>241.82900000000001</v>
      </c>
      <c r="M13" s="27">
        <v>194.5</v>
      </c>
      <c r="N13" s="27">
        <v>233.5</v>
      </c>
      <c r="O13" s="27">
        <v>859.94200000000001</v>
      </c>
      <c r="P13" s="27">
        <v>819.53099999999995</v>
      </c>
      <c r="Q13" s="27">
        <v>331.31700000000001</v>
      </c>
      <c r="R13" s="27">
        <v>924.82799999999997</v>
      </c>
      <c r="S13" s="27">
        <v>25.712800000000001</v>
      </c>
      <c r="T13" s="27">
        <v>20.890899999999998</v>
      </c>
      <c r="U13" s="27">
        <v>31.051200000000001</v>
      </c>
      <c r="V13" s="239"/>
    </row>
    <row r="14" spans="1:22" s="160" customFormat="1" ht="11.45" customHeight="1">
      <c r="A14" s="304">
        <v>2011</v>
      </c>
      <c r="B14" s="294">
        <v>1569.21</v>
      </c>
      <c r="C14" s="294">
        <v>130.12299999999999</v>
      </c>
      <c r="D14" s="294">
        <v>167.79</v>
      </c>
      <c r="E14" s="294">
        <v>106.027</v>
      </c>
      <c r="F14" s="294">
        <v>110.952</v>
      </c>
      <c r="G14" s="294">
        <v>154.608</v>
      </c>
      <c r="H14" s="294">
        <v>538.26</v>
      </c>
      <c r="I14" s="294">
        <v>420.96</v>
      </c>
      <c r="J14" s="294">
        <v>551.71100000000001</v>
      </c>
      <c r="K14" s="294">
        <v>593.49199999999996</v>
      </c>
      <c r="L14" s="294">
        <v>317.43599999999998</v>
      </c>
      <c r="M14" s="294">
        <v>279.98899999999998</v>
      </c>
      <c r="N14" s="294">
        <v>304.8</v>
      </c>
      <c r="O14" s="294">
        <v>1076.5</v>
      </c>
      <c r="P14" s="294">
        <v>1068.3699999999999</v>
      </c>
      <c r="Q14" s="294">
        <v>378.86099999999999</v>
      </c>
      <c r="R14" s="294">
        <v>1215.82</v>
      </c>
      <c r="S14" s="294">
        <v>26.665199999999999</v>
      </c>
      <c r="T14" s="294">
        <v>26.235600000000002</v>
      </c>
      <c r="U14" s="294">
        <v>37.572499999999998</v>
      </c>
      <c r="V14" s="239"/>
    </row>
    <row r="15" spans="1:22" s="160" customFormat="1" ht="11.45" customHeight="1">
      <c r="A15" s="906">
        <v>2012</v>
      </c>
      <c r="B15" s="27">
        <v>1669.52</v>
      </c>
      <c r="C15" s="27">
        <v>103.247</v>
      </c>
      <c r="D15" s="27">
        <v>128.52600000000001</v>
      </c>
      <c r="E15" s="27">
        <v>108.919</v>
      </c>
      <c r="F15" s="27">
        <v>111.96</v>
      </c>
      <c r="G15" s="27">
        <v>89.241</v>
      </c>
      <c r="H15" s="27">
        <v>462</v>
      </c>
      <c r="I15" s="27">
        <v>405.40199999999999</v>
      </c>
      <c r="J15" s="27">
        <v>580.23599999999999</v>
      </c>
      <c r="K15" s="27">
        <v>683.029</v>
      </c>
      <c r="L15" s="27">
        <v>287.19799999999998</v>
      </c>
      <c r="M15" s="27">
        <v>276.12200000000001</v>
      </c>
      <c r="N15" s="27">
        <v>248.5</v>
      </c>
      <c r="O15" s="27">
        <v>939.83399999999995</v>
      </c>
      <c r="P15" s="27">
        <v>960.327</v>
      </c>
      <c r="Q15" s="27">
        <v>473.28399999999999</v>
      </c>
      <c r="R15" s="27">
        <v>1151.75</v>
      </c>
      <c r="S15" s="27">
        <v>26.360900000000001</v>
      </c>
      <c r="T15" s="27">
        <v>21.374500000000001</v>
      </c>
      <c r="U15" s="27">
        <v>28.895399999999999</v>
      </c>
      <c r="V15" s="239"/>
    </row>
    <row r="16" spans="1:22" s="159" customFormat="1" ht="11.45" customHeight="1">
      <c r="A16" s="304">
        <v>2013</v>
      </c>
      <c r="B16" s="294">
        <v>1411.46</v>
      </c>
      <c r="C16" s="294">
        <v>90.6023</v>
      </c>
      <c r="D16" s="294">
        <v>135.36099999999999</v>
      </c>
      <c r="E16" s="294">
        <v>105.43</v>
      </c>
      <c r="F16" s="294">
        <v>108.84399999999999</v>
      </c>
      <c r="G16" s="294">
        <v>90.400599999999997</v>
      </c>
      <c r="H16" s="294">
        <v>382.06299999999999</v>
      </c>
      <c r="I16" s="294">
        <v>340.12299999999999</v>
      </c>
      <c r="J16" s="294">
        <v>518.81200000000001</v>
      </c>
      <c r="K16" s="294">
        <v>658.726</v>
      </c>
      <c r="L16" s="294">
        <v>326.16699999999997</v>
      </c>
      <c r="M16" s="294">
        <v>265.75099999999998</v>
      </c>
      <c r="N16" s="294">
        <v>314</v>
      </c>
      <c r="O16" s="294">
        <v>764.197</v>
      </c>
      <c r="P16" s="294">
        <v>743.37900000000002</v>
      </c>
      <c r="Q16" s="294">
        <v>477.29899999999998</v>
      </c>
      <c r="R16" s="294">
        <v>1011.11</v>
      </c>
      <c r="S16" s="294">
        <v>26.011800000000001</v>
      </c>
      <c r="T16" s="294">
        <v>17.708500000000001</v>
      </c>
      <c r="U16" s="294">
        <v>21.214500000000001</v>
      </c>
      <c r="V16" s="239"/>
    </row>
    <row r="17" spans="1:24" s="186" customFormat="1" ht="11.45" customHeight="1">
      <c r="A17" s="907">
        <v>2014</v>
      </c>
      <c r="B17" s="142">
        <v>1265.58</v>
      </c>
      <c r="C17" s="142">
        <v>75.139300000000006</v>
      </c>
      <c r="D17" s="142">
        <v>96.841499999999996</v>
      </c>
      <c r="E17" s="142">
        <v>96.664100000000005</v>
      </c>
      <c r="F17" s="142">
        <v>98.943299999999994</v>
      </c>
      <c r="G17" s="142">
        <v>83.096699999999998</v>
      </c>
      <c r="H17" s="142">
        <v>388.34399999999999</v>
      </c>
      <c r="I17" s="142">
        <v>316.20999999999998</v>
      </c>
      <c r="J17" s="142" t="s">
        <v>292</v>
      </c>
      <c r="K17" s="142">
        <v>490.76400000000001</v>
      </c>
      <c r="L17" s="142">
        <v>291.87299999999999</v>
      </c>
      <c r="M17" s="142">
        <v>242.49600000000001</v>
      </c>
      <c r="N17" s="142">
        <v>324.02499999999998</v>
      </c>
      <c r="O17" s="142">
        <v>739.40800000000002</v>
      </c>
      <c r="P17" s="142">
        <v>743.99199999999996</v>
      </c>
      <c r="Q17" s="142">
        <v>466.96600000000001</v>
      </c>
      <c r="R17" s="142">
        <v>812.71</v>
      </c>
      <c r="S17" s="142">
        <v>27.394400000000001</v>
      </c>
      <c r="T17" s="142">
        <v>17.1264</v>
      </c>
      <c r="U17" s="142">
        <v>24.865400000000001</v>
      </c>
      <c r="V17" s="519"/>
    </row>
    <row r="18" spans="1:24" s="159" customFormat="1" ht="11.45" customHeight="1">
      <c r="A18" s="793">
        <v>2015</v>
      </c>
      <c r="B18" s="297">
        <f>AVERAGE(B19:B30)</f>
        <v>1160.6633333333334</v>
      </c>
      <c r="C18" s="297">
        <f t="shared" ref="C18:U18" si="0">AVERAGE(C19:C30)</f>
        <v>61.618599999999994</v>
      </c>
      <c r="D18" s="297">
        <f t="shared" si="0"/>
        <v>55.209266666666657</v>
      </c>
      <c r="E18" s="297">
        <f t="shared" si="0"/>
        <v>51.232049999999994</v>
      </c>
      <c r="F18" s="297">
        <f t="shared" si="0"/>
        <v>52.399408333333348</v>
      </c>
      <c r="G18" s="297">
        <f t="shared" si="0"/>
        <v>70.417191666666668</v>
      </c>
      <c r="H18" s="297">
        <f t="shared" si="0"/>
        <v>385</v>
      </c>
      <c r="I18" s="297">
        <f t="shared" si="0"/>
        <v>272.91941666666668</v>
      </c>
      <c r="J18" s="297" t="s">
        <v>292</v>
      </c>
      <c r="K18" s="297">
        <f t="shared" si="0"/>
        <v>469.92883333333333</v>
      </c>
      <c r="L18" s="297" t="s">
        <v>292</v>
      </c>
      <c r="M18" s="297">
        <f t="shared" si="0"/>
        <v>185.60733333333334</v>
      </c>
      <c r="N18" s="297">
        <f t="shared" si="0"/>
        <v>236.21666666666667</v>
      </c>
      <c r="O18" s="297">
        <f t="shared" si="0"/>
        <v>565.09</v>
      </c>
      <c r="P18" s="297">
        <f>AVERAGE(P19:P27)</f>
        <v>593.50144444444459</v>
      </c>
      <c r="Q18" s="297">
        <f t="shared" si="0"/>
        <v>352.72174999999993</v>
      </c>
      <c r="R18" s="297">
        <f t="shared" si="0"/>
        <v>672.16466666666656</v>
      </c>
      <c r="S18" s="297">
        <f t="shared" si="0"/>
        <v>25.423941666666668</v>
      </c>
      <c r="T18" s="297">
        <f t="shared" si="0"/>
        <v>13.238658333333335</v>
      </c>
      <c r="U18" s="297">
        <f t="shared" si="0"/>
        <v>24.850825</v>
      </c>
      <c r="V18" s="239"/>
    </row>
    <row r="19" spans="1:24" s="159" customFormat="1" ht="11.45" customHeight="1">
      <c r="A19" s="903" t="s">
        <v>563</v>
      </c>
      <c r="B19" s="250">
        <v>1250.75</v>
      </c>
      <c r="C19" s="250">
        <v>66.535700000000006</v>
      </c>
      <c r="D19" s="250">
        <v>67.386399999999995</v>
      </c>
      <c r="E19" s="250">
        <v>46.335000000000001</v>
      </c>
      <c r="F19" s="250">
        <v>48.416800000000002</v>
      </c>
      <c r="G19" s="250">
        <v>67.349999999999994</v>
      </c>
      <c r="H19" s="250">
        <v>400</v>
      </c>
      <c r="I19" s="250">
        <v>319.2</v>
      </c>
      <c r="J19" s="250" t="s">
        <v>292</v>
      </c>
      <c r="K19" s="250">
        <v>546.59199999999998</v>
      </c>
      <c r="L19" s="250" t="s">
        <v>292</v>
      </c>
      <c r="M19" s="250">
        <v>210.608</v>
      </c>
      <c r="N19" s="250">
        <v>261.8</v>
      </c>
      <c r="O19" s="250">
        <v>641.59699999999998</v>
      </c>
      <c r="P19" s="250">
        <v>617.11199999999997</v>
      </c>
      <c r="Q19" s="250">
        <v>379.041</v>
      </c>
      <c r="R19" s="250">
        <v>707.88099999999997</v>
      </c>
      <c r="S19" s="250">
        <v>25.170200000000001</v>
      </c>
      <c r="T19" s="250">
        <v>15.0625</v>
      </c>
      <c r="U19" s="250">
        <v>25.24</v>
      </c>
      <c r="V19" s="239"/>
      <c r="X19" s="239"/>
    </row>
    <row r="20" spans="1:24" s="159" customFormat="1" ht="11.45" customHeight="1">
      <c r="A20" s="904" t="s">
        <v>564</v>
      </c>
      <c r="B20" s="289">
        <v>1227.08</v>
      </c>
      <c r="C20" s="289">
        <v>65.785700000000006</v>
      </c>
      <c r="D20" s="289">
        <v>62.69</v>
      </c>
      <c r="E20" s="289">
        <v>56.15</v>
      </c>
      <c r="F20" s="289">
        <v>57.930500000000002</v>
      </c>
      <c r="G20" s="289">
        <v>69.842500000000001</v>
      </c>
      <c r="H20" s="289">
        <v>400</v>
      </c>
      <c r="I20" s="289">
        <v>297</v>
      </c>
      <c r="J20" s="289" t="s">
        <v>292</v>
      </c>
      <c r="K20" s="289">
        <v>501.76499999999999</v>
      </c>
      <c r="L20" s="289" t="s">
        <v>292</v>
      </c>
      <c r="M20" s="289">
        <v>201.714</v>
      </c>
      <c r="N20" s="289">
        <v>253</v>
      </c>
      <c r="O20" s="289">
        <v>634.37800000000004</v>
      </c>
      <c r="P20" s="289">
        <v>628.54300000000001</v>
      </c>
      <c r="Q20" s="289">
        <v>374.25200000000001</v>
      </c>
      <c r="R20" s="289">
        <v>697.93600000000004</v>
      </c>
      <c r="S20" s="289">
        <v>25.485399999999998</v>
      </c>
      <c r="T20" s="289">
        <v>14.5121</v>
      </c>
      <c r="U20" s="289">
        <v>24.62</v>
      </c>
      <c r="V20" s="239"/>
      <c r="X20" s="239"/>
    </row>
    <row r="21" spans="1:24" s="159" customFormat="1" ht="11.45" customHeight="1">
      <c r="A21" s="903" t="s">
        <v>556</v>
      </c>
      <c r="B21" s="250">
        <v>1178.6300000000001</v>
      </c>
      <c r="C21" s="250">
        <v>64.408900000000003</v>
      </c>
      <c r="D21" s="250">
        <v>56.940899999999999</v>
      </c>
      <c r="E21" s="250">
        <v>54.909100000000002</v>
      </c>
      <c r="F21" s="250">
        <v>55.791400000000003</v>
      </c>
      <c r="G21" s="250">
        <v>69.3523</v>
      </c>
      <c r="H21" s="250">
        <v>400</v>
      </c>
      <c r="I21" s="250">
        <v>271</v>
      </c>
      <c r="J21" s="250" t="s">
        <v>292</v>
      </c>
      <c r="K21" s="250">
        <v>503.84899999999999</v>
      </c>
      <c r="L21" s="250" t="s">
        <v>292</v>
      </c>
      <c r="M21" s="250">
        <v>202.679</v>
      </c>
      <c r="N21" s="250">
        <v>250.4</v>
      </c>
      <c r="O21" s="250">
        <v>607.65499999999997</v>
      </c>
      <c r="P21" s="250">
        <v>615.98599999999999</v>
      </c>
      <c r="Q21" s="250">
        <v>364.86</v>
      </c>
      <c r="R21" s="250">
        <v>683.43200000000002</v>
      </c>
      <c r="S21" s="250">
        <v>24.9069</v>
      </c>
      <c r="T21" s="250">
        <v>12.8409</v>
      </c>
      <c r="U21" s="250">
        <v>24.4</v>
      </c>
      <c r="V21" s="239"/>
      <c r="X21" s="239"/>
    </row>
    <row r="22" spans="1:24" s="159" customFormat="1" ht="11.45" customHeight="1">
      <c r="A22" s="904" t="s">
        <v>565</v>
      </c>
      <c r="B22" s="289">
        <v>1198.93</v>
      </c>
      <c r="C22" s="289">
        <v>61.943899999999999</v>
      </c>
      <c r="D22" s="289">
        <v>51.15</v>
      </c>
      <c r="E22" s="289">
        <v>58.665500000000002</v>
      </c>
      <c r="F22" s="289">
        <v>59.389499999999998</v>
      </c>
      <c r="G22" s="289">
        <v>71.702500000000001</v>
      </c>
      <c r="H22" s="289">
        <v>380</v>
      </c>
      <c r="I22" s="289">
        <v>259</v>
      </c>
      <c r="J22" s="289" t="s">
        <v>292</v>
      </c>
      <c r="K22" s="289">
        <v>504.22399999999999</v>
      </c>
      <c r="L22" s="289" t="s">
        <v>292</v>
      </c>
      <c r="M22" s="289">
        <v>195.89599999999999</v>
      </c>
      <c r="N22" s="289">
        <v>234.3</v>
      </c>
      <c r="O22" s="289">
        <v>591.78800000000001</v>
      </c>
      <c r="P22" s="289">
        <v>604.04200000000003</v>
      </c>
      <c r="Q22" s="289">
        <v>349.71100000000001</v>
      </c>
      <c r="R22" s="289">
        <v>691.673</v>
      </c>
      <c r="S22" s="289">
        <v>24.853300000000001</v>
      </c>
      <c r="T22" s="289">
        <v>12.911</v>
      </c>
      <c r="U22" s="289">
        <v>24.39</v>
      </c>
      <c r="V22" s="239"/>
      <c r="X22" s="239"/>
    </row>
    <row r="23" spans="1:24" s="159" customFormat="1" ht="11.45" customHeight="1">
      <c r="A23" s="903" t="s">
        <v>566</v>
      </c>
      <c r="B23" s="250">
        <v>1198.6300000000001</v>
      </c>
      <c r="C23" s="250">
        <v>64.711500000000001</v>
      </c>
      <c r="D23" s="250">
        <v>60.2333</v>
      </c>
      <c r="E23" s="250">
        <v>63.674799999999998</v>
      </c>
      <c r="F23" s="250">
        <v>64.561400000000006</v>
      </c>
      <c r="G23" s="250">
        <v>72.863200000000006</v>
      </c>
      <c r="H23" s="250">
        <v>380</v>
      </c>
      <c r="I23" s="250">
        <v>280</v>
      </c>
      <c r="J23" s="250" t="s">
        <v>292</v>
      </c>
      <c r="K23" s="250">
        <v>444.74299999999999</v>
      </c>
      <c r="L23" s="250" t="s">
        <v>292</v>
      </c>
      <c r="M23" s="250">
        <v>193.15199999999999</v>
      </c>
      <c r="N23" s="250">
        <v>234.5</v>
      </c>
      <c r="O23" s="250">
        <v>601.39700000000005</v>
      </c>
      <c r="P23" s="250">
        <v>595.471</v>
      </c>
      <c r="Q23" s="250">
        <v>340.471</v>
      </c>
      <c r="R23" s="250">
        <v>716.49</v>
      </c>
      <c r="S23" s="250">
        <v>25.732500000000002</v>
      </c>
      <c r="T23" s="250">
        <v>12.7035</v>
      </c>
      <c r="U23" s="250">
        <v>24.72</v>
      </c>
      <c r="V23" s="239"/>
      <c r="X23" s="239"/>
    </row>
    <row r="24" spans="1:24" s="159" customFormat="1" ht="11.45" customHeight="1">
      <c r="A24" s="904" t="s">
        <v>557</v>
      </c>
      <c r="B24" s="289">
        <v>1181.5</v>
      </c>
      <c r="C24" s="289">
        <v>63.043799999999997</v>
      </c>
      <c r="D24" s="289">
        <v>62.2864</v>
      </c>
      <c r="E24" s="289">
        <v>61.758600000000001</v>
      </c>
      <c r="F24" s="289">
        <v>62.3459</v>
      </c>
      <c r="G24" s="289">
        <v>72.3523</v>
      </c>
      <c r="H24" s="289">
        <v>380</v>
      </c>
      <c r="I24" s="289">
        <v>292</v>
      </c>
      <c r="J24" s="289" t="s">
        <v>292</v>
      </c>
      <c r="K24" s="289">
        <v>466.17599999999999</v>
      </c>
      <c r="L24" s="289" t="s">
        <v>292</v>
      </c>
      <c r="M24" s="289">
        <v>199.82300000000001</v>
      </c>
      <c r="N24" s="289">
        <v>233.4</v>
      </c>
      <c r="O24" s="289">
        <v>606.404</v>
      </c>
      <c r="P24" s="289">
        <v>593.16099999999994</v>
      </c>
      <c r="Q24" s="289">
        <v>353.90199999999999</v>
      </c>
      <c r="R24" s="289">
        <v>738.03700000000003</v>
      </c>
      <c r="S24" s="289">
        <v>25.865200000000002</v>
      </c>
      <c r="T24" s="289">
        <v>12.1136</v>
      </c>
      <c r="U24" s="289">
        <v>24.76</v>
      </c>
      <c r="V24" s="239"/>
      <c r="X24" s="239"/>
    </row>
    <row r="25" spans="1:24" s="159" customFormat="1" ht="11.45" customHeight="1">
      <c r="A25" s="903" t="s">
        <v>559</v>
      </c>
      <c r="B25" s="250">
        <v>1128.31</v>
      </c>
      <c r="C25" s="250">
        <v>63.353999999999999</v>
      </c>
      <c r="D25" s="250">
        <v>51.504300000000001</v>
      </c>
      <c r="E25" s="250">
        <v>56.266100000000002</v>
      </c>
      <c r="F25" s="250">
        <v>55.865699999999997</v>
      </c>
      <c r="G25" s="250">
        <v>72.347800000000007</v>
      </c>
      <c r="H25" s="250">
        <v>380</v>
      </c>
      <c r="I25" s="250">
        <v>273</v>
      </c>
      <c r="J25" s="250" t="s">
        <v>292</v>
      </c>
      <c r="K25" s="250">
        <v>460.57799999999997</v>
      </c>
      <c r="L25" s="250" t="s">
        <v>292</v>
      </c>
      <c r="M25" s="250">
        <v>199.197</v>
      </c>
      <c r="N25" s="250">
        <v>225.6</v>
      </c>
      <c r="O25" s="250">
        <v>575.68200000000002</v>
      </c>
      <c r="P25" s="250">
        <v>587.58799999999997</v>
      </c>
      <c r="Q25" s="250">
        <v>394.642</v>
      </c>
      <c r="R25" s="250">
        <v>695.78800000000001</v>
      </c>
      <c r="S25" s="250">
        <v>25.8688</v>
      </c>
      <c r="T25" s="250">
        <v>11.8786</v>
      </c>
      <c r="U25" s="250">
        <v>24.67</v>
      </c>
      <c r="V25" s="239"/>
      <c r="X25" s="239"/>
    </row>
    <row r="26" spans="1:24" s="159" customFormat="1" ht="11.45" customHeight="1">
      <c r="A26" s="904" t="s">
        <v>560</v>
      </c>
      <c r="B26" s="289">
        <v>1117.93</v>
      </c>
      <c r="C26" s="289">
        <v>62.7562</v>
      </c>
      <c r="D26" s="289">
        <v>55.381</v>
      </c>
      <c r="E26" s="289">
        <v>47.3033</v>
      </c>
      <c r="F26" s="289">
        <v>46.994300000000003</v>
      </c>
      <c r="G26" s="289">
        <v>71.822500000000005</v>
      </c>
      <c r="H26" s="289">
        <v>380</v>
      </c>
      <c r="I26" s="289">
        <v>273</v>
      </c>
      <c r="J26" s="289" t="s">
        <v>292</v>
      </c>
      <c r="K26" s="289">
        <v>451.36</v>
      </c>
      <c r="L26" s="289" t="s">
        <v>292</v>
      </c>
      <c r="M26" s="289">
        <v>173.46899999999999</v>
      </c>
      <c r="N26" s="289">
        <v>230.2</v>
      </c>
      <c r="O26" s="289">
        <v>484.678</v>
      </c>
      <c r="P26" s="289">
        <v>538.529</v>
      </c>
      <c r="Q26" s="289">
        <v>370.40800000000002</v>
      </c>
      <c r="R26" s="289">
        <v>628.74699999999996</v>
      </c>
      <c r="S26" s="289">
        <v>25.947700000000001</v>
      </c>
      <c r="T26" s="289">
        <v>10.674799999999999</v>
      </c>
      <c r="U26" s="289">
        <v>24.5</v>
      </c>
      <c r="V26" s="239"/>
      <c r="X26" s="239"/>
    </row>
    <row r="27" spans="1:24" s="159" customFormat="1" ht="11.45" customHeight="1">
      <c r="A27" s="903" t="s">
        <v>554</v>
      </c>
      <c r="B27" s="250">
        <v>1124.77</v>
      </c>
      <c r="C27" s="250">
        <v>58.655799999999999</v>
      </c>
      <c r="D27" s="250">
        <v>56.431800000000003</v>
      </c>
      <c r="E27" s="250">
        <v>46.144500000000001</v>
      </c>
      <c r="F27" s="250">
        <v>47.234499999999997</v>
      </c>
      <c r="G27" s="250">
        <v>68.736400000000003</v>
      </c>
      <c r="H27" s="250">
        <v>380</v>
      </c>
      <c r="I27" s="250">
        <v>259</v>
      </c>
      <c r="J27" s="250"/>
      <c r="K27" s="250">
        <v>458.15699999999998</v>
      </c>
      <c r="L27" s="250" t="s">
        <v>292</v>
      </c>
      <c r="M27" s="250">
        <v>163.827</v>
      </c>
      <c r="N27" s="250">
        <v>229.7</v>
      </c>
      <c r="O27" s="250">
        <v>483.48700000000002</v>
      </c>
      <c r="P27" s="250">
        <v>561.08100000000002</v>
      </c>
      <c r="Q27" s="250">
        <v>342.95499999999998</v>
      </c>
      <c r="R27" s="250">
        <v>590.25</v>
      </c>
      <c r="S27" s="250">
        <v>25.535799999999998</v>
      </c>
      <c r="T27" s="250">
        <v>12.1371</v>
      </c>
      <c r="U27" s="250">
        <v>24.434799999999999</v>
      </c>
      <c r="V27" s="239"/>
      <c r="X27" s="239"/>
    </row>
    <row r="28" spans="1:24" s="159" customFormat="1" ht="11.45" customHeight="1">
      <c r="A28" s="904" t="s">
        <v>561</v>
      </c>
      <c r="B28" s="289">
        <v>1159.25</v>
      </c>
      <c r="C28" s="289">
        <v>56.0503</v>
      </c>
      <c r="D28" s="289">
        <v>52.740900000000003</v>
      </c>
      <c r="E28" s="289">
        <v>46.5518</v>
      </c>
      <c r="F28" s="289">
        <v>48.124099999999999</v>
      </c>
      <c r="G28" s="289">
        <v>69.027299999999997</v>
      </c>
      <c r="H28" s="289">
        <v>380</v>
      </c>
      <c r="I28" s="289">
        <v>255</v>
      </c>
      <c r="J28" s="289" t="s">
        <v>292</v>
      </c>
      <c r="K28" s="289">
        <v>405.63600000000002</v>
      </c>
      <c r="L28" s="289" t="s">
        <v>292</v>
      </c>
      <c r="M28" s="289">
        <v>165.38800000000001</v>
      </c>
      <c r="N28" s="289">
        <v>226</v>
      </c>
      <c r="O28" s="289">
        <v>530.24699999999996</v>
      </c>
      <c r="P28" s="289" t="s">
        <v>292</v>
      </c>
      <c r="Q28" s="289">
        <v>338.214</v>
      </c>
      <c r="R28" s="289">
        <v>623.80700000000002</v>
      </c>
      <c r="S28" s="289">
        <v>25.5</v>
      </c>
      <c r="T28" s="289">
        <v>14.1418</v>
      </c>
      <c r="U28" s="289">
        <v>25.0382</v>
      </c>
      <c r="V28" s="239"/>
      <c r="X28" s="239"/>
    </row>
    <row r="29" spans="1:24" s="159" customFormat="1" ht="11.45" customHeight="1">
      <c r="A29" s="903" t="s">
        <v>562</v>
      </c>
      <c r="B29" s="250">
        <v>1086.44</v>
      </c>
      <c r="C29" s="250">
        <v>56.326500000000003</v>
      </c>
      <c r="D29" s="250">
        <v>46.161900000000003</v>
      </c>
      <c r="E29" s="250">
        <v>42.323300000000003</v>
      </c>
      <c r="F29" s="250">
        <v>44.417099999999998</v>
      </c>
      <c r="G29" s="250">
        <v>69.221400000000003</v>
      </c>
      <c r="H29" s="250">
        <v>380</v>
      </c>
      <c r="I29" s="250">
        <v>257</v>
      </c>
      <c r="J29" s="250" t="s">
        <v>292</v>
      </c>
      <c r="K29" s="250">
        <v>460.50099999999998</v>
      </c>
      <c r="L29" s="250" t="s">
        <v>292</v>
      </c>
      <c r="M29" s="250">
        <v>157.74199999999999</v>
      </c>
      <c r="N29" s="250">
        <v>229.7</v>
      </c>
      <c r="O29" s="250">
        <v>503.16399999999999</v>
      </c>
      <c r="P29" s="250" t="s">
        <v>292</v>
      </c>
      <c r="Q29" s="250">
        <v>320.34300000000002</v>
      </c>
      <c r="R29" s="250">
        <v>614.73599999999999</v>
      </c>
      <c r="S29" s="250">
        <v>25.2958</v>
      </c>
      <c r="T29" s="250">
        <v>14.888</v>
      </c>
      <c r="U29" s="250">
        <v>25.606000000000002</v>
      </c>
      <c r="V29" s="239"/>
      <c r="X29" s="239"/>
    </row>
    <row r="30" spans="1:24" s="159" customFormat="1" ht="11.45" customHeight="1">
      <c r="A30" s="904" t="s">
        <v>555</v>
      </c>
      <c r="B30" s="289">
        <v>1075.74</v>
      </c>
      <c r="C30" s="289">
        <v>55.850900000000003</v>
      </c>
      <c r="D30" s="289">
        <v>39.604300000000002</v>
      </c>
      <c r="E30" s="289">
        <v>34.702599999999997</v>
      </c>
      <c r="F30" s="289">
        <v>37.721699999999998</v>
      </c>
      <c r="G30" s="289">
        <v>70.388099999999994</v>
      </c>
      <c r="H30" s="289">
        <v>380</v>
      </c>
      <c r="I30" s="289">
        <v>239.833</v>
      </c>
      <c r="J30" s="289" t="s">
        <v>292</v>
      </c>
      <c r="K30" s="289">
        <v>435.565</v>
      </c>
      <c r="L30" s="289" t="s">
        <v>292</v>
      </c>
      <c r="M30" s="289">
        <v>163.79300000000001</v>
      </c>
      <c r="N30" s="289">
        <v>226</v>
      </c>
      <c r="O30" s="289">
        <v>520.60299999999995</v>
      </c>
      <c r="P30" s="289" t="s">
        <v>292</v>
      </c>
      <c r="Q30" s="289">
        <v>303.86200000000002</v>
      </c>
      <c r="R30" s="289">
        <v>677.19899999999996</v>
      </c>
      <c r="S30" s="289">
        <v>24.925699999999999</v>
      </c>
      <c r="T30" s="289">
        <v>15</v>
      </c>
      <c r="U30" s="289">
        <v>25.8309</v>
      </c>
      <c r="V30" s="239"/>
      <c r="X30" s="239"/>
    </row>
    <row r="31" spans="1:24" s="159" customFormat="1" ht="11.45" customHeight="1">
      <c r="A31" s="437">
        <v>2016</v>
      </c>
      <c r="B31" s="142">
        <f>AVERAGE(B32:B43)</f>
        <v>1249.0091666666669</v>
      </c>
      <c r="C31" s="142">
        <f t="shared" ref="C31:U31" si="1">AVERAGE(C32:C43)</f>
        <v>70.595974999999996</v>
      </c>
      <c r="D31" s="142">
        <f t="shared" si="1"/>
        <v>57.927608333333332</v>
      </c>
      <c r="E31" s="142">
        <f t="shared" si="1"/>
        <v>41.239341666666668</v>
      </c>
      <c r="F31" s="142">
        <f t="shared" si="1"/>
        <v>44.043283333333328</v>
      </c>
      <c r="G31" s="142">
        <f t="shared" si="1"/>
        <v>74.221424999999996</v>
      </c>
      <c r="H31" s="142">
        <f t="shared" si="1"/>
        <v>290.5</v>
      </c>
      <c r="I31" s="142">
        <f t="shared" si="1"/>
        <v>199.25</v>
      </c>
      <c r="J31" s="142" t="s">
        <v>292</v>
      </c>
      <c r="K31" s="142">
        <f t="shared" si="1"/>
        <v>447.19941666666676</v>
      </c>
      <c r="L31" s="142" t="s">
        <v>292</v>
      </c>
      <c r="M31" s="142">
        <f t="shared" si="1"/>
        <v>143.15049999999999</v>
      </c>
      <c r="N31" s="142" t="s">
        <v>292</v>
      </c>
      <c r="O31" s="142">
        <f t="shared" si="1"/>
        <v>639.91374999999994</v>
      </c>
      <c r="P31" s="142">
        <f t="shared" si="1"/>
        <v>678.02857142857158</v>
      </c>
      <c r="Q31" s="142">
        <f t="shared" si="1"/>
        <v>350.16058333333331</v>
      </c>
      <c r="R31" s="142">
        <f t="shared" si="1"/>
        <v>721.16600000000005</v>
      </c>
      <c r="S31" s="142">
        <f t="shared" si="1"/>
        <v>22.537283333333335</v>
      </c>
      <c r="T31" s="142">
        <f t="shared" si="1"/>
        <v>18.252850000000002</v>
      </c>
      <c r="U31" s="142">
        <f t="shared" si="1"/>
        <v>27.479150000000004</v>
      </c>
      <c r="V31" s="239"/>
    </row>
    <row r="32" spans="1:24" s="159" customFormat="1" ht="11.45" customHeight="1">
      <c r="A32" s="904" t="s">
        <v>563</v>
      </c>
      <c r="B32" s="289">
        <v>1097.9100000000001</v>
      </c>
      <c r="C32" s="289">
        <v>53.373899999999999</v>
      </c>
      <c r="D32" s="289">
        <v>41.252400000000002</v>
      </c>
      <c r="E32" s="289">
        <v>27.246700000000001</v>
      </c>
      <c r="F32" s="289">
        <v>30.8033</v>
      </c>
      <c r="G32" s="289">
        <v>68.75</v>
      </c>
      <c r="H32" s="289">
        <v>380</v>
      </c>
      <c r="I32" s="289">
        <v>214</v>
      </c>
      <c r="J32" s="289" t="s">
        <v>292</v>
      </c>
      <c r="K32" s="289">
        <v>419.29700000000003</v>
      </c>
      <c r="L32" s="289" t="s">
        <v>292</v>
      </c>
      <c r="M32" s="289">
        <v>164.55799999999999</v>
      </c>
      <c r="N32" s="289" t="s">
        <v>292</v>
      </c>
      <c r="O32" s="289">
        <v>531.61900000000003</v>
      </c>
      <c r="P32" s="289" t="s">
        <v>292</v>
      </c>
      <c r="Q32" s="289">
        <v>297.17700000000002</v>
      </c>
      <c r="R32" s="289">
        <v>659.90099999999995</v>
      </c>
      <c r="S32" s="289">
        <v>23.9497</v>
      </c>
      <c r="T32" s="289">
        <v>14.2911</v>
      </c>
      <c r="U32" s="289">
        <v>25.831600000000002</v>
      </c>
      <c r="V32" s="239"/>
      <c r="X32" s="239"/>
    </row>
    <row r="33" spans="1:24" s="159" customFormat="1" ht="12" customHeight="1">
      <c r="A33" s="903" t="s">
        <v>564</v>
      </c>
      <c r="B33" s="250">
        <v>1199.5</v>
      </c>
      <c r="C33" s="250">
        <v>54.329500000000003</v>
      </c>
      <c r="D33" s="250">
        <v>46.176200000000001</v>
      </c>
      <c r="E33" s="250">
        <v>29.614799999999999</v>
      </c>
      <c r="F33" s="250">
        <v>33.198099999999997</v>
      </c>
      <c r="G33" s="250">
        <v>66.571399999999997</v>
      </c>
      <c r="H33" s="250">
        <v>329</v>
      </c>
      <c r="I33" s="250">
        <v>209</v>
      </c>
      <c r="J33" s="250" t="s">
        <v>292</v>
      </c>
      <c r="K33" s="250">
        <v>448.315</v>
      </c>
      <c r="L33" s="250" t="s">
        <v>292</v>
      </c>
      <c r="M33" s="250">
        <v>159.25200000000001</v>
      </c>
      <c r="N33" s="250" t="s">
        <v>292</v>
      </c>
      <c r="O33" s="250">
        <v>595.90099999999995</v>
      </c>
      <c r="P33" s="250" t="s">
        <v>292</v>
      </c>
      <c r="Q33" s="250">
        <v>291.36799999999999</v>
      </c>
      <c r="R33" s="250">
        <v>686.904</v>
      </c>
      <c r="S33" s="250">
        <v>23.770800000000001</v>
      </c>
      <c r="T33" s="250">
        <v>13.2905</v>
      </c>
      <c r="U33" s="250">
        <v>25.4985</v>
      </c>
      <c r="V33" s="239"/>
      <c r="X33" s="239"/>
    </row>
    <row r="34" spans="1:24" s="159" customFormat="1" ht="11.45" customHeight="1">
      <c r="A34" s="904" t="s">
        <v>556</v>
      </c>
      <c r="B34" s="289">
        <v>1245.1400000000001</v>
      </c>
      <c r="C34" s="289">
        <v>55.917900000000003</v>
      </c>
      <c r="D34" s="289">
        <v>55.521700000000003</v>
      </c>
      <c r="E34" s="289">
        <v>35.173000000000002</v>
      </c>
      <c r="F34" s="289">
        <v>39.070900000000002</v>
      </c>
      <c r="G34" s="289">
        <v>65.457099999999997</v>
      </c>
      <c r="H34" s="289">
        <v>275</v>
      </c>
      <c r="I34" s="289">
        <v>203</v>
      </c>
      <c r="J34" s="289" t="s">
        <v>292</v>
      </c>
      <c r="K34" s="289">
        <v>434.28100000000001</v>
      </c>
      <c r="L34" s="289" t="s">
        <v>292</v>
      </c>
      <c r="M34" s="289">
        <v>164.03100000000001</v>
      </c>
      <c r="N34" s="289" t="s">
        <v>292</v>
      </c>
      <c r="O34" s="289">
        <v>633.06799999999998</v>
      </c>
      <c r="P34" s="289" t="s">
        <v>292</v>
      </c>
      <c r="Q34" s="289">
        <v>296.18099999999998</v>
      </c>
      <c r="R34" s="289">
        <v>713.85599999999999</v>
      </c>
      <c r="S34" s="289">
        <v>23.656700000000001</v>
      </c>
      <c r="T34" s="289">
        <v>15.435</v>
      </c>
      <c r="U34" s="289">
        <v>26.316800000000001</v>
      </c>
      <c r="V34" s="239"/>
      <c r="X34" s="239"/>
    </row>
    <row r="35" spans="1:24" s="159" customFormat="1" ht="11.45" customHeight="1">
      <c r="A35" s="903" t="s">
        <v>565</v>
      </c>
      <c r="B35" s="250">
        <v>1242.26</v>
      </c>
      <c r="C35" s="250">
        <v>54.830399999999997</v>
      </c>
      <c r="D35" s="250">
        <v>59.581000000000003</v>
      </c>
      <c r="E35" s="250">
        <v>39.037599999999998</v>
      </c>
      <c r="F35" s="250">
        <v>42.247100000000003</v>
      </c>
      <c r="G35" s="250">
        <v>69.278599999999997</v>
      </c>
      <c r="H35" s="250">
        <v>278</v>
      </c>
      <c r="I35" s="250">
        <v>204</v>
      </c>
      <c r="J35" s="250" t="s">
        <v>292</v>
      </c>
      <c r="K35" s="250">
        <v>441.2</v>
      </c>
      <c r="L35" s="250" t="s">
        <v>292</v>
      </c>
      <c r="M35" s="250">
        <v>163.36500000000001</v>
      </c>
      <c r="N35" s="250" t="s">
        <v>292</v>
      </c>
      <c r="O35" s="250">
        <v>681.077</v>
      </c>
      <c r="P35" s="250">
        <v>669.2</v>
      </c>
      <c r="Q35" s="250">
        <v>327.70100000000002</v>
      </c>
      <c r="R35" s="250">
        <v>748.53099999999995</v>
      </c>
      <c r="S35" s="250">
        <v>23.670200000000001</v>
      </c>
      <c r="T35" s="250">
        <v>15.217599999999999</v>
      </c>
      <c r="U35" s="250">
        <v>27.902899999999999</v>
      </c>
      <c r="V35" s="239"/>
      <c r="X35" s="239"/>
    </row>
    <row r="36" spans="1:24" s="159" customFormat="1" ht="11.45" customHeight="1">
      <c r="A36" s="904" t="s">
        <v>566</v>
      </c>
      <c r="B36" s="289">
        <v>1261</v>
      </c>
      <c r="C36" s="289">
        <v>55.2</v>
      </c>
      <c r="D36" s="289">
        <v>54.9</v>
      </c>
      <c r="E36" s="289">
        <v>44</v>
      </c>
      <c r="F36" s="289">
        <v>47.1</v>
      </c>
      <c r="G36" s="289">
        <v>70.3</v>
      </c>
      <c r="H36" s="289">
        <v>284</v>
      </c>
      <c r="I36" s="289">
        <v>200</v>
      </c>
      <c r="J36" s="289" t="s">
        <v>292</v>
      </c>
      <c r="K36" s="289">
        <v>448</v>
      </c>
      <c r="L36" s="289" t="s">
        <v>292</v>
      </c>
      <c r="M36" s="289">
        <v>157.5</v>
      </c>
      <c r="N36" s="289" t="s">
        <v>292</v>
      </c>
      <c r="O36" s="289">
        <v>644.6</v>
      </c>
      <c r="P36" s="289" t="s">
        <v>292</v>
      </c>
      <c r="Q36" s="289">
        <v>407.5</v>
      </c>
      <c r="R36" s="289">
        <v>707</v>
      </c>
      <c r="S36" s="289">
        <v>24.2</v>
      </c>
      <c r="T36" s="289">
        <v>16.7</v>
      </c>
      <c r="U36" s="289">
        <v>27.3</v>
      </c>
      <c r="V36" s="239"/>
    </row>
    <row r="37" spans="1:24" s="159" customFormat="1" ht="11.45" customHeight="1">
      <c r="A37" s="903" t="s">
        <v>557</v>
      </c>
      <c r="B37" s="250">
        <v>1276.4000000000001</v>
      </c>
      <c r="C37" s="250">
        <v>57</v>
      </c>
      <c r="D37" s="250">
        <v>51.4</v>
      </c>
      <c r="E37" s="250">
        <v>45.8</v>
      </c>
      <c r="F37" s="250">
        <v>48.5</v>
      </c>
      <c r="G37" s="250">
        <v>74.099999999999994</v>
      </c>
      <c r="H37" s="250">
        <v>285</v>
      </c>
      <c r="I37" s="250">
        <v>191</v>
      </c>
      <c r="J37" s="250" t="s">
        <v>292</v>
      </c>
      <c r="K37" s="250">
        <v>455.1</v>
      </c>
      <c r="L37" s="250" t="s">
        <v>292</v>
      </c>
      <c r="M37" s="250">
        <v>156.6</v>
      </c>
      <c r="N37" s="250" t="s">
        <v>292</v>
      </c>
      <c r="O37" s="250">
        <v>618.5</v>
      </c>
      <c r="P37" s="250" t="s">
        <v>292</v>
      </c>
      <c r="Q37" s="250">
        <v>443.4</v>
      </c>
      <c r="R37" s="250">
        <v>703.6</v>
      </c>
      <c r="S37" s="250">
        <v>23.6</v>
      </c>
      <c r="T37" s="250">
        <v>19.399999999999999</v>
      </c>
      <c r="U37" s="250">
        <v>27.4</v>
      </c>
      <c r="V37" s="239"/>
    </row>
    <row r="38" spans="1:24" s="159" customFormat="1" ht="11.45" customHeight="1">
      <c r="A38" s="904" t="s">
        <v>559</v>
      </c>
      <c r="B38" s="289">
        <v>1336.7</v>
      </c>
      <c r="C38" s="289">
        <v>66.7</v>
      </c>
      <c r="D38" s="289">
        <v>56.6</v>
      </c>
      <c r="E38" s="289">
        <v>42.7</v>
      </c>
      <c r="F38" s="289">
        <v>45.1</v>
      </c>
      <c r="G38" s="289">
        <v>81.099999999999994</v>
      </c>
      <c r="H38" s="289">
        <v>285</v>
      </c>
      <c r="I38" s="289">
        <v>177</v>
      </c>
      <c r="J38" s="289" t="s">
        <v>292</v>
      </c>
      <c r="K38" s="289">
        <v>506.3</v>
      </c>
      <c r="L38" s="289" t="s">
        <v>292</v>
      </c>
      <c r="M38" s="289">
        <v>133.6</v>
      </c>
      <c r="N38" s="289" t="s">
        <v>292</v>
      </c>
      <c r="O38" s="289">
        <v>584.20000000000005</v>
      </c>
      <c r="P38" s="289">
        <v>660.5</v>
      </c>
      <c r="Q38" s="289">
        <v>403.3</v>
      </c>
      <c r="R38" s="289">
        <v>669.9</v>
      </c>
      <c r="S38" s="289">
        <v>21.9</v>
      </c>
      <c r="T38" s="289">
        <v>19.7</v>
      </c>
      <c r="U38" s="289">
        <v>28.1</v>
      </c>
      <c r="V38" s="239"/>
    </row>
    <row r="39" spans="1:24" s="159" customFormat="1" ht="11.45" customHeight="1">
      <c r="A39" s="903" t="s">
        <v>560</v>
      </c>
      <c r="B39" s="250">
        <v>1340.2</v>
      </c>
      <c r="C39" s="250">
        <v>72.2</v>
      </c>
      <c r="D39" s="250">
        <v>60.5</v>
      </c>
      <c r="E39" s="250">
        <v>43.6</v>
      </c>
      <c r="F39" s="250">
        <v>46.1</v>
      </c>
      <c r="G39" s="250">
        <v>80.3</v>
      </c>
      <c r="H39" s="250">
        <v>283</v>
      </c>
      <c r="I39" s="250">
        <v>182</v>
      </c>
      <c r="J39" s="250" t="s">
        <v>292</v>
      </c>
      <c r="K39" s="250">
        <v>481.7</v>
      </c>
      <c r="L39" s="250" t="s">
        <v>292</v>
      </c>
      <c r="M39" s="250">
        <v>127.9</v>
      </c>
      <c r="N39" s="250" t="s">
        <v>292</v>
      </c>
      <c r="O39" s="250">
        <v>664.4</v>
      </c>
      <c r="P39" s="250">
        <v>644.20000000000005</v>
      </c>
      <c r="Q39" s="250">
        <v>364.5</v>
      </c>
      <c r="R39" s="250">
        <v>711.7</v>
      </c>
      <c r="S39" s="250">
        <v>21.8</v>
      </c>
      <c r="T39" s="250">
        <v>20.5</v>
      </c>
      <c r="U39" s="250">
        <v>27.2</v>
      </c>
      <c r="V39" s="239"/>
    </row>
    <row r="40" spans="1:24" s="159" customFormat="1" ht="11.45" customHeight="1">
      <c r="A40" s="904" t="s">
        <v>554</v>
      </c>
      <c r="B40" s="289">
        <v>1326.6</v>
      </c>
      <c r="C40" s="289">
        <v>78.099999999999994</v>
      </c>
      <c r="D40" s="289">
        <v>56.7</v>
      </c>
      <c r="E40" s="289">
        <v>43.8</v>
      </c>
      <c r="F40" s="289">
        <v>46.2</v>
      </c>
      <c r="G40" s="289">
        <v>77.900000000000006</v>
      </c>
      <c r="H40" s="289">
        <v>277</v>
      </c>
      <c r="I40" s="289">
        <v>191</v>
      </c>
      <c r="J40" s="289" t="s">
        <v>292</v>
      </c>
      <c r="K40" s="289">
        <v>446.9</v>
      </c>
      <c r="L40" s="289" t="s">
        <v>292</v>
      </c>
      <c r="M40" s="289">
        <v>123.2</v>
      </c>
      <c r="N40" s="289" t="s">
        <v>292</v>
      </c>
      <c r="O40" s="289">
        <v>692.4</v>
      </c>
      <c r="P40" s="289">
        <v>669.5</v>
      </c>
      <c r="Q40" s="289">
        <v>342.2</v>
      </c>
      <c r="R40" s="289">
        <v>722.6</v>
      </c>
      <c r="S40" s="289">
        <v>21.9</v>
      </c>
      <c r="T40" s="289">
        <v>21.9</v>
      </c>
      <c r="U40" s="289">
        <v>27.5</v>
      </c>
      <c r="V40" s="239"/>
    </row>
    <row r="41" spans="1:24" s="159" customFormat="1" ht="11.45" customHeight="1">
      <c r="A41" s="903" t="s">
        <v>561</v>
      </c>
      <c r="B41" s="250">
        <v>1266.5999999999999</v>
      </c>
      <c r="C41" s="250">
        <v>99.8</v>
      </c>
      <c r="D41" s="250">
        <v>59</v>
      </c>
      <c r="E41" s="250">
        <v>48.3</v>
      </c>
      <c r="F41" s="250">
        <v>49.7</v>
      </c>
      <c r="G41" s="250">
        <v>78.5</v>
      </c>
      <c r="H41" s="250">
        <v>273</v>
      </c>
      <c r="I41" s="250">
        <v>193</v>
      </c>
      <c r="J41" s="250" t="s">
        <v>292</v>
      </c>
      <c r="K41" s="250">
        <v>429.1</v>
      </c>
      <c r="L41" s="250" t="s">
        <v>292</v>
      </c>
      <c r="M41" s="250">
        <v>122.5</v>
      </c>
      <c r="N41" s="250" t="s">
        <v>292</v>
      </c>
      <c r="O41" s="250">
        <v>651.4</v>
      </c>
      <c r="P41" s="250">
        <v>705.9</v>
      </c>
      <c r="Q41" s="250">
        <v>337.1</v>
      </c>
      <c r="R41" s="250">
        <v>757.3</v>
      </c>
      <c r="S41" s="250">
        <v>20.5</v>
      </c>
      <c r="T41" s="250">
        <v>22.9</v>
      </c>
      <c r="U41" s="250">
        <v>28.6</v>
      </c>
      <c r="V41" s="239"/>
    </row>
    <row r="42" spans="1:24" s="159" customFormat="1" ht="10.5" customHeight="1">
      <c r="A42" s="904" t="s">
        <v>562</v>
      </c>
      <c r="B42" s="289">
        <v>1238.4000000000001</v>
      </c>
      <c r="C42" s="289">
        <v>107.2</v>
      </c>
      <c r="D42" s="289">
        <v>74.099999999999994</v>
      </c>
      <c r="E42" s="289">
        <v>43.8</v>
      </c>
      <c r="F42" s="289">
        <v>46.4</v>
      </c>
      <c r="G42" s="289">
        <v>78.900000000000006</v>
      </c>
      <c r="H42" s="289">
        <v>270</v>
      </c>
      <c r="I42" s="289">
        <v>211</v>
      </c>
      <c r="J42" s="289" t="s">
        <v>292</v>
      </c>
      <c r="K42" s="289">
        <v>440.6</v>
      </c>
      <c r="L42" s="289" t="s">
        <v>292</v>
      </c>
      <c r="M42" s="289">
        <v>122.5</v>
      </c>
      <c r="N42" s="289" t="s">
        <v>292</v>
      </c>
      <c r="O42" s="289">
        <v>670</v>
      </c>
      <c r="P42" s="289">
        <v>685.3</v>
      </c>
      <c r="Q42" s="289">
        <v>345.7</v>
      </c>
      <c r="R42" s="289">
        <v>772.4</v>
      </c>
      <c r="S42" s="289">
        <v>20.7</v>
      </c>
      <c r="T42" s="289">
        <v>20.9</v>
      </c>
      <c r="U42" s="289">
        <v>28.8</v>
      </c>
      <c r="V42" s="239"/>
    </row>
    <row r="43" spans="1:24" s="159" customFormat="1" ht="10.5" customHeight="1">
      <c r="A43" s="903" t="s">
        <v>555</v>
      </c>
      <c r="B43" s="250">
        <v>1157.4000000000001</v>
      </c>
      <c r="C43" s="250">
        <v>92.5</v>
      </c>
      <c r="D43" s="250">
        <v>79.400000000000006</v>
      </c>
      <c r="E43" s="250">
        <v>51.8</v>
      </c>
      <c r="F43" s="250">
        <v>54.1</v>
      </c>
      <c r="G43" s="250">
        <v>79.5</v>
      </c>
      <c r="H43" s="250">
        <v>267</v>
      </c>
      <c r="I43" s="250">
        <v>216</v>
      </c>
      <c r="J43" s="250" t="s">
        <v>292</v>
      </c>
      <c r="K43" s="250">
        <v>415.6</v>
      </c>
      <c r="L43" s="250" t="s">
        <v>292</v>
      </c>
      <c r="M43" s="250">
        <v>122.8</v>
      </c>
      <c r="N43" s="250" t="s">
        <v>292</v>
      </c>
      <c r="O43" s="250">
        <v>711.8</v>
      </c>
      <c r="P43" s="250">
        <v>711.6</v>
      </c>
      <c r="Q43" s="250">
        <v>345.8</v>
      </c>
      <c r="R43" s="250">
        <v>800.3</v>
      </c>
      <c r="S43" s="250">
        <v>20.8</v>
      </c>
      <c r="T43" s="250">
        <v>18.8</v>
      </c>
      <c r="U43" s="250">
        <v>29.3</v>
      </c>
      <c r="V43" s="239"/>
    </row>
    <row r="44" spans="1:24" s="159" customFormat="1" ht="10.5" customHeight="1">
      <c r="A44" s="793">
        <v>2017</v>
      </c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39"/>
    </row>
    <row r="45" spans="1:24" s="159" customFormat="1" ht="11.45" customHeight="1">
      <c r="A45" s="903" t="s">
        <v>563</v>
      </c>
      <c r="B45" s="250">
        <v>1192.0999999999999</v>
      </c>
      <c r="C45" s="250">
        <v>89.7</v>
      </c>
      <c r="D45" s="250">
        <v>80.8</v>
      </c>
      <c r="E45" s="250">
        <v>53.4</v>
      </c>
      <c r="F45" s="250">
        <v>54.9</v>
      </c>
      <c r="G45" s="250">
        <v>82.3</v>
      </c>
      <c r="H45" s="250">
        <v>269</v>
      </c>
      <c r="I45" s="250">
        <v>241</v>
      </c>
      <c r="J45" s="250" t="s">
        <v>292</v>
      </c>
      <c r="K45" s="250">
        <v>422.5</v>
      </c>
      <c r="L45" s="250" t="s">
        <v>292</v>
      </c>
      <c r="M45" s="250">
        <v>137.1</v>
      </c>
      <c r="N45" s="250" t="s">
        <v>292</v>
      </c>
      <c r="O45" s="250">
        <v>726.5</v>
      </c>
      <c r="P45" s="250">
        <v>746.6</v>
      </c>
      <c r="Q45" s="250">
        <v>364.7</v>
      </c>
      <c r="R45" s="250">
        <v>771.9</v>
      </c>
      <c r="S45" s="250">
        <v>20.5</v>
      </c>
      <c r="T45" s="250">
        <v>20.5</v>
      </c>
      <c r="U45" s="250">
        <v>29</v>
      </c>
      <c r="V45" s="239"/>
    </row>
    <row r="46" spans="1:24" s="159" customFormat="1" ht="11.45" customHeight="1">
      <c r="A46" s="904" t="s">
        <v>564</v>
      </c>
      <c r="B46" s="289">
        <v>1234.2</v>
      </c>
      <c r="C46" s="289">
        <v>86.2</v>
      </c>
      <c r="D46" s="289">
        <v>88.8</v>
      </c>
      <c r="E46" s="289">
        <v>54.2</v>
      </c>
      <c r="F46" s="289">
        <v>55.5</v>
      </c>
      <c r="G46" s="289">
        <v>85.2</v>
      </c>
      <c r="H46" s="289">
        <v>270</v>
      </c>
      <c r="I46" s="289">
        <v>247</v>
      </c>
      <c r="J46" s="289" t="s">
        <v>292</v>
      </c>
      <c r="K46" s="289">
        <v>430.1</v>
      </c>
      <c r="L46" s="289" t="s">
        <v>292</v>
      </c>
      <c r="M46" s="289">
        <v>147.30000000000001</v>
      </c>
      <c r="N46" s="289" t="s">
        <v>292</v>
      </c>
      <c r="O46" s="289">
        <v>706.8</v>
      </c>
      <c r="P46" s="289">
        <v>761.4</v>
      </c>
      <c r="Q46" s="289">
        <v>371.4</v>
      </c>
      <c r="R46" s="289">
        <v>742.9</v>
      </c>
      <c r="S46" s="289">
        <v>20.8</v>
      </c>
      <c r="T46" s="289">
        <v>20.3</v>
      </c>
      <c r="U46" s="289">
        <v>30.4</v>
      </c>
      <c r="V46" s="239"/>
    </row>
    <row r="47" spans="1:24" s="159" customFormat="1" ht="11.45" customHeight="1">
      <c r="A47" s="903" t="s">
        <v>556</v>
      </c>
      <c r="B47" s="250">
        <v>1231.4000000000001</v>
      </c>
      <c r="C47" s="250">
        <v>86.3</v>
      </c>
      <c r="D47" s="250">
        <v>87.2</v>
      </c>
      <c r="E47" s="250">
        <v>51.2</v>
      </c>
      <c r="F47" s="250">
        <v>52</v>
      </c>
      <c r="G47" s="250">
        <v>86.8</v>
      </c>
      <c r="H47" s="250">
        <v>278</v>
      </c>
      <c r="I47" s="250">
        <v>234</v>
      </c>
      <c r="J47" s="250" t="s">
        <v>292</v>
      </c>
      <c r="K47" s="250">
        <v>424.6</v>
      </c>
      <c r="L47" s="250" t="s">
        <v>292</v>
      </c>
      <c r="M47" s="250">
        <v>146.4</v>
      </c>
      <c r="N47" s="250" t="s">
        <v>292</v>
      </c>
      <c r="O47" s="250">
        <v>663.3</v>
      </c>
      <c r="P47" s="250" t="s">
        <v>292</v>
      </c>
      <c r="Q47" s="250">
        <v>356.9</v>
      </c>
      <c r="R47" s="250">
        <v>723.4</v>
      </c>
      <c r="S47" s="250">
        <v>20.5</v>
      </c>
      <c r="T47" s="250">
        <v>18.100000000000001</v>
      </c>
      <c r="U47" s="250">
        <v>29.8</v>
      </c>
      <c r="V47" s="239"/>
    </row>
    <row r="48" spans="1:24" s="159" customFormat="1" ht="11.45" customHeight="1">
      <c r="A48" s="904" t="s">
        <v>565</v>
      </c>
      <c r="B48" s="289">
        <v>1266.9000000000001</v>
      </c>
      <c r="C48" s="289">
        <v>90.7</v>
      </c>
      <c r="D48" s="289">
        <v>70.400000000000006</v>
      </c>
      <c r="E48" s="289">
        <v>52.4</v>
      </c>
      <c r="F48" s="289">
        <v>53.1</v>
      </c>
      <c r="G48" s="289">
        <v>87</v>
      </c>
      <c r="H48" s="289">
        <v>276</v>
      </c>
      <c r="I48" s="289">
        <v>205</v>
      </c>
      <c r="J48" s="289" t="s">
        <v>292</v>
      </c>
      <c r="K48" s="289">
        <v>410.3</v>
      </c>
      <c r="L48" s="289" t="s">
        <v>292</v>
      </c>
      <c r="M48" s="289">
        <v>138.4</v>
      </c>
      <c r="N48" s="289" t="s">
        <v>292</v>
      </c>
      <c r="O48" s="289">
        <v>623.20000000000005</v>
      </c>
      <c r="P48" s="289" t="s">
        <v>292</v>
      </c>
      <c r="Q48" s="289">
        <v>342.6</v>
      </c>
      <c r="R48" s="289">
        <v>695.3</v>
      </c>
      <c r="S48" s="289">
        <v>21</v>
      </c>
      <c r="T48" s="289">
        <v>16.399999999999999</v>
      </c>
      <c r="U48" s="289">
        <v>28.7</v>
      </c>
      <c r="V48" s="239"/>
    </row>
    <row r="49" spans="1:23" s="159" customFormat="1" ht="11.45" customHeight="1" thickBot="1">
      <c r="A49" s="457" t="s">
        <v>566</v>
      </c>
      <c r="B49" s="684">
        <v>1246</v>
      </c>
      <c r="C49" s="684" t="s">
        <v>292</v>
      </c>
      <c r="D49" s="684">
        <v>61.6</v>
      </c>
      <c r="E49" s="684">
        <v>50.3</v>
      </c>
      <c r="F49" s="684">
        <v>50.9</v>
      </c>
      <c r="G49" s="684">
        <v>88.6</v>
      </c>
      <c r="H49" s="684">
        <v>273</v>
      </c>
      <c r="I49" s="684">
        <v>180</v>
      </c>
      <c r="J49" s="684" t="s">
        <v>292</v>
      </c>
      <c r="K49" s="684">
        <v>444.7</v>
      </c>
      <c r="L49" s="684" t="s">
        <v>292</v>
      </c>
      <c r="M49" s="684">
        <v>146.5</v>
      </c>
      <c r="N49" s="684" t="s">
        <v>292</v>
      </c>
      <c r="O49" s="684">
        <v>655.5</v>
      </c>
      <c r="P49" s="684" t="s">
        <v>292</v>
      </c>
      <c r="Q49" s="684">
        <v>341</v>
      </c>
      <c r="R49" s="684">
        <v>714.1</v>
      </c>
      <c r="S49" s="684">
        <v>21.5</v>
      </c>
      <c r="T49" s="684">
        <v>15.7</v>
      </c>
      <c r="U49" s="684">
        <v>28.4</v>
      </c>
      <c r="V49" s="239"/>
    </row>
    <row r="50" spans="1:23" ht="11.25" customHeight="1">
      <c r="A50" s="10" t="s">
        <v>680</v>
      </c>
      <c r="B50" s="2561" t="s">
        <v>153</v>
      </c>
      <c r="C50" s="2561"/>
      <c r="D50" s="2561"/>
      <c r="E50" s="2561"/>
      <c r="F50" s="2561"/>
      <c r="G50" s="2561"/>
      <c r="H50" s="25"/>
      <c r="I50" s="25"/>
      <c r="J50" s="25"/>
      <c r="K50" s="10"/>
      <c r="L50" s="1238"/>
      <c r="M50" s="1238"/>
      <c r="N50" s="1238"/>
      <c r="O50" s="1238"/>
      <c r="P50" s="1238"/>
      <c r="Q50" s="1238"/>
      <c r="R50" s="911"/>
      <c r="S50" s="911"/>
      <c r="T50" s="13"/>
      <c r="U50" s="25"/>
    </row>
    <row r="51" spans="1:23" s="13" customFormat="1" ht="9" customHeight="1">
      <c r="B51" s="2568" t="s">
        <v>154</v>
      </c>
      <c r="C51" s="2568"/>
      <c r="D51" s="2568"/>
      <c r="E51" s="2568"/>
      <c r="F51" s="2568"/>
      <c r="G51" s="2568"/>
      <c r="H51" s="2568"/>
      <c r="I51" s="623"/>
      <c r="J51" s="623"/>
      <c r="K51" s="10" t="s">
        <v>654</v>
      </c>
      <c r="L51" s="2562" t="s">
        <v>1231</v>
      </c>
      <c r="M51" s="2562"/>
      <c r="N51" s="2562"/>
      <c r="O51" s="2562"/>
      <c r="P51" s="2562"/>
      <c r="Q51" s="2562"/>
      <c r="S51" s="911"/>
      <c r="T51" s="911"/>
    </row>
    <row r="52" spans="1:23" s="13" customFormat="1" ht="10.5" customHeight="1">
      <c r="B52" s="2561" t="s">
        <v>1168</v>
      </c>
      <c r="C52" s="2561"/>
      <c r="F52" s="84"/>
      <c r="G52" s="134"/>
      <c r="K52" s="13" t="s">
        <v>1367</v>
      </c>
    </row>
    <row r="53" spans="1:23" s="13" customFormat="1" ht="8.25" customHeight="1">
      <c r="A53" s="29"/>
      <c r="F53" s="84"/>
      <c r="G53" s="84"/>
      <c r="I53" s="609"/>
    </row>
    <row r="54" spans="1:23">
      <c r="C54" s="84"/>
      <c r="D54" s="84"/>
      <c r="E54" s="84"/>
      <c r="F54" s="84"/>
      <c r="G54" s="84"/>
      <c r="H54" s="84"/>
      <c r="I54" s="609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609"/>
      <c r="V54" s="609"/>
      <c r="W54" s="84"/>
    </row>
    <row r="55" spans="1:23">
      <c r="D55" s="84"/>
      <c r="F55" s="84"/>
      <c r="H55" s="84"/>
      <c r="I55" s="16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609"/>
      <c r="V55" s="609"/>
      <c r="W55" s="84"/>
    </row>
    <row r="56" spans="1:23">
      <c r="D56" s="84"/>
      <c r="F56" s="84"/>
      <c r="G56" s="16"/>
      <c r="H56" s="84"/>
      <c r="J56" s="84"/>
      <c r="L56" s="84"/>
      <c r="M56" s="84"/>
      <c r="N56" s="84"/>
      <c r="O56" s="84"/>
      <c r="P56" s="84"/>
      <c r="Q56" s="84"/>
      <c r="R56" s="84"/>
      <c r="S56" s="84"/>
      <c r="T56" s="84"/>
      <c r="U56" s="609"/>
      <c r="V56" s="609"/>
      <c r="W56" s="84"/>
    </row>
    <row r="57" spans="1:23" ht="10.5" customHeight="1">
      <c r="D57" s="84"/>
      <c r="F57" s="84"/>
      <c r="G57" s="16"/>
      <c r="H57" s="84"/>
      <c r="J57" s="84"/>
      <c r="L57" s="84"/>
      <c r="M57" s="84"/>
      <c r="N57" s="84"/>
      <c r="O57" s="84"/>
      <c r="P57" s="84"/>
      <c r="Q57" s="84"/>
      <c r="R57" s="84"/>
      <c r="S57" s="84"/>
      <c r="T57" s="84"/>
      <c r="U57" s="609"/>
      <c r="V57" s="609"/>
      <c r="W57" s="84"/>
    </row>
    <row r="58" spans="1:23">
      <c r="D58" s="84"/>
      <c r="F58" s="84"/>
      <c r="G58" s="16"/>
      <c r="H58" s="84"/>
      <c r="J58" s="84"/>
      <c r="L58" s="84"/>
      <c r="M58" s="84"/>
      <c r="N58" s="84"/>
      <c r="O58" s="84"/>
      <c r="P58" s="84"/>
      <c r="Q58" s="84"/>
      <c r="R58" s="84"/>
      <c r="S58" s="84"/>
      <c r="T58" s="84"/>
      <c r="U58" s="609"/>
      <c r="V58" s="609"/>
      <c r="W58" s="84"/>
    </row>
    <row r="59" spans="1:23">
      <c r="D59" s="84"/>
      <c r="F59" s="84"/>
      <c r="G59" s="16"/>
      <c r="H59" s="84"/>
      <c r="J59" s="84"/>
      <c r="L59" s="84"/>
      <c r="M59" s="84"/>
      <c r="N59" s="84"/>
      <c r="O59" s="84"/>
      <c r="P59" s="84"/>
      <c r="Q59" s="84"/>
      <c r="R59" s="84"/>
      <c r="S59" s="84"/>
      <c r="T59" s="84"/>
      <c r="U59" s="609"/>
      <c r="V59" s="609"/>
      <c r="W59" s="84"/>
    </row>
    <row r="60" spans="1:23">
      <c r="D60" s="84"/>
      <c r="F60" s="84"/>
      <c r="G60" s="16"/>
      <c r="H60" s="84"/>
      <c r="J60" s="84"/>
      <c r="L60" s="84"/>
      <c r="M60" s="84"/>
      <c r="N60" s="84"/>
      <c r="O60" s="84"/>
      <c r="P60" s="84"/>
      <c r="Q60" s="84"/>
      <c r="R60" s="84"/>
      <c r="S60" s="84"/>
      <c r="T60" s="84"/>
      <c r="U60" s="609"/>
      <c r="V60" s="609"/>
      <c r="W60" s="84"/>
    </row>
    <row r="61" spans="1:23">
      <c r="C61" s="84"/>
      <c r="D61" s="84"/>
      <c r="E61" s="84"/>
      <c r="F61" s="84"/>
      <c r="G61" s="84"/>
      <c r="H61" s="84"/>
      <c r="I61" s="609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609"/>
      <c r="V61" s="609"/>
      <c r="W61" s="84"/>
    </row>
    <row r="62" spans="1:23">
      <c r="C62" s="84"/>
      <c r="D62" s="84"/>
      <c r="E62" s="84"/>
      <c r="F62" s="84"/>
      <c r="G62" s="84"/>
      <c r="H62" s="84"/>
      <c r="I62" s="609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609"/>
      <c r="V62" s="609"/>
      <c r="W62" s="84"/>
    </row>
    <row r="63" spans="1:23">
      <c r="C63" s="84"/>
      <c r="D63" s="84"/>
      <c r="E63" s="84"/>
      <c r="F63" s="84"/>
      <c r="G63" s="84"/>
      <c r="H63" s="84"/>
      <c r="I63" s="609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609"/>
      <c r="V63" s="609"/>
      <c r="W63" s="84"/>
    </row>
    <row r="64" spans="1:23">
      <c r="C64" s="84"/>
      <c r="D64" s="84"/>
      <c r="E64" s="84"/>
      <c r="F64" s="84"/>
      <c r="G64" s="84"/>
      <c r="H64" s="84"/>
      <c r="I64" s="609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609"/>
      <c r="V64" s="609"/>
      <c r="W64" s="84"/>
    </row>
    <row r="65" spans="3:23"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609"/>
      <c r="V65" s="609"/>
      <c r="W65" s="84"/>
    </row>
    <row r="66" spans="3:23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609"/>
      <c r="V66" s="13"/>
      <c r="W66" s="84"/>
    </row>
    <row r="67" spans="3:23">
      <c r="C67" s="84"/>
      <c r="D67" s="84"/>
      <c r="E67" s="84"/>
      <c r="F67" s="84"/>
      <c r="G67" s="84"/>
      <c r="H67" s="84"/>
      <c r="I67" s="610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609"/>
      <c r="V67" s="13"/>
      <c r="W67" s="84"/>
    </row>
    <row r="68" spans="3:23">
      <c r="C68" s="84"/>
      <c r="D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R68" s="84"/>
      <c r="S68" s="84"/>
      <c r="T68" s="84"/>
      <c r="U68" s="609"/>
      <c r="V68" s="13"/>
      <c r="W68" s="84"/>
    </row>
    <row r="69" spans="3:23">
      <c r="C69" s="84"/>
      <c r="D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R69" s="84"/>
      <c r="S69" s="84"/>
      <c r="T69" s="84"/>
      <c r="U69" s="609"/>
      <c r="V69" s="13"/>
      <c r="W69" s="84"/>
    </row>
    <row r="70" spans="3:23">
      <c r="D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S70" s="84"/>
      <c r="T70" s="84"/>
      <c r="U70" s="609"/>
      <c r="V70" s="13"/>
      <c r="W70" s="84"/>
    </row>
    <row r="71" spans="3:23">
      <c r="D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R71" s="84"/>
      <c r="S71" s="84"/>
      <c r="T71" s="84"/>
      <c r="U71" s="609"/>
      <c r="V71" s="13"/>
      <c r="W71" s="84"/>
    </row>
    <row r="72" spans="3:23"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609"/>
      <c r="V72" s="13"/>
      <c r="W72" s="84"/>
    </row>
    <row r="73" spans="3:23"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609"/>
      <c r="V73" s="13"/>
      <c r="W73" s="84"/>
    </row>
    <row r="74" spans="3:23"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609"/>
      <c r="V74" s="13"/>
      <c r="W74" s="84"/>
    </row>
    <row r="75" spans="3:23"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W75" s="84"/>
    </row>
    <row r="76" spans="3:23">
      <c r="J76" s="84"/>
      <c r="K76" s="84"/>
      <c r="M76" s="84"/>
      <c r="O76" s="84"/>
      <c r="P76" s="84"/>
      <c r="Q76" s="84"/>
      <c r="R76" s="84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8"/>
  <sheetViews>
    <sheetView zoomScale="150" zoomScaleNormal="150" workbookViewId="0">
      <pane xSplit="1" ySplit="5" topLeftCell="B39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P52" sqref="P52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6" customFormat="1" ht="12.75" customHeight="1">
      <c r="A1" s="2532" t="s">
        <v>230</v>
      </c>
      <c r="B1" s="2532"/>
      <c r="C1" s="2532"/>
      <c r="D1" s="2532"/>
      <c r="E1" s="2532"/>
      <c r="F1" s="2532"/>
      <c r="G1" s="2532"/>
      <c r="H1" s="2532"/>
      <c r="I1" s="2532"/>
      <c r="J1" s="2576" t="s">
        <v>1272</v>
      </c>
      <c r="K1" s="2576"/>
      <c r="L1" s="2576"/>
      <c r="M1" s="2576"/>
      <c r="N1" s="2576"/>
      <c r="O1" s="2574" t="s">
        <v>1527</v>
      </c>
      <c r="P1" s="2574"/>
    </row>
    <row r="2" spans="1:18" s="20" customFormat="1" ht="9.75" customHeight="1">
      <c r="O2" s="2577" t="s">
        <v>24</v>
      </c>
      <c r="P2" s="2577"/>
    </row>
    <row r="3" spans="1:18" s="75" customFormat="1" ht="13.5" customHeight="1">
      <c r="A3" s="2526" t="s">
        <v>481</v>
      </c>
      <c r="B3" s="2414" t="s">
        <v>229</v>
      </c>
      <c r="C3" s="2415"/>
      <c r="D3" s="2415"/>
      <c r="E3" s="2415"/>
      <c r="F3" s="2415"/>
      <c r="G3" s="2415"/>
      <c r="H3" s="2415"/>
      <c r="I3" s="2415"/>
      <c r="J3" s="2415"/>
      <c r="K3" s="2460"/>
      <c r="L3" s="2414" t="s">
        <v>578</v>
      </c>
      <c r="M3" s="2415"/>
      <c r="N3" s="2415"/>
      <c r="O3" s="2416"/>
      <c r="P3" s="2418" t="s">
        <v>481</v>
      </c>
    </row>
    <row r="4" spans="1:18" s="20" customFormat="1" ht="12.75" customHeight="1">
      <c r="A4" s="2526"/>
      <c r="B4" s="2575" t="s">
        <v>750</v>
      </c>
      <c r="C4" s="2578" t="s">
        <v>281</v>
      </c>
      <c r="D4" s="2274" t="s">
        <v>925</v>
      </c>
      <c r="E4" s="2274" t="s">
        <v>751</v>
      </c>
      <c r="F4" s="2324" t="s">
        <v>538</v>
      </c>
      <c r="G4" s="2324"/>
      <c r="H4" s="2572" t="s">
        <v>540</v>
      </c>
      <c r="I4" s="2573"/>
      <c r="J4" s="2556" t="s">
        <v>927</v>
      </c>
      <c r="K4" s="2274" t="s">
        <v>928</v>
      </c>
      <c r="L4" s="2556" t="s">
        <v>926</v>
      </c>
      <c r="M4" s="2556" t="s">
        <v>929</v>
      </c>
      <c r="N4" s="2556" t="s">
        <v>579</v>
      </c>
      <c r="O4" s="2556" t="s">
        <v>541</v>
      </c>
      <c r="P4" s="2299"/>
    </row>
    <row r="5" spans="1:18" s="20" customFormat="1" ht="11.25" customHeight="1">
      <c r="A5" s="2526"/>
      <c r="B5" s="2575"/>
      <c r="C5" s="2579"/>
      <c r="D5" s="2276"/>
      <c r="E5" s="2276"/>
      <c r="F5" s="1770" t="s">
        <v>479</v>
      </c>
      <c r="G5" s="1770" t="s">
        <v>539</v>
      </c>
      <c r="H5" s="1770" t="s">
        <v>479</v>
      </c>
      <c r="I5" s="1770" t="s">
        <v>539</v>
      </c>
      <c r="J5" s="2117"/>
      <c r="K5" s="2276"/>
      <c r="L5" s="2117"/>
      <c r="M5" s="2117"/>
      <c r="N5" s="2117"/>
      <c r="O5" s="2117"/>
      <c r="P5" s="2300"/>
    </row>
    <row r="6" spans="1:18" s="9" customFormat="1" ht="12.95" customHeight="1">
      <c r="A6" s="1093" t="s">
        <v>705</v>
      </c>
      <c r="B6" s="27">
        <v>13153.5</v>
      </c>
      <c r="C6" s="27">
        <v>38.950000000000003</v>
      </c>
      <c r="D6" s="27">
        <v>660.36</v>
      </c>
      <c r="E6" s="27">
        <v>28652.63</v>
      </c>
      <c r="F6" s="27">
        <v>21984.81</v>
      </c>
      <c r="G6" s="27">
        <v>13792.62</v>
      </c>
      <c r="H6" s="27">
        <v>11923.97</v>
      </c>
      <c r="I6" s="27">
        <v>4367.71</v>
      </c>
      <c r="J6" s="27">
        <v>484.44</v>
      </c>
      <c r="K6" s="27">
        <v>95058.99</v>
      </c>
      <c r="L6" s="27">
        <v>407.8</v>
      </c>
      <c r="M6" s="27">
        <v>64.63</v>
      </c>
      <c r="N6" s="27">
        <v>217.14</v>
      </c>
      <c r="O6" s="27">
        <v>2018.8599999999997</v>
      </c>
      <c r="P6" s="235" t="s">
        <v>705</v>
      </c>
      <c r="R6" s="157"/>
    </row>
    <row r="7" spans="1:18" s="9" customFormat="1" ht="12.95" customHeight="1">
      <c r="A7" s="304" t="s">
        <v>814</v>
      </c>
      <c r="B7" s="294">
        <v>13322.45</v>
      </c>
      <c r="C7" s="294">
        <v>33.47</v>
      </c>
      <c r="D7" s="294">
        <v>772.53</v>
      </c>
      <c r="E7" s="294">
        <v>37120.65</v>
      </c>
      <c r="F7" s="294">
        <v>26367.260000000002</v>
      </c>
      <c r="G7" s="294">
        <v>14846.48</v>
      </c>
      <c r="H7" s="294">
        <v>11985.29</v>
      </c>
      <c r="I7" s="294">
        <v>4205.01</v>
      </c>
      <c r="J7" s="294">
        <v>498.59</v>
      </c>
      <c r="K7" s="294">
        <v>109151.73</v>
      </c>
      <c r="L7" s="294">
        <v>293.5</v>
      </c>
      <c r="M7" s="294">
        <v>75.7</v>
      </c>
      <c r="N7" s="294">
        <v>166.19</v>
      </c>
      <c r="O7" s="294">
        <v>2015.1900000000003</v>
      </c>
      <c r="P7" s="305" t="s">
        <v>814</v>
      </c>
      <c r="R7" s="157"/>
    </row>
    <row r="8" spans="1:18" s="249" customFormat="1" ht="12.95" customHeight="1">
      <c r="A8" s="1771" t="s">
        <v>991</v>
      </c>
      <c r="B8" s="27">
        <v>13650.83</v>
      </c>
      <c r="C8" s="27">
        <v>41.980000000000004</v>
      </c>
      <c r="D8" s="27">
        <v>822.39</v>
      </c>
      <c r="E8" s="27">
        <v>43207.27</v>
      </c>
      <c r="F8" s="27">
        <v>29252.109999999997</v>
      </c>
      <c r="G8" s="27">
        <v>15325.119999999999</v>
      </c>
      <c r="H8" s="27">
        <v>13647.190000000002</v>
      </c>
      <c r="I8" s="27">
        <v>4335.7699999999995</v>
      </c>
      <c r="J8" s="27">
        <v>643.71</v>
      </c>
      <c r="K8" s="27">
        <v>120819.84999999998</v>
      </c>
      <c r="L8" s="27">
        <v>424.8</v>
      </c>
      <c r="M8" s="27">
        <v>71.41</v>
      </c>
      <c r="N8" s="27">
        <v>219.57</v>
      </c>
      <c r="O8" s="27">
        <v>2214.5200000000004</v>
      </c>
      <c r="P8" s="252" t="s">
        <v>991</v>
      </c>
      <c r="R8" s="250"/>
    </row>
    <row r="9" spans="1:18" s="249" customFormat="1" ht="12.95" customHeight="1">
      <c r="A9" s="1772" t="s">
        <v>1042</v>
      </c>
      <c r="B9" s="289">
        <v>15349.850000000002</v>
      </c>
      <c r="C9" s="289">
        <v>40.630000000000003</v>
      </c>
      <c r="D9" s="289">
        <v>960.37999999999988</v>
      </c>
      <c r="E9" s="289">
        <v>47477.399999999994</v>
      </c>
      <c r="F9" s="289">
        <v>32290.130000000005</v>
      </c>
      <c r="G9" s="289">
        <v>17690.469999999998</v>
      </c>
      <c r="H9" s="289">
        <v>15758.310000000001</v>
      </c>
      <c r="I9" s="289">
        <v>5252.42</v>
      </c>
      <c r="J9" s="289">
        <v>881.11</v>
      </c>
      <c r="K9" s="289">
        <v>135700.70000000001</v>
      </c>
      <c r="L9" s="294">
        <v>362.66</v>
      </c>
      <c r="M9" s="294">
        <v>86.53</v>
      </c>
      <c r="N9" s="294">
        <v>253.13</v>
      </c>
      <c r="O9" s="294">
        <v>2139.31</v>
      </c>
      <c r="P9" s="319" t="s">
        <v>1042</v>
      </c>
      <c r="R9" s="250"/>
    </row>
    <row r="10" spans="1:18" s="249" customFormat="1" ht="12.95" customHeight="1">
      <c r="A10" s="1771" t="s">
        <v>1163</v>
      </c>
      <c r="B10" s="250">
        <v>18016.580000000002</v>
      </c>
      <c r="C10" s="250">
        <v>32.749999999999993</v>
      </c>
      <c r="D10" s="250">
        <v>1582.0299999999997</v>
      </c>
      <c r="E10" s="250">
        <v>53235.45</v>
      </c>
      <c r="F10" s="250">
        <v>34862.82</v>
      </c>
      <c r="G10" s="250">
        <v>20583.86</v>
      </c>
      <c r="H10" s="250">
        <v>19630.96</v>
      </c>
      <c r="I10" s="250">
        <v>6560.2000000000007</v>
      </c>
      <c r="J10" s="250">
        <v>1014.0699999999999</v>
      </c>
      <c r="K10" s="250">
        <v>155518.71999999997</v>
      </c>
      <c r="L10" s="27">
        <v>432.78999999999996</v>
      </c>
      <c r="M10" s="27">
        <v>95.44</v>
      </c>
      <c r="N10" s="27">
        <v>195.29999999999998</v>
      </c>
      <c r="O10" s="27">
        <v>2279.71</v>
      </c>
      <c r="P10" s="252" t="s">
        <v>1163</v>
      </c>
      <c r="Q10" s="250"/>
    </row>
    <row r="11" spans="1:18" s="249" customFormat="1" ht="12.95" customHeight="1">
      <c r="A11" s="1772" t="s">
        <v>1187</v>
      </c>
      <c r="B11" s="289">
        <v>21069.19</v>
      </c>
      <c r="C11" s="289">
        <v>22.699999999999996</v>
      </c>
      <c r="D11" s="289">
        <v>1790.5100000000002</v>
      </c>
      <c r="E11" s="289">
        <v>52754.93</v>
      </c>
      <c r="F11" s="289">
        <v>38287.759999999995</v>
      </c>
      <c r="G11" s="289">
        <v>25561.09</v>
      </c>
      <c r="H11" s="289">
        <v>23481.699999999997</v>
      </c>
      <c r="I11" s="289">
        <v>7628.89</v>
      </c>
      <c r="J11" s="289">
        <v>1059.67</v>
      </c>
      <c r="K11" s="289">
        <v>171656.43999999997</v>
      </c>
      <c r="L11" s="294">
        <v>1684.0539999999999</v>
      </c>
      <c r="M11" s="294">
        <v>100.30000000000001</v>
      </c>
      <c r="N11" s="294">
        <v>374.15</v>
      </c>
      <c r="O11" s="294">
        <v>2470.79</v>
      </c>
      <c r="P11" s="319" t="s">
        <v>1187</v>
      </c>
      <c r="Q11" s="250"/>
    </row>
    <row r="12" spans="1:18" s="249" customFormat="1" ht="12.95" customHeight="1">
      <c r="A12" s="1771" t="s">
        <v>1311</v>
      </c>
      <c r="B12" s="250">
        <v>24502.12</v>
      </c>
      <c r="C12" s="250">
        <v>35.769999999999996</v>
      </c>
      <c r="D12" s="250">
        <v>2080.3399999999997</v>
      </c>
      <c r="E12" s="250">
        <v>64548.260000000009</v>
      </c>
      <c r="F12" s="250">
        <v>47171.799999999996</v>
      </c>
      <c r="G12" s="250">
        <v>29367.759999999998</v>
      </c>
      <c r="H12" s="250">
        <v>29639.15</v>
      </c>
      <c r="I12" s="250">
        <v>7912.2300000000005</v>
      </c>
      <c r="J12" s="250">
        <v>1149.8200000000002</v>
      </c>
      <c r="K12" s="250">
        <v>206407.25</v>
      </c>
      <c r="L12" s="27">
        <v>550.11999999999989</v>
      </c>
      <c r="M12" s="27">
        <v>100.05</v>
      </c>
      <c r="N12" s="27">
        <v>404.92</v>
      </c>
      <c r="O12" s="27">
        <v>2756.99</v>
      </c>
      <c r="P12" s="252" t="s">
        <v>1311</v>
      </c>
      <c r="Q12" s="250"/>
    </row>
    <row r="13" spans="1:18" s="249" customFormat="1" ht="12.95" customHeight="1">
      <c r="A13" s="1772" t="s">
        <v>1420</v>
      </c>
      <c r="B13" s="289">
        <v>24277.399999999998</v>
      </c>
      <c r="C13" s="289">
        <v>42.169999999999995</v>
      </c>
      <c r="D13" s="289">
        <v>2373.3299999999995</v>
      </c>
      <c r="E13" s="289">
        <v>71795.500000000015</v>
      </c>
      <c r="F13" s="289">
        <v>56323.020000000004</v>
      </c>
      <c r="G13" s="289">
        <v>31398.55</v>
      </c>
      <c r="H13" s="289">
        <v>28891.02</v>
      </c>
      <c r="I13" s="289">
        <v>7664.0400000000009</v>
      </c>
      <c r="J13" s="289">
        <v>1127.3900000000001</v>
      </c>
      <c r="K13" s="289">
        <v>223892.42</v>
      </c>
      <c r="L13" s="294">
        <v>892.1400000000001</v>
      </c>
      <c r="M13" s="294">
        <v>100.23</v>
      </c>
      <c r="N13" s="294">
        <v>443.39</v>
      </c>
      <c r="O13" s="294">
        <v>3032.62</v>
      </c>
      <c r="P13" s="319" t="s">
        <v>1420</v>
      </c>
      <c r="Q13" s="250"/>
    </row>
    <row r="14" spans="1:18" s="159" customFormat="1" ht="12.95" customHeight="1">
      <c r="A14" s="1771" t="s">
        <v>1502</v>
      </c>
      <c r="B14" s="1317">
        <v>23559.5</v>
      </c>
      <c r="C14" s="1317">
        <v>1.0300000000000002</v>
      </c>
      <c r="D14" s="1317">
        <v>2279.4000000000005</v>
      </c>
      <c r="E14" s="1317">
        <v>70501.5</v>
      </c>
      <c r="F14" s="1317">
        <v>56080.7</v>
      </c>
      <c r="G14" s="1317">
        <v>30016.640000000007</v>
      </c>
      <c r="H14" s="1317">
        <v>25471.140000000003</v>
      </c>
      <c r="I14" s="1317">
        <v>6975.1500000000005</v>
      </c>
      <c r="J14" s="1317">
        <v>1566.73</v>
      </c>
      <c r="K14" s="1317">
        <v>216451.78999999995</v>
      </c>
      <c r="L14" s="27">
        <v>649.49299999999994</v>
      </c>
      <c r="M14" s="27">
        <v>240.14999999999998</v>
      </c>
      <c r="N14" s="27">
        <v>454.72999999999996</v>
      </c>
      <c r="O14" s="27">
        <v>2095.779</v>
      </c>
      <c r="P14" s="252" t="s">
        <v>1502</v>
      </c>
    </row>
    <row r="15" spans="1:18" s="159" customFormat="1" ht="12.95" customHeight="1">
      <c r="A15" s="1772" t="s">
        <v>1555</v>
      </c>
      <c r="B15" s="289">
        <v>30455.91</v>
      </c>
      <c r="C15" s="289">
        <v>0.6</v>
      </c>
      <c r="D15" s="289">
        <v>2418.1799999999998</v>
      </c>
      <c r="E15" s="289">
        <v>86693.939999999988</v>
      </c>
      <c r="F15" s="289">
        <v>63786.770000000004</v>
      </c>
      <c r="G15" s="289">
        <v>38271.78</v>
      </c>
      <c r="H15" s="289">
        <v>30047.73</v>
      </c>
      <c r="I15" s="289">
        <v>8422.1200000000008</v>
      </c>
      <c r="J15" s="289">
        <v>1592.17</v>
      </c>
      <c r="K15" s="289">
        <v>261689.19999999995</v>
      </c>
      <c r="L15" s="289">
        <v>840.56999999999994</v>
      </c>
      <c r="M15" s="289">
        <v>87.8</v>
      </c>
      <c r="N15" s="289">
        <v>318.12</v>
      </c>
      <c r="O15" s="289">
        <v>9056.1600000000017</v>
      </c>
      <c r="P15" s="319" t="s">
        <v>1555</v>
      </c>
    </row>
    <row r="16" spans="1:18" s="159" customFormat="1" ht="12.95" customHeight="1">
      <c r="A16" s="1769" t="s">
        <v>1836</v>
      </c>
      <c r="B16" s="250">
        <v>35276.579999999994</v>
      </c>
      <c r="C16" s="250">
        <v>0.67</v>
      </c>
      <c r="D16" s="250">
        <v>3102.86</v>
      </c>
      <c r="E16" s="250">
        <v>102908.16</v>
      </c>
      <c r="F16" s="250">
        <v>72606.449999999983</v>
      </c>
      <c r="G16" s="250">
        <v>44328.739999999991</v>
      </c>
      <c r="H16" s="250">
        <v>31234.449999999997</v>
      </c>
      <c r="I16" s="250">
        <v>9817.81</v>
      </c>
      <c r="J16" s="250">
        <v>2358.12</v>
      </c>
      <c r="K16" s="250">
        <v>301633.83999999997</v>
      </c>
      <c r="L16" s="250">
        <v>860.08999999999992</v>
      </c>
      <c r="M16" s="250">
        <v>124.69</v>
      </c>
      <c r="N16" s="250">
        <v>230.06</v>
      </c>
      <c r="O16" s="250">
        <v>10402.980000000001</v>
      </c>
      <c r="P16" s="373" t="s">
        <v>1836</v>
      </c>
    </row>
    <row r="17" spans="1:16" s="159" customFormat="1" ht="12.95" customHeight="1">
      <c r="A17" s="1199" t="s">
        <v>2088</v>
      </c>
      <c r="B17" s="332">
        <v>37004.269999999997</v>
      </c>
      <c r="C17" s="332">
        <v>2.8599999999999985</v>
      </c>
      <c r="D17" s="332">
        <v>9855.0999999999985</v>
      </c>
      <c r="E17" s="332">
        <v>111791.82</v>
      </c>
      <c r="F17" s="332">
        <v>80994.319999999992</v>
      </c>
      <c r="G17" s="332">
        <v>45426.239999999998</v>
      </c>
      <c r="H17" s="332">
        <v>32980.19</v>
      </c>
      <c r="I17" s="332">
        <v>10298.98</v>
      </c>
      <c r="J17" s="332">
        <v>3148.3879999999999</v>
      </c>
      <c r="K17" s="332">
        <v>331502.16800000001</v>
      </c>
      <c r="L17" s="332">
        <v>1020.7299999999999</v>
      </c>
      <c r="M17" s="332">
        <v>142.55000000000001</v>
      </c>
      <c r="N17" s="332">
        <v>201.49</v>
      </c>
      <c r="O17" s="332">
        <v>15288.83</v>
      </c>
      <c r="P17" s="301" t="s">
        <v>2088</v>
      </c>
    </row>
    <row r="18" spans="1:16" s="159" customFormat="1" ht="12.95" customHeight="1">
      <c r="A18" s="101" t="s">
        <v>2227</v>
      </c>
      <c r="B18" s="339">
        <f>SUM(B19:B30)</f>
        <v>39603.270000000004</v>
      </c>
      <c r="C18" s="339">
        <f t="shared" ref="C18:K18" si="0">SUM(C19:C30)</f>
        <v>7.0000000000000007E-2</v>
      </c>
      <c r="D18" s="339">
        <f t="shared" si="0"/>
        <v>4305.6100000000006</v>
      </c>
      <c r="E18" s="339">
        <f t="shared" si="0"/>
        <v>125795.88</v>
      </c>
      <c r="F18" s="339">
        <f t="shared" si="0"/>
        <v>97064.340000000011</v>
      </c>
      <c r="G18" s="339">
        <f t="shared" si="0"/>
        <v>49520.630000000012</v>
      </c>
      <c r="H18" s="339">
        <f t="shared" si="0"/>
        <v>40123.919999999998</v>
      </c>
      <c r="I18" s="339">
        <f t="shared" si="0"/>
        <v>11425.590000000002</v>
      </c>
      <c r="J18" s="339">
        <f t="shared" si="0"/>
        <v>4192.3500000000004</v>
      </c>
      <c r="K18" s="339">
        <f t="shared" si="0"/>
        <v>372031.66000000003</v>
      </c>
      <c r="L18" s="339">
        <f>SUM(L19:L30)</f>
        <v>1134.81</v>
      </c>
      <c r="M18" s="339">
        <f t="shared" ref="M18" si="1">SUM(M19:M30)</f>
        <v>134.16</v>
      </c>
      <c r="N18" s="339">
        <f>SUM(N19:N30)</f>
        <v>111.3</v>
      </c>
      <c r="O18" s="339">
        <f>SUM(O19:O30)</f>
        <v>15004.31</v>
      </c>
      <c r="P18" s="460" t="s">
        <v>2227</v>
      </c>
    </row>
    <row r="19" spans="1:16" s="159" customFormat="1" ht="12.95" customHeight="1">
      <c r="A19" s="569" t="s">
        <v>559</v>
      </c>
      <c r="B19" s="289">
        <v>2987.04</v>
      </c>
      <c r="C19" s="289">
        <v>0.01</v>
      </c>
      <c r="D19" s="289">
        <v>157.72999999999999</v>
      </c>
      <c r="E19" s="289">
        <v>5559.12</v>
      </c>
      <c r="F19" s="289">
        <v>6616.48</v>
      </c>
      <c r="G19" s="289">
        <v>3805.48</v>
      </c>
      <c r="H19" s="289">
        <v>1652.78</v>
      </c>
      <c r="I19" s="289">
        <v>828.74</v>
      </c>
      <c r="J19" s="289">
        <f>109.63+105+0.35</f>
        <v>214.98</v>
      </c>
      <c r="K19" s="289">
        <f>SUM(B19:J19)</f>
        <v>21822.36</v>
      </c>
      <c r="L19" s="289">
        <v>74.92</v>
      </c>
      <c r="M19" s="289">
        <v>5.93</v>
      </c>
      <c r="N19" s="289">
        <v>7.22</v>
      </c>
      <c r="O19" s="289">
        <v>1059.07</v>
      </c>
      <c r="P19" s="299" t="s">
        <v>559</v>
      </c>
    </row>
    <row r="20" spans="1:16" s="159" customFormat="1" ht="12.95" customHeight="1">
      <c r="A20" s="233" t="s">
        <v>560</v>
      </c>
      <c r="B20" s="250">
        <v>3342.74</v>
      </c>
      <c r="C20" s="250">
        <v>0.01</v>
      </c>
      <c r="D20" s="250">
        <v>143.32</v>
      </c>
      <c r="E20" s="250">
        <v>6905.66</v>
      </c>
      <c r="F20" s="250">
        <v>6237.29</v>
      </c>
      <c r="G20" s="250">
        <v>4197.1499999999996</v>
      </c>
      <c r="H20" s="250">
        <v>3220.48</v>
      </c>
      <c r="I20" s="250">
        <v>913</v>
      </c>
      <c r="J20" s="250">
        <f>0.27+129.3+149.19</f>
        <v>278.76</v>
      </c>
      <c r="K20" s="250">
        <f>SUM(B20:J20)</f>
        <v>25238.409999999996</v>
      </c>
      <c r="L20" s="250">
        <v>92.12</v>
      </c>
      <c r="M20" s="250">
        <v>7.94</v>
      </c>
      <c r="N20" s="250">
        <v>7.15</v>
      </c>
      <c r="O20" s="250">
        <v>1401.42</v>
      </c>
      <c r="P20" s="204" t="s">
        <v>560</v>
      </c>
    </row>
    <row r="21" spans="1:16" s="159" customFormat="1" ht="12.95" customHeight="1">
      <c r="A21" s="569" t="s">
        <v>554</v>
      </c>
      <c r="B21" s="289">
        <v>3045.82</v>
      </c>
      <c r="C21" s="289">
        <v>0</v>
      </c>
      <c r="D21" s="289">
        <v>161.5</v>
      </c>
      <c r="E21" s="289">
        <v>10267.969999999999</v>
      </c>
      <c r="F21" s="289">
        <v>6441.03</v>
      </c>
      <c r="G21" s="289">
        <v>3972.51</v>
      </c>
      <c r="H21" s="289">
        <v>3453.83</v>
      </c>
      <c r="I21" s="289">
        <v>778.83</v>
      </c>
      <c r="J21" s="289">
        <f>0.17+125.6+179.67</f>
        <v>305.44</v>
      </c>
      <c r="K21" s="289">
        <f>SUM(B21:J21)</f>
        <v>28426.930000000004</v>
      </c>
      <c r="L21" s="289">
        <v>78.34</v>
      </c>
      <c r="M21" s="289">
        <v>7.67</v>
      </c>
      <c r="N21" s="289">
        <v>7.54</v>
      </c>
      <c r="O21" s="289">
        <v>1158.97</v>
      </c>
      <c r="P21" s="299" t="s">
        <v>554</v>
      </c>
    </row>
    <row r="22" spans="1:16" s="159" customFormat="1" ht="12.95" customHeight="1">
      <c r="A22" s="233" t="s">
        <v>561</v>
      </c>
      <c r="B22" s="250">
        <v>3291.55</v>
      </c>
      <c r="C22" s="250">
        <v>0.02</v>
      </c>
      <c r="D22" s="250">
        <v>153.91</v>
      </c>
      <c r="E22" s="250">
        <v>7939.61</v>
      </c>
      <c r="F22" s="250">
        <v>6794.19</v>
      </c>
      <c r="G22" s="250">
        <v>4295.1899999999996</v>
      </c>
      <c r="H22" s="250">
        <v>3045.22</v>
      </c>
      <c r="I22" s="250">
        <v>942.34</v>
      </c>
      <c r="J22" s="250">
        <f>2.27+170.74+212.3</f>
        <v>385.31000000000006</v>
      </c>
      <c r="K22" s="250">
        <f>SUM(B22:J22)</f>
        <v>26847.34</v>
      </c>
      <c r="L22" s="250">
        <v>84.55</v>
      </c>
      <c r="M22" s="250">
        <v>8.3000000000000007</v>
      </c>
      <c r="N22" s="250">
        <v>8.59</v>
      </c>
      <c r="O22" s="250">
        <v>1137.2</v>
      </c>
      <c r="P22" s="204" t="s">
        <v>561</v>
      </c>
    </row>
    <row r="23" spans="1:16" s="159" customFormat="1" ht="12.95" customHeight="1">
      <c r="A23" s="569" t="s">
        <v>562</v>
      </c>
      <c r="B23" s="289">
        <v>3354.53</v>
      </c>
      <c r="C23" s="289">
        <v>0</v>
      </c>
      <c r="D23" s="289">
        <v>148.82</v>
      </c>
      <c r="E23" s="289">
        <v>7897.73</v>
      </c>
      <c r="F23" s="289">
        <v>8151.29</v>
      </c>
      <c r="G23" s="289">
        <v>4398.3500000000004</v>
      </c>
      <c r="H23" s="289">
        <v>3082.13</v>
      </c>
      <c r="I23" s="289">
        <v>1018.2</v>
      </c>
      <c r="J23" s="289">
        <f>0+92.92+207.87</f>
        <v>300.79000000000002</v>
      </c>
      <c r="K23" s="289">
        <f>SUM(B23:J23)</f>
        <v>28351.840000000004</v>
      </c>
      <c r="L23" s="289">
        <v>82.22</v>
      </c>
      <c r="M23" s="289">
        <v>11.14</v>
      </c>
      <c r="N23" s="289">
        <v>7.67</v>
      </c>
      <c r="O23" s="289">
        <v>1379.5</v>
      </c>
      <c r="P23" s="299" t="s">
        <v>562</v>
      </c>
    </row>
    <row r="24" spans="1:16" s="159" customFormat="1" ht="12.95" customHeight="1">
      <c r="A24" s="233" t="s">
        <v>555</v>
      </c>
      <c r="B24" s="250">
        <v>2975.63</v>
      </c>
      <c r="C24" s="250">
        <v>0</v>
      </c>
      <c r="D24" s="250">
        <v>141.52000000000001</v>
      </c>
      <c r="E24" s="250">
        <v>10376.280000000001</v>
      </c>
      <c r="F24" s="250">
        <v>6677.34</v>
      </c>
      <c r="G24" s="250">
        <v>3782.91</v>
      </c>
      <c r="H24" s="250">
        <v>2698.7</v>
      </c>
      <c r="I24" s="250">
        <v>868.95</v>
      </c>
      <c r="J24" s="250">
        <f>0.03+106.67+175.2</f>
        <v>281.89999999999998</v>
      </c>
      <c r="K24" s="250">
        <f>B24+C24+D24+E24+F24+G24+H24+I24+J24</f>
        <v>27803.230000000003</v>
      </c>
      <c r="L24" s="250">
        <v>80.08</v>
      </c>
      <c r="M24" s="250">
        <v>11.47</v>
      </c>
      <c r="N24" s="250">
        <v>6.96</v>
      </c>
      <c r="O24" s="250">
        <v>1310.52</v>
      </c>
      <c r="P24" s="204" t="s">
        <v>555</v>
      </c>
    </row>
    <row r="25" spans="1:16" s="159" customFormat="1" ht="12.95" customHeight="1">
      <c r="A25" s="569" t="s">
        <v>563</v>
      </c>
      <c r="B25" s="289">
        <v>3525.79</v>
      </c>
      <c r="C25" s="289">
        <v>0.01</v>
      </c>
      <c r="D25" s="289">
        <v>2235.58</v>
      </c>
      <c r="E25" s="289">
        <v>10828.56</v>
      </c>
      <c r="F25" s="289">
        <v>7376.37</v>
      </c>
      <c r="G25" s="289">
        <v>4197.1400000000003</v>
      </c>
      <c r="H25" s="289">
        <v>3582.81</v>
      </c>
      <c r="I25" s="289">
        <v>1117.52</v>
      </c>
      <c r="J25" s="289">
        <f>1.61+158.45+191.26</f>
        <v>351.32</v>
      </c>
      <c r="K25" s="289">
        <f>B25+C25+D25+E25+F25+G25+H25+I25+J25</f>
        <v>33215.1</v>
      </c>
      <c r="L25" s="289">
        <v>89.21</v>
      </c>
      <c r="M25" s="289">
        <v>11.74</v>
      </c>
      <c r="N25" s="289">
        <v>8.51</v>
      </c>
      <c r="O25" s="289">
        <v>1268.06</v>
      </c>
      <c r="P25" s="299" t="s">
        <v>563</v>
      </c>
    </row>
    <row r="26" spans="1:16" s="159" customFormat="1" ht="12.95" customHeight="1">
      <c r="A26" s="1405" t="s">
        <v>564</v>
      </c>
      <c r="B26" s="1317">
        <v>3128.78</v>
      </c>
      <c r="C26" s="1317">
        <v>0.01</v>
      </c>
      <c r="D26" s="1317">
        <v>452.71</v>
      </c>
      <c r="E26" s="1317">
        <v>8215.3799999999992</v>
      </c>
      <c r="F26" s="1317">
        <v>6596.68</v>
      </c>
      <c r="G26" s="1317">
        <v>3593.22</v>
      </c>
      <c r="H26" s="1317">
        <v>3340.35</v>
      </c>
      <c r="I26" s="1317">
        <v>942.77</v>
      </c>
      <c r="J26" s="1317">
        <f>1.64+279.98+199.91</f>
        <v>481.53</v>
      </c>
      <c r="K26" s="1317">
        <f>B26+C26+D26+E26+F26+G26+H26+I26+J26</f>
        <v>26751.429999999997</v>
      </c>
      <c r="L26" s="1317">
        <v>80.7</v>
      </c>
      <c r="M26" s="1317">
        <v>14.47</v>
      </c>
      <c r="N26" s="1317">
        <v>8.02</v>
      </c>
      <c r="O26" s="1317">
        <v>1320.59</v>
      </c>
      <c r="P26" s="1406" t="s">
        <v>564</v>
      </c>
    </row>
    <row r="27" spans="1:16" s="159" customFormat="1" ht="12.95" customHeight="1">
      <c r="A27" s="569" t="s">
        <v>556</v>
      </c>
      <c r="B27" s="289">
        <v>3563.57</v>
      </c>
      <c r="C27" s="289">
        <v>0</v>
      </c>
      <c r="D27" s="289">
        <v>220.11</v>
      </c>
      <c r="E27" s="289">
        <v>11762.7</v>
      </c>
      <c r="F27" s="289">
        <v>6798.42</v>
      </c>
      <c r="G27" s="289">
        <v>3983.03</v>
      </c>
      <c r="H27" s="289">
        <v>3665.46</v>
      </c>
      <c r="I27" s="289">
        <v>1142.3699999999999</v>
      </c>
      <c r="J27" s="289">
        <f>1.55+272.81+210.73</f>
        <v>485.09000000000003</v>
      </c>
      <c r="K27" s="289">
        <f>B27+C27+D27+E27+F27+G27+H27+I27+J27</f>
        <v>31620.75</v>
      </c>
      <c r="L27" s="289">
        <v>73.67</v>
      </c>
      <c r="M27" s="289">
        <v>14.52</v>
      </c>
      <c r="N27" s="289">
        <v>17.62</v>
      </c>
      <c r="O27" s="289">
        <v>1390.98</v>
      </c>
      <c r="P27" s="299" t="s">
        <v>556</v>
      </c>
    </row>
    <row r="28" spans="1:16" s="159" customFormat="1" ht="12.95" customHeight="1">
      <c r="A28" s="1405" t="s">
        <v>565</v>
      </c>
      <c r="B28" s="1317">
        <v>3324.82</v>
      </c>
      <c r="C28" s="1317">
        <v>0</v>
      </c>
      <c r="D28" s="1317">
        <v>188.86</v>
      </c>
      <c r="E28" s="1317">
        <v>8444.0300000000007</v>
      </c>
      <c r="F28" s="1317">
        <v>7681.02</v>
      </c>
      <c r="G28" s="1317">
        <v>4057.8</v>
      </c>
      <c r="H28" s="1317">
        <v>3638.39</v>
      </c>
      <c r="I28" s="1317">
        <v>876.93</v>
      </c>
      <c r="J28" s="1317">
        <f>0.76+196.99+240.78</f>
        <v>438.53</v>
      </c>
      <c r="K28" s="1317">
        <f t="shared" ref="K28:K50" si="2">B28+C28+D28+E28+F28+G28+H28+I28+J28</f>
        <v>28650.38</v>
      </c>
      <c r="L28" s="1317">
        <v>69.81</v>
      </c>
      <c r="M28" s="1317">
        <v>13.19</v>
      </c>
      <c r="N28" s="1317">
        <v>6.16</v>
      </c>
      <c r="O28" s="1317">
        <v>1009.42</v>
      </c>
      <c r="P28" s="1406" t="s">
        <v>565</v>
      </c>
    </row>
    <row r="29" spans="1:16" s="159" customFormat="1" ht="12.95" customHeight="1">
      <c r="A29" s="569" t="s">
        <v>566</v>
      </c>
      <c r="B29" s="289">
        <v>3597.27</v>
      </c>
      <c r="C29" s="289">
        <v>0.01</v>
      </c>
      <c r="D29" s="289">
        <v>116.41</v>
      </c>
      <c r="E29" s="289">
        <v>11733.69</v>
      </c>
      <c r="F29" s="289">
        <v>7860.1</v>
      </c>
      <c r="G29" s="289">
        <v>4382.3</v>
      </c>
      <c r="H29" s="289">
        <v>5850.07</v>
      </c>
      <c r="I29" s="289">
        <v>1058.6600000000001</v>
      </c>
      <c r="J29" s="289">
        <f>128.56+99.41+175.5</f>
        <v>403.47</v>
      </c>
      <c r="K29" s="289">
        <f t="shared" si="2"/>
        <v>35001.98000000001</v>
      </c>
      <c r="L29" s="289">
        <v>95.64</v>
      </c>
      <c r="M29" s="289">
        <v>9.98</v>
      </c>
      <c r="N29" s="289">
        <v>13.99</v>
      </c>
      <c r="O29" s="289">
        <v>1308.57</v>
      </c>
      <c r="P29" s="299" t="s">
        <v>566</v>
      </c>
    </row>
    <row r="30" spans="1:16" s="159" customFormat="1" ht="12.95" customHeight="1">
      <c r="A30" s="233" t="s">
        <v>557</v>
      </c>
      <c r="B30" s="250">
        <v>3465.73</v>
      </c>
      <c r="C30" s="250">
        <v>0</v>
      </c>
      <c r="D30" s="250">
        <v>185.14</v>
      </c>
      <c r="E30" s="250">
        <v>25865.15</v>
      </c>
      <c r="F30" s="250">
        <v>19834.13</v>
      </c>
      <c r="G30" s="250">
        <v>4855.55</v>
      </c>
      <c r="H30" s="250">
        <v>2893.7</v>
      </c>
      <c r="I30" s="250">
        <v>937.28</v>
      </c>
      <c r="J30" s="250">
        <f>0.01+82.67+182.55</f>
        <v>265.23</v>
      </c>
      <c r="K30" s="250">
        <f t="shared" si="2"/>
        <v>58301.91</v>
      </c>
      <c r="L30" s="250">
        <v>233.55</v>
      </c>
      <c r="M30" s="250">
        <v>17.809999999999999</v>
      </c>
      <c r="N30" s="250">
        <v>11.87</v>
      </c>
      <c r="O30" s="250">
        <v>1260.01</v>
      </c>
      <c r="P30" s="204" t="s">
        <v>557</v>
      </c>
    </row>
    <row r="31" spans="1:16" s="159" customFormat="1" ht="12.95" customHeight="1">
      <c r="A31" s="1199" t="s">
        <v>2500</v>
      </c>
      <c r="B31" s="332">
        <f>SUM(B32:B43)</f>
        <v>38077.460000000006</v>
      </c>
      <c r="C31" s="332">
        <f t="shared" ref="C31:J31" si="3">SUM(C32:C43)</f>
        <v>3</v>
      </c>
      <c r="D31" s="332">
        <f t="shared" si="3"/>
        <v>5370.9299999999994</v>
      </c>
      <c r="E31" s="332">
        <f t="shared" si="3"/>
        <v>126980.18000000001</v>
      </c>
      <c r="F31" s="332">
        <f t="shared" si="3"/>
        <v>86509.1</v>
      </c>
      <c r="G31" s="332">
        <f t="shared" si="3"/>
        <v>51003.740000000005</v>
      </c>
      <c r="H31" s="332">
        <f t="shared" si="3"/>
        <v>45540.33</v>
      </c>
      <c r="I31" s="332">
        <f t="shared" si="3"/>
        <v>11112.179999999998</v>
      </c>
      <c r="J31" s="332">
        <f t="shared" si="3"/>
        <v>6279.5</v>
      </c>
      <c r="K31" s="332">
        <f>SUM(K32:K43)</f>
        <v>370876.42</v>
      </c>
      <c r="L31" s="332"/>
      <c r="M31" s="332"/>
      <c r="N31" s="332"/>
      <c r="O31" s="332"/>
      <c r="P31" s="301" t="s">
        <v>2500</v>
      </c>
    </row>
    <row r="32" spans="1:16" s="159" customFormat="1" ht="12.95" customHeight="1">
      <c r="A32" s="233" t="s">
        <v>559</v>
      </c>
      <c r="B32" s="250">
        <v>3182</v>
      </c>
      <c r="C32" s="250">
        <v>0</v>
      </c>
      <c r="D32" s="250">
        <v>149.49</v>
      </c>
      <c r="E32" s="250">
        <v>5027.3</v>
      </c>
      <c r="F32" s="250">
        <v>6463.57</v>
      </c>
      <c r="G32" s="250">
        <v>4151.45</v>
      </c>
      <c r="H32" s="250">
        <v>1618.2</v>
      </c>
      <c r="I32" s="250">
        <v>837.04</v>
      </c>
      <c r="J32" s="250">
        <f>1.64+338+147.39</f>
        <v>487.03</v>
      </c>
      <c r="K32" s="250">
        <f t="shared" si="2"/>
        <v>21916.080000000002</v>
      </c>
      <c r="L32" s="250">
        <v>69.930000000000007</v>
      </c>
      <c r="M32" s="250">
        <v>5.6070000000000002</v>
      </c>
      <c r="N32" s="250">
        <v>7.0549999999999997</v>
      </c>
      <c r="O32" s="250">
        <v>1161</v>
      </c>
      <c r="P32" s="204" t="s">
        <v>559</v>
      </c>
    </row>
    <row r="33" spans="1:18" s="159" customFormat="1" ht="12.95" customHeight="1">
      <c r="A33" s="569" t="s">
        <v>560</v>
      </c>
      <c r="B33" s="289">
        <v>2999.57</v>
      </c>
      <c r="C33" s="289">
        <v>0</v>
      </c>
      <c r="D33" s="289">
        <v>137.88</v>
      </c>
      <c r="E33" s="289">
        <v>6644.85</v>
      </c>
      <c r="F33" s="289">
        <v>5372.67</v>
      </c>
      <c r="G33" s="289">
        <v>4251.45</v>
      </c>
      <c r="H33" s="289">
        <v>2433</v>
      </c>
      <c r="I33" s="289">
        <v>756.47</v>
      </c>
      <c r="J33" s="289">
        <f>1.47+338.13+153.88</f>
        <v>493.48</v>
      </c>
      <c r="K33" s="289">
        <f t="shared" si="2"/>
        <v>23089.370000000003</v>
      </c>
      <c r="L33" s="289">
        <v>62.46</v>
      </c>
      <c r="M33" s="289">
        <v>8.2799999999999994</v>
      </c>
      <c r="N33" s="289">
        <v>5.4909999999999997</v>
      </c>
      <c r="O33" s="289">
        <v>995.33</v>
      </c>
      <c r="P33" s="299" t="s">
        <v>560</v>
      </c>
    </row>
    <row r="34" spans="1:18" s="159" customFormat="1" ht="12.95" customHeight="1">
      <c r="A34" s="233" t="s">
        <v>554</v>
      </c>
      <c r="B34" s="250">
        <v>3219.87</v>
      </c>
      <c r="C34" s="250">
        <v>0</v>
      </c>
      <c r="D34" s="250">
        <v>145.88</v>
      </c>
      <c r="E34" s="250">
        <v>11908.81</v>
      </c>
      <c r="F34" s="250">
        <v>6178.67</v>
      </c>
      <c r="G34" s="250">
        <v>4333.7700000000004</v>
      </c>
      <c r="H34" s="250">
        <v>3330.31</v>
      </c>
      <c r="I34" s="250">
        <v>903.85</v>
      </c>
      <c r="J34" s="250">
        <f>1.45+328.13+198.88</f>
        <v>528.46</v>
      </c>
      <c r="K34" s="250">
        <f t="shared" si="2"/>
        <v>30549.62</v>
      </c>
      <c r="L34" s="250">
        <v>85.18</v>
      </c>
      <c r="M34" s="250">
        <v>7.9690000000000003</v>
      </c>
      <c r="N34" s="250">
        <v>25.361000000000001</v>
      </c>
      <c r="O34" s="250">
        <v>1340.74</v>
      </c>
      <c r="P34" s="204" t="s">
        <v>554</v>
      </c>
      <c r="R34" s="239"/>
    </row>
    <row r="35" spans="1:18" s="159" customFormat="1" ht="12.95" customHeight="1">
      <c r="A35" s="569" t="s">
        <v>561</v>
      </c>
      <c r="B35" s="289">
        <v>3355.89</v>
      </c>
      <c r="C35" s="289">
        <v>0</v>
      </c>
      <c r="D35" s="289">
        <v>202.27</v>
      </c>
      <c r="E35" s="289">
        <v>8338.8700000000008</v>
      </c>
      <c r="F35" s="289">
        <v>6709.11</v>
      </c>
      <c r="G35" s="289">
        <v>4324.8</v>
      </c>
      <c r="H35" s="289">
        <v>3421</v>
      </c>
      <c r="I35" s="289">
        <v>927.8</v>
      </c>
      <c r="J35" s="289">
        <f>1.62+394.78+178.25</f>
        <v>574.65</v>
      </c>
      <c r="K35" s="289">
        <f t="shared" si="2"/>
        <v>27854.39</v>
      </c>
      <c r="L35" s="289">
        <v>86.7</v>
      </c>
      <c r="M35" s="289">
        <v>6.6929999999999996</v>
      </c>
      <c r="N35" s="289">
        <v>9.3740000000000006</v>
      </c>
      <c r="O35" s="289">
        <v>1311.27</v>
      </c>
      <c r="P35" s="299" t="s">
        <v>561</v>
      </c>
    </row>
    <row r="36" spans="1:18" s="159" customFormat="1" ht="12.95" customHeight="1">
      <c r="A36" s="233" t="s">
        <v>562</v>
      </c>
      <c r="B36" s="250">
        <v>2801.44</v>
      </c>
      <c r="C36" s="250">
        <v>0</v>
      </c>
      <c r="D36" s="250">
        <v>357</v>
      </c>
      <c r="E36" s="250">
        <v>8198.93</v>
      </c>
      <c r="F36" s="250">
        <v>6425.42</v>
      </c>
      <c r="G36" s="250">
        <v>3722.4</v>
      </c>
      <c r="H36" s="250">
        <v>3050</v>
      </c>
      <c r="I36" s="250">
        <v>945.45</v>
      </c>
      <c r="J36" s="250">
        <f>1+343+125.6</f>
        <v>469.6</v>
      </c>
      <c r="K36" s="250">
        <f t="shared" si="2"/>
        <v>25970.240000000002</v>
      </c>
      <c r="L36" s="250">
        <v>70.599999999999994</v>
      </c>
      <c r="M36" s="250">
        <v>8.7609999999999992</v>
      </c>
      <c r="N36" s="250">
        <v>11.776</v>
      </c>
      <c r="O36" s="250">
        <v>1192.6199999999999</v>
      </c>
      <c r="P36" s="204" t="s">
        <v>562</v>
      </c>
    </row>
    <row r="37" spans="1:18" s="159" customFormat="1" ht="12.95" customHeight="1">
      <c r="A37" s="569" t="s">
        <v>555</v>
      </c>
      <c r="B37" s="289">
        <v>3248.23</v>
      </c>
      <c r="C37" s="289">
        <v>3</v>
      </c>
      <c r="D37" s="289">
        <v>303</v>
      </c>
      <c r="E37" s="289">
        <v>12802.69</v>
      </c>
      <c r="F37" s="289">
        <v>7078.25</v>
      </c>
      <c r="G37" s="289">
        <v>4543</v>
      </c>
      <c r="H37" s="289">
        <v>3459</v>
      </c>
      <c r="I37" s="289">
        <v>982</v>
      </c>
      <c r="J37" s="289">
        <f>2+173.41+234.63</f>
        <v>410.03999999999996</v>
      </c>
      <c r="K37" s="289">
        <f t="shared" si="2"/>
        <v>32829.21</v>
      </c>
      <c r="L37" s="289">
        <v>11.9</v>
      </c>
      <c r="M37" s="289">
        <v>10.862</v>
      </c>
      <c r="N37" s="289">
        <v>11.019</v>
      </c>
      <c r="O37" s="289">
        <v>1285.6600000000001</v>
      </c>
      <c r="P37" s="299" t="s">
        <v>555</v>
      </c>
    </row>
    <row r="38" spans="1:18" s="159" customFormat="1" ht="12.95" customHeight="1">
      <c r="A38" s="233" t="s">
        <v>563</v>
      </c>
      <c r="B38" s="250">
        <v>3316.15</v>
      </c>
      <c r="C38" s="250">
        <v>0</v>
      </c>
      <c r="D38" s="250">
        <v>2568.4499999999998</v>
      </c>
      <c r="E38" s="250">
        <v>12090.06</v>
      </c>
      <c r="F38" s="250">
        <v>7435.29</v>
      </c>
      <c r="G38" s="250">
        <v>4385.42</v>
      </c>
      <c r="H38" s="250">
        <v>4177.4799999999996</v>
      </c>
      <c r="I38" s="250">
        <v>992.57</v>
      </c>
      <c r="J38" s="250">
        <f>1.67+711.42+202.57</f>
        <v>915.65999999999985</v>
      </c>
      <c r="K38" s="250">
        <f t="shared" si="2"/>
        <v>35881.08</v>
      </c>
      <c r="L38" s="250">
        <v>78.400000000000006</v>
      </c>
      <c r="M38" s="250">
        <v>12.86</v>
      </c>
      <c r="N38" s="250">
        <v>16.649000000000001</v>
      </c>
      <c r="O38" s="250">
        <v>1337.42</v>
      </c>
      <c r="P38" s="204" t="s">
        <v>563</v>
      </c>
    </row>
    <row r="39" spans="1:18" s="159" customFormat="1" ht="12.95" customHeight="1">
      <c r="A39" s="569" t="s">
        <v>564</v>
      </c>
      <c r="B39" s="289">
        <v>3025.68</v>
      </c>
      <c r="C39" s="289">
        <v>0</v>
      </c>
      <c r="D39" s="289">
        <v>735.25</v>
      </c>
      <c r="E39" s="289">
        <v>9097.85</v>
      </c>
      <c r="F39" s="289">
        <v>6609.69</v>
      </c>
      <c r="G39" s="289">
        <v>3756.55</v>
      </c>
      <c r="H39" s="289">
        <v>3450.7</v>
      </c>
      <c r="I39" s="289">
        <v>1122</v>
      </c>
      <c r="J39" s="289">
        <f>1.1+269.25+187.46</f>
        <v>457.81000000000006</v>
      </c>
      <c r="K39" s="289">
        <f t="shared" si="2"/>
        <v>28255.530000000002</v>
      </c>
      <c r="L39" s="289">
        <v>77.900000000000006</v>
      </c>
      <c r="M39" s="289">
        <v>10.831</v>
      </c>
      <c r="N39" s="289">
        <v>11.448</v>
      </c>
      <c r="O39" s="289">
        <v>1485.73</v>
      </c>
      <c r="P39" s="299" t="s">
        <v>564</v>
      </c>
    </row>
    <row r="40" spans="1:18" s="159" customFormat="1" ht="12.95" customHeight="1">
      <c r="A40" s="1342" t="s">
        <v>556</v>
      </c>
      <c r="B40" s="526">
        <v>3161.12</v>
      </c>
      <c r="C40" s="526">
        <v>0</v>
      </c>
      <c r="D40" s="526">
        <v>226</v>
      </c>
      <c r="E40" s="526">
        <v>12809</v>
      </c>
      <c r="F40" s="526">
        <v>7310.55</v>
      </c>
      <c r="G40" s="526">
        <v>4090.54</v>
      </c>
      <c r="H40" s="526">
        <v>3551</v>
      </c>
      <c r="I40" s="526">
        <v>1094.53</v>
      </c>
      <c r="J40" s="526">
        <f>1+216+189.67</f>
        <v>406.66999999999996</v>
      </c>
      <c r="K40" s="526">
        <f t="shared" si="2"/>
        <v>32649.409999999996</v>
      </c>
      <c r="L40" s="526">
        <v>75.099999999999994</v>
      </c>
      <c r="M40" s="526">
        <v>9.3030000000000008</v>
      </c>
      <c r="N40" s="526">
        <v>12.815</v>
      </c>
      <c r="O40" s="526">
        <v>1213.76</v>
      </c>
      <c r="P40" s="1534" t="s">
        <v>556</v>
      </c>
    </row>
    <row r="41" spans="1:18" s="159" customFormat="1" ht="12.95" customHeight="1">
      <c r="A41" s="1599" t="s">
        <v>565</v>
      </c>
      <c r="B41" s="875">
        <v>3411.45</v>
      </c>
      <c r="C41" s="875">
        <v>0</v>
      </c>
      <c r="D41" s="875">
        <v>188.19</v>
      </c>
      <c r="E41" s="875">
        <v>9521.7999999999993</v>
      </c>
      <c r="F41" s="875">
        <v>8544.65</v>
      </c>
      <c r="G41" s="875">
        <v>4627.57</v>
      </c>
      <c r="H41" s="875">
        <v>8979.68</v>
      </c>
      <c r="I41" s="875">
        <v>896.3</v>
      </c>
      <c r="J41" s="875">
        <f>1+259+174.5</f>
        <v>434.5</v>
      </c>
      <c r="K41" s="875">
        <f t="shared" si="2"/>
        <v>36604.14</v>
      </c>
      <c r="L41" s="875">
        <v>102.8</v>
      </c>
      <c r="M41" s="875">
        <v>9.3889999999999993</v>
      </c>
      <c r="N41" s="875">
        <v>8.0370000000000008</v>
      </c>
      <c r="O41" s="875">
        <v>1228.3699999999999</v>
      </c>
      <c r="P41" s="1600" t="s">
        <v>565</v>
      </c>
    </row>
    <row r="42" spans="1:18" s="159" customFormat="1" ht="12.95" customHeight="1">
      <c r="A42" s="1342" t="s">
        <v>566</v>
      </c>
      <c r="B42" s="526">
        <v>3563.65</v>
      </c>
      <c r="C42" s="526">
        <v>0</v>
      </c>
      <c r="D42" s="526">
        <v>160.52000000000001</v>
      </c>
      <c r="E42" s="526">
        <v>9179.02</v>
      </c>
      <c r="F42" s="526">
        <v>7161.23</v>
      </c>
      <c r="G42" s="526">
        <v>4948.58</v>
      </c>
      <c r="H42" s="526">
        <v>5603.96</v>
      </c>
      <c r="I42" s="526">
        <v>949</v>
      </c>
      <c r="J42" s="526">
        <f>1+449.1+168.73</f>
        <v>618.83000000000004</v>
      </c>
      <c r="K42" s="526">
        <f t="shared" si="2"/>
        <v>32184.79</v>
      </c>
      <c r="L42" s="526">
        <v>132</v>
      </c>
      <c r="M42" s="526">
        <v>9.7739999999999991</v>
      </c>
      <c r="N42" s="526">
        <v>10.795</v>
      </c>
      <c r="O42" s="526">
        <v>155.50399999999999</v>
      </c>
      <c r="P42" s="1534" t="s">
        <v>566</v>
      </c>
    </row>
    <row r="43" spans="1:18" s="159" customFormat="1" ht="12.95" customHeight="1">
      <c r="A43" s="1599" t="s">
        <v>557</v>
      </c>
      <c r="B43" s="875">
        <v>2792.41</v>
      </c>
      <c r="C43" s="875">
        <v>0</v>
      </c>
      <c r="D43" s="875">
        <v>197</v>
      </c>
      <c r="E43" s="875">
        <v>21361</v>
      </c>
      <c r="F43" s="875">
        <v>11220</v>
      </c>
      <c r="G43" s="875">
        <v>3868.21</v>
      </c>
      <c r="H43" s="875">
        <v>2466</v>
      </c>
      <c r="I43" s="875">
        <v>705.17</v>
      </c>
      <c r="J43" s="875">
        <f>0.77+330+152</f>
        <v>482.77</v>
      </c>
      <c r="K43" s="875">
        <f t="shared" si="2"/>
        <v>43092.56</v>
      </c>
      <c r="L43" s="875">
        <v>301.60000000000002</v>
      </c>
      <c r="M43" s="875">
        <v>8.9649999999999999</v>
      </c>
      <c r="N43" s="875">
        <v>12.294</v>
      </c>
      <c r="O43" s="875">
        <v>134.12100000000001</v>
      </c>
      <c r="P43" s="1600" t="s">
        <v>557</v>
      </c>
    </row>
    <row r="44" spans="1:18" s="159" customFormat="1" ht="12.95" customHeight="1">
      <c r="A44" s="101" t="s">
        <v>2754</v>
      </c>
      <c r="B44" s="52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460" t="s">
        <v>2754</v>
      </c>
    </row>
    <row r="45" spans="1:18" s="159" customFormat="1" ht="12.95" customHeight="1">
      <c r="A45" s="569" t="s">
        <v>559</v>
      </c>
      <c r="B45" s="875">
        <v>3518.76</v>
      </c>
      <c r="C45" s="875">
        <v>0</v>
      </c>
      <c r="D45" s="875">
        <v>161</v>
      </c>
      <c r="E45" s="875">
        <v>6132.54</v>
      </c>
      <c r="F45" s="875">
        <v>6930</v>
      </c>
      <c r="G45" s="875">
        <v>5263</v>
      </c>
      <c r="H45" s="875">
        <v>4027</v>
      </c>
      <c r="I45" s="875">
        <v>820.8</v>
      </c>
      <c r="J45" s="875">
        <f>235+168.43+0</f>
        <v>403.43</v>
      </c>
      <c r="K45" s="875">
        <f t="shared" si="2"/>
        <v>27256.53</v>
      </c>
      <c r="L45" s="875">
        <v>89.49</v>
      </c>
      <c r="M45" s="875">
        <v>6.3360000000000003</v>
      </c>
      <c r="N45" s="875">
        <v>9.9550000000000001</v>
      </c>
      <c r="O45" s="875">
        <v>141.001</v>
      </c>
      <c r="P45" s="299" t="s">
        <v>559</v>
      </c>
    </row>
    <row r="46" spans="1:18" s="159" customFormat="1" ht="12.95" customHeight="1">
      <c r="A46" s="233" t="s">
        <v>560</v>
      </c>
      <c r="B46" s="526">
        <v>2779</v>
      </c>
      <c r="C46" s="526">
        <v>0</v>
      </c>
      <c r="D46" s="526">
        <v>201</v>
      </c>
      <c r="E46" s="526">
        <v>8247</v>
      </c>
      <c r="F46" s="526">
        <v>6819</v>
      </c>
      <c r="G46" s="526">
        <v>3982</v>
      </c>
      <c r="H46" s="526">
        <v>3808</v>
      </c>
      <c r="I46" s="526">
        <v>886</v>
      </c>
      <c r="J46" s="526">
        <f>0+256+196</f>
        <v>452</v>
      </c>
      <c r="K46" s="526">
        <f t="shared" si="2"/>
        <v>27174</v>
      </c>
      <c r="L46" s="526">
        <v>90.13</v>
      </c>
      <c r="M46" s="526">
        <v>9.1479999999999997</v>
      </c>
      <c r="N46" s="526">
        <v>9.8550000000000004</v>
      </c>
      <c r="O46" s="526">
        <v>158.82599999999999</v>
      </c>
      <c r="P46" s="204" t="s">
        <v>560</v>
      </c>
    </row>
    <row r="47" spans="1:18" s="159" customFormat="1" ht="12.95" customHeight="1">
      <c r="A47" s="569" t="s">
        <v>554</v>
      </c>
      <c r="B47" s="875">
        <v>3490</v>
      </c>
      <c r="C47" s="875">
        <v>0</v>
      </c>
      <c r="D47" s="875">
        <v>199</v>
      </c>
      <c r="E47" s="875">
        <v>13367.76</v>
      </c>
      <c r="F47" s="875">
        <v>7575</v>
      </c>
      <c r="G47" s="875">
        <v>5624</v>
      </c>
      <c r="H47" s="875">
        <v>4332</v>
      </c>
      <c r="I47" s="875">
        <v>1167</v>
      </c>
      <c r="J47" s="875">
        <f>0+452.24+202</f>
        <v>654.24</v>
      </c>
      <c r="K47" s="875">
        <f t="shared" si="2"/>
        <v>36409</v>
      </c>
      <c r="L47" s="875">
        <v>85.7</v>
      </c>
      <c r="M47" s="875">
        <v>9.6180000000000003</v>
      </c>
      <c r="N47" s="875">
        <v>9.0530000000000008</v>
      </c>
      <c r="O47" s="875">
        <v>181.38499999999999</v>
      </c>
      <c r="P47" s="299" t="s">
        <v>554</v>
      </c>
    </row>
    <row r="48" spans="1:18" s="159" customFormat="1" ht="12.95" customHeight="1">
      <c r="A48" s="233" t="s">
        <v>561</v>
      </c>
      <c r="B48" s="526">
        <v>2455</v>
      </c>
      <c r="C48" s="526">
        <v>0</v>
      </c>
      <c r="D48" s="526">
        <v>213.76</v>
      </c>
      <c r="E48" s="526">
        <v>9164</v>
      </c>
      <c r="F48" s="526">
        <v>7109</v>
      </c>
      <c r="G48" s="526">
        <v>3835</v>
      </c>
      <c r="H48" s="526">
        <v>4112</v>
      </c>
      <c r="I48" s="526">
        <v>962</v>
      </c>
      <c r="J48" s="526">
        <f>0+449+214.89</f>
        <v>663.89</v>
      </c>
      <c r="K48" s="526">
        <f t="shared" si="2"/>
        <v>28514.65</v>
      </c>
      <c r="L48" s="526">
        <v>88.1</v>
      </c>
      <c r="M48" s="526">
        <v>10.666</v>
      </c>
      <c r="N48" s="526">
        <v>19.512</v>
      </c>
      <c r="O48" s="526">
        <v>142.40600000000001</v>
      </c>
      <c r="P48" s="204" t="s">
        <v>561</v>
      </c>
    </row>
    <row r="49" spans="1:16">
      <c r="A49" s="569" t="s">
        <v>562</v>
      </c>
      <c r="B49" s="875">
        <v>2678</v>
      </c>
      <c r="C49" s="875">
        <v>0</v>
      </c>
      <c r="D49" s="875">
        <v>211</v>
      </c>
      <c r="E49" s="875">
        <v>9989</v>
      </c>
      <c r="F49" s="875">
        <v>7153.45</v>
      </c>
      <c r="G49" s="875">
        <v>4562</v>
      </c>
      <c r="H49" s="875">
        <v>3785</v>
      </c>
      <c r="I49" s="875">
        <v>890</v>
      </c>
      <c r="J49" s="875">
        <f>0+203+213</f>
        <v>416</v>
      </c>
      <c r="K49" s="875">
        <f t="shared" si="2"/>
        <v>29684.45</v>
      </c>
      <c r="L49" s="875" t="s">
        <v>292</v>
      </c>
      <c r="M49" s="875" t="s">
        <v>292</v>
      </c>
      <c r="N49" s="875" t="s">
        <v>292</v>
      </c>
      <c r="O49" s="875" t="s">
        <v>292</v>
      </c>
      <c r="P49" s="299" t="s">
        <v>562</v>
      </c>
    </row>
    <row r="50" spans="1:16">
      <c r="A50" s="1790" t="s">
        <v>555</v>
      </c>
      <c r="B50" s="526">
        <v>3137</v>
      </c>
      <c r="C50" s="526">
        <v>0</v>
      </c>
      <c r="D50" s="526">
        <v>208</v>
      </c>
      <c r="E50" s="526">
        <v>13775</v>
      </c>
      <c r="F50" s="526">
        <v>8066</v>
      </c>
      <c r="G50" s="526">
        <v>5873</v>
      </c>
      <c r="H50" s="526">
        <v>3738</v>
      </c>
      <c r="I50" s="526">
        <v>940</v>
      </c>
      <c r="J50" s="526">
        <f>0+249+210</f>
        <v>459</v>
      </c>
      <c r="K50" s="526">
        <f t="shared" si="2"/>
        <v>36196</v>
      </c>
      <c r="L50" s="526" t="s">
        <v>292</v>
      </c>
      <c r="M50" s="526" t="s">
        <v>292</v>
      </c>
      <c r="N50" s="526" t="s">
        <v>292</v>
      </c>
      <c r="O50" s="526" t="s">
        <v>292</v>
      </c>
      <c r="P50" s="204" t="s">
        <v>555</v>
      </c>
    </row>
    <row r="51" spans="1:16" ht="10.5" customHeight="1">
      <c r="A51" s="1844" t="s">
        <v>563</v>
      </c>
      <c r="B51" s="875">
        <v>2694</v>
      </c>
      <c r="C51" s="875">
        <v>0</v>
      </c>
      <c r="D51" s="875">
        <v>2599</v>
      </c>
      <c r="E51" s="875">
        <v>12966</v>
      </c>
      <c r="F51" s="875">
        <v>7808</v>
      </c>
      <c r="G51" s="875">
        <v>4519</v>
      </c>
      <c r="H51" s="875">
        <v>4641</v>
      </c>
      <c r="I51" s="875">
        <v>975</v>
      </c>
      <c r="J51" s="875">
        <f>0+229+209</f>
        <v>438</v>
      </c>
      <c r="K51" s="875">
        <f>B51+C51+D51+E51+F51+G51+H51+I51+J51</f>
        <v>36640</v>
      </c>
      <c r="L51" s="875"/>
      <c r="M51" s="875"/>
      <c r="N51" s="875"/>
      <c r="O51" s="875"/>
      <c r="P51" s="299" t="s">
        <v>563</v>
      </c>
    </row>
    <row r="52" spans="1:16" ht="12" thickBot="1">
      <c r="A52" s="1845" t="s">
        <v>564</v>
      </c>
      <c r="B52" s="1635">
        <v>2597</v>
      </c>
      <c r="C52" s="1635">
        <v>0</v>
      </c>
      <c r="D52" s="1635">
        <v>478</v>
      </c>
      <c r="E52" s="1635">
        <v>9858</v>
      </c>
      <c r="F52" s="1635">
        <v>7304</v>
      </c>
      <c r="G52" s="1635">
        <v>4826</v>
      </c>
      <c r="H52" s="1635">
        <v>3545</v>
      </c>
      <c r="I52" s="1635">
        <v>1098</v>
      </c>
      <c r="J52" s="1635">
        <f>0+186+220</f>
        <v>406</v>
      </c>
      <c r="K52" s="1635">
        <f>B52+C52+D52+E52+F52+G52+H52+I52+J52</f>
        <v>30112</v>
      </c>
      <c r="L52" s="1635"/>
      <c r="M52" s="1635"/>
      <c r="N52" s="1635"/>
      <c r="O52" s="1635"/>
      <c r="P52" s="1846" t="s">
        <v>564</v>
      </c>
    </row>
    <row r="53" spans="1:16">
      <c r="A53" s="114" t="s">
        <v>2025</v>
      </c>
      <c r="B53" s="86"/>
      <c r="C53" s="86"/>
      <c r="D53" s="86"/>
      <c r="E53" s="86"/>
      <c r="F53" s="626"/>
      <c r="G53" s="626"/>
      <c r="H53" s="9"/>
      <c r="I53" s="9"/>
      <c r="J53" s="8"/>
      <c r="K53" s="8"/>
      <c r="L53" s="8"/>
      <c r="M53" s="8"/>
      <c r="N53" s="8"/>
      <c r="O53" s="86"/>
      <c r="P53" s="86"/>
    </row>
    <row r="54" spans="1:16">
      <c r="A54" s="86" t="s">
        <v>2024</v>
      </c>
      <c r="B54" s="86"/>
      <c r="E54" s="30"/>
      <c r="F54" s="30"/>
      <c r="G54" s="8"/>
      <c r="H54" s="30"/>
      <c r="L54" s="8"/>
      <c r="O54" s="86"/>
      <c r="P54" s="86"/>
    </row>
    <row r="55" spans="1:16">
      <c r="B55" s="467"/>
      <c r="C55" s="467"/>
      <c r="D55" s="467"/>
      <c r="E55" s="467"/>
      <c r="F55" s="84"/>
      <c r="G55" s="467"/>
      <c r="H55" s="467"/>
      <c r="L55" s="467"/>
    </row>
    <row r="56" spans="1:16">
      <c r="F56" s="84"/>
      <c r="J56" s="467"/>
      <c r="M56" s="467"/>
    </row>
    <row r="57" spans="1:16">
      <c r="F57" s="84"/>
      <c r="J57" s="467"/>
      <c r="L57" s="467"/>
      <c r="M57" s="467"/>
    </row>
    <row r="58" spans="1:16">
      <c r="B58" s="467"/>
      <c r="C58" s="467"/>
      <c r="D58" s="467"/>
      <c r="E58" s="467"/>
      <c r="F58" s="84"/>
      <c r="G58" s="467"/>
      <c r="H58" s="467"/>
      <c r="I58" s="467"/>
      <c r="J58" s="467"/>
      <c r="K58" s="250"/>
      <c r="L58" s="467"/>
      <c r="M58" s="467"/>
    </row>
    <row r="59" spans="1:16">
      <c r="B59" s="467"/>
      <c r="C59" s="467"/>
      <c r="D59" s="467"/>
      <c r="E59" s="467"/>
      <c r="F59" s="84"/>
      <c r="G59" s="467"/>
      <c r="H59" s="467"/>
      <c r="I59" s="467"/>
      <c r="J59" s="467"/>
      <c r="K59" s="250"/>
      <c r="L59" s="467"/>
      <c r="M59" s="467"/>
    </row>
    <row r="60" spans="1:16">
      <c r="F60" s="84"/>
      <c r="J60" s="467"/>
      <c r="K60" s="250"/>
      <c r="L60" s="467"/>
      <c r="M60" s="467"/>
    </row>
    <row r="61" spans="1:16">
      <c r="F61" s="84"/>
      <c r="J61" s="467"/>
      <c r="K61" s="250"/>
      <c r="L61" s="467"/>
      <c r="M61" s="467"/>
    </row>
    <row r="62" spans="1:16">
      <c r="F62" s="84"/>
      <c r="K62" s="250"/>
      <c r="L62" s="467"/>
      <c r="M62" s="467"/>
    </row>
    <row r="63" spans="1:16">
      <c r="B63" s="467"/>
      <c r="C63" s="467"/>
      <c r="D63" s="467"/>
      <c r="E63" s="467"/>
      <c r="F63" s="84"/>
      <c r="G63" s="467"/>
      <c r="H63" s="467"/>
      <c r="I63" s="467"/>
      <c r="J63" s="467"/>
      <c r="K63" s="250"/>
      <c r="L63" s="467"/>
    </row>
    <row r="64" spans="1:16">
      <c r="B64" s="467"/>
      <c r="C64" s="467"/>
      <c r="D64" s="467"/>
      <c r="E64" s="467"/>
      <c r="F64" s="467"/>
      <c r="G64" s="467"/>
      <c r="H64" s="467"/>
      <c r="I64" s="467"/>
      <c r="J64" s="467"/>
      <c r="K64" s="250"/>
      <c r="L64" s="467"/>
    </row>
    <row r="65" spans="2:12">
      <c r="B65" s="467"/>
      <c r="C65" s="467"/>
      <c r="D65" s="467"/>
      <c r="E65" s="467"/>
      <c r="F65" s="467"/>
      <c r="G65" s="467"/>
      <c r="H65" s="467"/>
      <c r="I65" s="467"/>
      <c r="J65" s="467"/>
      <c r="K65" s="250"/>
      <c r="L65" s="467"/>
    </row>
    <row r="66" spans="2:12">
      <c r="B66" s="467"/>
      <c r="C66" s="467"/>
      <c r="D66" s="467"/>
      <c r="E66" s="467"/>
      <c r="F66" s="467"/>
      <c r="G66" s="467"/>
      <c r="H66" s="467"/>
      <c r="I66" s="467"/>
      <c r="J66" s="467"/>
      <c r="K66" s="467"/>
      <c r="L66" s="467"/>
    </row>
    <row r="67" spans="2:12">
      <c r="B67" s="467"/>
      <c r="C67" s="467"/>
      <c r="D67" s="467"/>
      <c r="E67" s="467"/>
      <c r="F67" s="467"/>
      <c r="G67" s="467"/>
      <c r="H67" s="467"/>
      <c r="I67" s="467"/>
      <c r="J67" s="467"/>
      <c r="K67" s="467"/>
    </row>
    <row r="68" spans="2:12">
      <c r="B68" s="467"/>
      <c r="C68" s="467"/>
      <c r="D68" s="467"/>
      <c r="E68" s="467"/>
      <c r="F68" s="467"/>
      <c r="G68" s="467"/>
      <c r="H68" s="467"/>
      <c r="I68" s="467"/>
      <c r="J68" s="467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V67"/>
  <sheetViews>
    <sheetView zoomScale="120" zoomScaleNormal="120" zoomScaleSheetLayoutView="90" workbookViewId="0">
      <pane ySplit="5" topLeftCell="A38" activePane="bottomLeft" state="frozen"/>
      <selection activeCell="X47" sqref="X47:X50"/>
      <selection pane="bottomLeft" activeCell="J53" sqref="J53"/>
    </sheetView>
  </sheetViews>
  <sheetFormatPr defaultColWidth="8.85546875" defaultRowHeight="15"/>
  <cols>
    <col min="1" max="1" width="8.140625" style="672" customWidth="1"/>
    <col min="2" max="2" width="8.42578125" style="672" customWidth="1"/>
    <col min="3" max="3" width="9.85546875" style="672" customWidth="1"/>
    <col min="4" max="4" width="7.5703125" style="672" customWidth="1"/>
    <col min="5" max="5" width="12.28515625" style="672" bestFit="1" customWidth="1"/>
    <col min="6" max="6" width="8" style="672" customWidth="1"/>
    <col min="7" max="7" width="7.42578125" style="672" customWidth="1"/>
    <col min="8" max="9" width="8.42578125" style="672" customWidth="1"/>
    <col min="10" max="10" width="9.7109375" style="672" customWidth="1"/>
    <col min="11" max="11" width="6.85546875" style="672" customWidth="1"/>
    <col min="12" max="12" width="9" style="672" customWidth="1"/>
    <col min="13" max="13" width="7.28515625" style="672" customWidth="1"/>
    <col min="14" max="14" width="7.85546875" style="672" customWidth="1"/>
    <col min="15" max="15" width="5.28515625" style="672" customWidth="1"/>
    <col min="16" max="16" width="7.85546875" style="672" customWidth="1"/>
    <col min="17" max="17" width="7" style="672" customWidth="1"/>
    <col min="18" max="18" width="9.28515625" style="672" customWidth="1"/>
    <col min="19" max="19" width="8" style="672" customWidth="1"/>
    <col min="20" max="16384" width="8.85546875" style="672"/>
  </cols>
  <sheetData>
    <row r="1" spans="1:19" s="670" customFormat="1" ht="15" customHeight="1">
      <c r="A1" s="669"/>
      <c r="E1" s="2591" t="s">
        <v>1872</v>
      </c>
      <c r="F1" s="2591"/>
      <c r="G1" s="2591"/>
      <c r="H1" s="2591"/>
      <c r="I1" s="2591"/>
      <c r="J1" s="2592" t="s">
        <v>1409</v>
      </c>
      <c r="K1" s="2592"/>
      <c r="L1" s="671"/>
      <c r="M1" s="671"/>
      <c r="R1" s="2583" t="s">
        <v>1526</v>
      </c>
      <c r="S1" s="2583"/>
    </row>
    <row r="2" spans="1:19" ht="10.5" customHeight="1">
      <c r="C2" s="673"/>
      <c r="R2" s="2584" t="s">
        <v>24</v>
      </c>
      <c r="S2" s="2584"/>
    </row>
    <row r="3" spans="1:19" ht="13.9" customHeight="1">
      <c r="A3" s="2580" t="s">
        <v>475</v>
      </c>
      <c r="B3" s="2585" t="s">
        <v>482</v>
      </c>
      <c r="C3" s="2585" t="s">
        <v>1402</v>
      </c>
      <c r="D3" s="2587" t="s">
        <v>1395</v>
      </c>
      <c r="E3" s="2587"/>
      <c r="F3" s="2587"/>
      <c r="G3" s="2582" t="s">
        <v>1382</v>
      </c>
      <c r="H3" s="2588" t="s">
        <v>1396</v>
      </c>
      <c r="I3" s="2589"/>
      <c r="J3" s="2589"/>
      <c r="K3" s="2589"/>
      <c r="L3" s="2590"/>
      <c r="M3" s="2581" t="s">
        <v>1418</v>
      </c>
      <c r="N3" s="2581" t="s">
        <v>1419</v>
      </c>
      <c r="O3" s="2582" t="s">
        <v>1383</v>
      </c>
      <c r="P3" s="2581" t="s">
        <v>1384</v>
      </c>
      <c r="Q3" s="2582" t="s">
        <v>1385</v>
      </c>
      <c r="R3" s="2582" t="s">
        <v>1386</v>
      </c>
      <c r="S3" s="2582" t="s">
        <v>1387</v>
      </c>
    </row>
    <row r="4" spans="1:19" ht="65.25" customHeight="1">
      <c r="A4" s="2580"/>
      <c r="B4" s="2586"/>
      <c r="C4" s="2586"/>
      <c r="D4" s="1669" t="s">
        <v>1403</v>
      </c>
      <c r="E4" s="1669" t="s">
        <v>1401</v>
      </c>
      <c r="F4" s="1669" t="s">
        <v>1399</v>
      </c>
      <c r="G4" s="2582"/>
      <c r="H4" s="1669" t="s">
        <v>120</v>
      </c>
      <c r="I4" s="1669" t="s">
        <v>1410</v>
      </c>
      <c r="J4" s="1669" t="s">
        <v>1417</v>
      </c>
      <c r="K4" s="1668" t="s">
        <v>1525</v>
      </c>
      <c r="L4" s="1669" t="s">
        <v>1400</v>
      </c>
      <c r="M4" s="2581"/>
      <c r="N4" s="2581"/>
      <c r="O4" s="2582"/>
      <c r="P4" s="2581"/>
      <c r="Q4" s="2582"/>
      <c r="R4" s="2582"/>
      <c r="S4" s="2582"/>
    </row>
    <row r="5" spans="1:19" ht="12" customHeight="1">
      <c r="A5" s="2580"/>
      <c r="B5" s="677">
        <v>1</v>
      </c>
      <c r="C5" s="677">
        <v>2</v>
      </c>
      <c r="D5" s="677">
        <v>3</v>
      </c>
      <c r="E5" s="677">
        <v>4</v>
      </c>
      <c r="F5" s="677">
        <v>5</v>
      </c>
      <c r="G5" s="677">
        <v>6</v>
      </c>
      <c r="H5" s="677">
        <v>7</v>
      </c>
      <c r="I5" s="677">
        <v>8</v>
      </c>
      <c r="J5" s="677">
        <v>9</v>
      </c>
      <c r="K5" s="677">
        <v>10</v>
      </c>
      <c r="L5" s="677">
        <v>11</v>
      </c>
      <c r="M5" s="677">
        <v>12</v>
      </c>
      <c r="N5" s="677">
        <v>13</v>
      </c>
      <c r="O5" s="677">
        <v>14</v>
      </c>
      <c r="P5" s="677">
        <v>15</v>
      </c>
      <c r="Q5" s="677">
        <v>16</v>
      </c>
      <c r="R5" s="677">
        <v>17</v>
      </c>
      <c r="S5" s="677">
        <v>18</v>
      </c>
    </row>
    <row r="6" spans="1:19" ht="11.25" customHeight="1">
      <c r="A6" s="1129" t="s">
        <v>1311</v>
      </c>
      <c r="B6" s="1128">
        <v>253510</v>
      </c>
      <c r="C6" s="1128">
        <v>7347.2</v>
      </c>
      <c r="D6" s="1128">
        <v>22375.9</v>
      </c>
      <c r="E6" s="1128">
        <v>9706.7000000000007</v>
      </c>
      <c r="F6" s="1128">
        <v>12669.2</v>
      </c>
      <c r="G6" s="1128">
        <v>5756.5</v>
      </c>
      <c r="H6" s="1128">
        <v>153411.20000000001</v>
      </c>
      <c r="I6" s="1128">
        <v>78799.199999999997</v>
      </c>
      <c r="J6" s="1128">
        <v>3.3</v>
      </c>
      <c r="K6" s="1128">
        <v>0</v>
      </c>
      <c r="L6" s="1128">
        <v>232213.7</v>
      </c>
      <c r="M6" s="1128">
        <v>345.5</v>
      </c>
      <c r="N6" s="1128">
        <v>0</v>
      </c>
      <c r="O6" s="1128">
        <v>0</v>
      </c>
      <c r="P6" s="1128">
        <v>0</v>
      </c>
      <c r="Q6" s="1128">
        <v>0</v>
      </c>
      <c r="R6" s="1128">
        <v>30308.5</v>
      </c>
      <c r="S6" s="1128">
        <v>16415.2</v>
      </c>
    </row>
    <row r="7" spans="1:19" ht="11.25" customHeight="1">
      <c r="A7" s="1183" t="s">
        <v>1420</v>
      </c>
      <c r="B7" s="1184">
        <v>257195.6</v>
      </c>
      <c r="C7" s="1184">
        <v>7031.1</v>
      </c>
      <c r="D7" s="1184">
        <v>32153.4</v>
      </c>
      <c r="E7" s="1184">
        <v>10645.9</v>
      </c>
      <c r="F7" s="1184">
        <v>21507.5</v>
      </c>
      <c r="G7" s="1184">
        <v>5537.7</v>
      </c>
      <c r="H7" s="1184">
        <v>168858.3</v>
      </c>
      <c r="I7" s="1184">
        <v>75787.5</v>
      </c>
      <c r="J7" s="1184">
        <v>13.1</v>
      </c>
      <c r="K7" s="1184">
        <v>0</v>
      </c>
      <c r="L7" s="1184">
        <v>244658.9</v>
      </c>
      <c r="M7" s="1184">
        <v>411.8</v>
      </c>
      <c r="N7" s="1184">
        <v>0</v>
      </c>
      <c r="O7" s="1184">
        <v>0</v>
      </c>
      <c r="P7" s="1184">
        <v>0</v>
      </c>
      <c r="Q7" s="1184">
        <v>0</v>
      </c>
      <c r="R7" s="1184">
        <v>33548.6</v>
      </c>
      <c r="S7" s="1184">
        <v>12652.6</v>
      </c>
    </row>
    <row r="8" spans="1:19" s="820" customFormat="1" ht="11.25" customHeight="1">
      <c r="A8" s="1129" t="s">
        <v>1502</v>
      </c>
      <c r="B8" s="994">
        <v>286040.90000000002</v>
      </c>
      <c r="C8" s="994">
        <v>15922.6</v>
      </c>
      <c r="D8" s="994">
        <v>47201.9</v>
      </c>
      <c r="E8" s="994">
        <v>14955.8</v>
      </c>
      <c r="F8" s="994">
        <v>32246.100000000002</v>
      </c>
      <c r="G8" s="994">
        <v>5752</v>
      </c>
      <c r="H8" s="994">
        <v>206552.2</v>
      </c>
      <c r="I8" s="994">
        <v>76360.399999999994</v>
      </c>
      <c r="J8" s="994">
        <v>28.9</v>
      </c>
      <c r="K8" s="994">
        <v>0</v>
      </c>
      <c r="L8" s="994">
        <v>282941.5</v>
      </c>
      <c r="M8" s="994">
        <v>1272.5</v>
      </c>
      <c r="N8" s="994">
        <v>0</v>
      </c>
      <c r="O8" s="994">
        <v>0</v>
      </c>
      <c r="P8" s="994">
        <v>0</v>
      </c>
      <c r="Q8" s="994">
        <v>0</v>
      </c>
      <c r="R8" s="994">
        <v>36493.599999999999</v>
      </c>
      <c r="S8" s="994">
        <v>19254</v>
      </c>
    </row>
    <row r="9" spans="1:19" s="820" customFormat="1" ht="11.25" customHeight="1">
      <c r="A9" s="818" t="s">
        <v>1555</v>
      </c>
      <c r="B9" s="993">
        <v>366917.3</v>
      </c>
      <c r="C9" s="993">
        <v>22091.200000000001</v>
      </c>
      <c r="D9" s="993">
        <v>33870.800000000003</v>
      </c>
      <c r="E9" s="993">
        <v>25244.5</v>
      </c>
      <c r="F9" s="993">
        <v>8626.3000000000029</v>
      </c>
      <c r="G9" s="993">
        <v>5935.6</v>
      </c>
      <c r="H9" s="993">
        <v>225322.2</v>
      </c>
      <c r="I9" s="993">
        <v>121126</v>
      </c>
      <c r="J9" s="993">
        <v>57.5</v>
      </c>
      <c r="K9" s="993">
        <v>0</v>
      </c>
      <c r="L9" s="993">
        <v>346505.7</v>
      </c>
      <c r="M9" s="993">
        <v>1529.9</v>
      </c>
      <c r="N9" s="993">
        <v>0</v>
      </c>
      <c r="O9" s="993">
        <v>0</v>
      </c>
      <c r="P9" s="993">
        <v>0</v>
      </c>
      <c r="Q9" s="993">
        <v>0</v>
      </c>
      <c r="R9" s="993">
        <v>43524.7</v>
      </c>
      <c r="S9" s="993">
        <v>12010.1</v>
      </c>
    </row>
    <row r="10" spans="1:19" s="820" customFormat="1" ht="11.25" customHeight="1">
      <c r="A10" s="819" t="s">
        <v>1836</v>
      </c>
      <c r="B10" s="994">
        <v>347746.8</v>
      </c>
      <c r="C10" s="994">
        <v>19369.2</v>
      </c>
      <c r="D10" s="994">
        <v>58719.3</v>
      </c>
      <c r="E10" s="994">
        <v>13785.7</v>
      </c>
      <c r="F10" s="994">
        <v>44933.600000000006</v>
      </c>
      <c r="G10" s="994">
        <v>6093.7</v>
      </c>
      <c r="H10" s="994">
        <v>254519.5</v>
      </c>
      <c r="I10" s="994">
        <v>90931.1</v>
      </c>
      <c r="J10" s="994">
        <v>48.2</v>
      </c>
      <c r="K10" s="994">
        <v>0</v>
      </c>
      <c r="L10" s="994">
        <v>345498.8</v>
      </c>
      <c r="M10" s="994">
        <v>1321.7</v>
      </c>
      <c r="N10" s="994">
        <v>0</v>
      </c>
      <c r="O10" s="994">
        <v>0</v>
      </c>
      <c r="P10" s="994">
        <v>0</v>
      </c>
      <c r="Q10" s="994">
        <v>0</v>
      </c>
      <c r="R10" s="994">
        <v>62830.400000000001</v>
      </c>
      <c r="S10" s="994">
        <v>8492.4</v>
      </c>
    </row>
    <row r="11" spans="1:19" s="820" customFormat="1" ht="11.25" customHeight="1">
      <c r="A11" s="1310" t="s">
        <v>2088</v>
      </c>
      <c r="B11" s="995">
        <v>287497.5</v>
      </c>
      <c r="C11" s="995">
        <v>66711.3</v>
      </c>
      <c r="D11" s="995">
        <v>156819.70000000001</v>
      </c>
      <c r="E11" s="995">
        <v>12866.8</v>
      </c>
      <c r="F11" s="995">
        <v>143952.90000000002</v>
      </c>
      <c r="G11" s="995">
        <v>6413.1</v>
      </c>
      <c r="H11" s="995">
        <v>310153.40000000002</v>
      </c>
      <c r="I11" s="995">
        <v>71488.899999999994</v>
      </c>
      <c r="J11" s="995">
        <v>148.5</v>
      </c>
      <c r="K11" s="995">
        <v>0</v>
      </c>
      <c r="L11" s="995">
        <v>381790.80000000005</v>
      </c>
      <c r="M11" s="995">
        <v>2173.5</v>
      </c>
      <c r="N11" s="995">
        <v>0</v>
      </c>
      <c r="O11" s="995">
        <v>0</v>
      </c>
      <c r="P11" s="995">
        <v>0</v>
      </c>
      <c r="Q11" s="995">
        <v>0</v>
      </c>
      <c r="R11" s="995">
        <v>102034.3</v>
      </c>
      <c r="S11" s="995">
        <v>18557.599999999999</v>
      </c>
    </row>
    <row r="12" spans="1:19" s="820" customFormat="1" ht="11.25" customHeight="1">
      <c r="A12" s="1573" t="s">
        <v>2235</v>
      </c>
      <c r="B12" s="992">
        <f>B24</f>
        <v>245780.7</v>
      </c>
      <c r="C12" s="992">
        <f t="shared" ref="C12:S12" si="0">C24</f>
        <v>176941.7</v>
      </c>
      <c r="D12" s="992">
        <f t="shared" si="0"/>
        <v>144599.29999999999</v>
      </c>
      <c r="E12" s="992">
        <f t="shared" si="0"/>
        <v>10034.1</v>
      </c>
      <c r="F12" s="992">
        <f t="shared" si="0"/>
        <v>134565.19999999998</v>
      </c>
      <c r="G12" s="992">
        <f t="shared" si="0"/>
        <v>6717.3</v>
      </c>
      <c r="H12" s="992">
        <f t="shared" si="0"/>
        <v>318403</v>
      </c>
      <c r="I12" s="992">
        <f t="shared" si="0"/>
        <v>93283.3</v>
      </c>
      <c r="J12" s="992">
        <f t="shared" si="0"/>
        <v>54.8</v>
      </c>
      <c r="K12" s="992">
        <f t="shared" si="0"/>
        <v>0</v>
      </c>
      <c r="L12" s="992">
        <f t="shared" si="0"/>
        <v>411741.1</v>
      </c>
      <c r="M12" s="992">
        <f t="shared" si="0"/>
        <v>2090.1999999999998</v>
      </c>
      <c r="N12" s="992">
        <f t="shared" si="0"/>
        <v>0</v>
      </c>
      <c r="O12" s="992">
        <f t="shared" si="0"/>
        <v>0</v>
      </c>
      <c r="P12" s="992">
        <f t="shared" si="0"/>
        <v>0</v>
      </c>
      <c r="Q12" s="992">
        <f t="shared" si="0"/>
        <v>0</v>
      </c>
      <c r="R12" s="992">
        <f t="shared" si="0"/>
        <v>122311.9</v>
      </c>
      <c r="S12" s="992">
        <f t="shared" si="0"/>
        <v>27861.599999999999</v>
      </c>
    </row>
    <row r="13" spans="1:19" s="820" customFormat="1" ht="11.25" customHeight="1">
      <c r="A13" s="818" t="s">
        <v>559</v>
      </c>
      <c r="B13" s="993">
        <v>284092.3</v>
      </c>
      <c r="C13" s="993">
        <v>68543.199999999997</v>
      </c>
      <c r="D13" s="993">
        <v>147168.79999999999</v>
      </c>
      <c r="E13" s="993">
        <v>13015.6</v>
      </c>
      <c r="F13" s="993">
        <f t="shared" ref="F13:F34" si="1">D13-E13</f>
        <v>134153.19999999998</v>
      </c>
      <c r="G13" s="993">
        <v>6371.7</v>
      </c>
      <c r="H13" s="993">
        <v>290730.8</v>
      </c>
      <c r="I13" s="993">
        <v>72729.8</v>
      </c>
      <c r="J13" s="993">
        <v>395.8</v>
      </c>
      <c r="K13" s="993">
        <v>0</v>
      </c>
      <c r="L13" s="993">
        <f t="shared" ref="L13:L34" si="2">H13+I13+J13+K13</f>
        <v>363856.39999999997</v>
      </c>
      <c r="M13" s="993">
        <v>1995.5</v>
      </c>
      <c r="N13" s="993">
        <v>0</v>
      </c>
      <c r="O13" s="993">
        <v>0</v>
      </c>
      <c r="P13" s="993">
        <v>0</v>
      </c>
      <c r="Q13" s="993">
        <v>0</v>
      </c>
      <c r="R13" s="993">
        <v>112124.2</v>
      </c>
      <c r="S13" s="993">
        <v>15184.3</v>
      </c>
    </row>
    <row r="14" spans="1:19" s="820" customFormat="1" ht="11.25" customHeight="1">
      <c r="A14" s="819" t="s">
        <v>560</v>
      </c>
      <c r="B14" s="994">
        <v>272944.3</v>
      </c>
      <c r="C14" s="994">
        <v>67766.7</v>
      </c>
      <c r="D14" s="994">
        <v>145873.4</v>
      </c>
      <c r="E14" s="994">
        <v>23547.7</v>
      </c>
      <c r="F14" s="994">
        <f t="shared" si="1"/>
        <v>122325.7</v>
      </c>
      <c r="G14" s="994">
        <v>6371.6</v>
      </c>
      <c r="H14" s="994">
        <v>280673.90000000002</v>
      </c>
      <c r="I14" s="994">
        <v>68362.7</v>
      </c>
      <c r="J14" s="994">
        <v>358.9</v>
      </c>
      <c r="K14" s="994">
        <v>0</v>
      </c>
      <c r="L14" s="994">
        <f t="shared" si="2"/>
        <v>349395.50000000006</v>
      </c>
      <c r="M14" s="994">
        <v>1387.8</v>
      </c>
      <c r="N14" s="994">
        <v>0</v>
      </c>
      <c r="O14" s="994">
        <v>0</v>
      </c>
      <c r="P14" s="994">
        <v>0</v>
      </c>
      <c r="Q14" s="994">
        <v>0</v>
      </c>
      <c r="R14" s="994">
        <v>114177.60000000001</v>
      </c>
      <c r="S14" s="994">
        <v>4447.3999999999996</v>
      </c>
    </row>
    <row r="15" spans="1:19" s="820" customFormat="1" ht="11.25" customHeight="1">
      <c r="A15" s="818" t="s">
        <v>554</v>
      </c>
      <c r="B15" s="993">
        <v>258981.4</v>
      </c>
      <c r="C15" s="993">
        <v>80732.399999999994</v>
      </c>
      <c r="D15" s="993">
        <v>137889.4</v>
      </c>
      <c r="E15" s="993">
        <v>22906.1</v>
      </c>
      <c r="F15" s="993">
        <f t="shared" si="1"/>
        <v>114983.29999999999</v>
      </c>
      <c r="G15" s="993">
        <v>6370.6</v>
      </c>
      <c r="H15" s="993">
        <v>275491.90000000002</v>
      </c>
      <c r="I15" s="993">
        <v>66906</v>
      </c>
      <c r="J15" s="993">
        <v>15.1</v>
      </c>
      <c r="K15" s="993">
        <v>0</v>
      </c>
      <c r="L15" s="993">
        <f t="shared" si="2"/>
        <v>342413</v>
      </c>
      <c r="M15" s="993">
        <v>2256.3000000000002</v>
      </c>
      <c r="N15" s="993">
        <v>0</v>
      </c>
      <c r="O15" s="993">
        <v>0</v>
      </c>
      <c r="P15" s="993">
        <v>0</v>
      </c>
      <c r="Q15" s="993">
        <v>0</v>
      </c>
      <c r="R15" s="993">
        <v>115288.2</v>
      </c>
      <c r="S15" s="993">
        <v>1110.2</v>
      </c>
    </row>
    <row r="16" spans="1:19" s="820" customFormat="1" ht="11.25" customHeight="1">
      <c r="A16" s="819" t="s">
        <v>561</v>
      </c>
      <c r="B16" s="994">
        <v>248079.8</v>
      </c>
      <c r="C16" s="994">
        <v>91983.4</v>
      </c>
      <c r="D16" s="994">
        <v>126729</v>
      </c>
      <c r="E16" s="994">
        <v>14717.7</v>
      </c>
      <c r="F16" s="994">
        <f t="shared" si="1"/>
        <v>112011.3</v>
      </c>
      <c r="G16" s="994">
        <v>6395</v>
      </c>
      <c r="H16" s="994">
        <v>271207.09999999998</v>
      </c>
      <c r="I16" s="994">
        <v>66886.5</v>
      </c>
      <c r="J16" s="994">
        <v>34.700000000000003</v>
      </c>
      <c r="K16" s="994">
        <v>0</v>
      </c>
      <c r="L16" s="994">
        <f t="shared" si="2"/>
        <v>338128.3</v>
      </c>
      <c r="M16" s="994">
        <v>2202.8000000000002</v>
      </c>
      <c r="N16" s="994">
        <v>0</v>
      </c>
      <c r="O16" s="994">
        <v>0</v>
      </c>
      <c r="P16" s="994">
        <v>0</v>
      </c>
      <c r="Q16" s="994">
        <v>0</v>
      </c>
      <c r="R16" s="994">
        <v>118015.5</v>
      </c>
      <c r="S16" s="994">
        <v>122.9</v>
      </c>
    </row>
    <row r="17" spans="1:19" s="820" customFormat="1" ht="11.25" customHeight="1">
      <c r="A17" s="818" t="s">
        <v>562</v>
      </c>
      <c r="B17" s="993">
        <v>235600.5</v>
      </c>
      <c r="C17" s="993">
        <v>101294.1</v>
      </c>
      <c r="D17" s="993">
        <v>131598.9</v>
      </c>
      <c r="E17" s="993">
        <v>14762.6</v>
      </c>
      <c r="F17" s="993">
        <f t="shared" si="1"/>
        <v>116836.29999999999</v>
      </c>
      <c r="G17" s="993">
        <v>6435.5</v>
      </c>
      <c r="H17" s="993">
        <v>272673.3</v>
      </c>
      <c r="I17" s="993">
        <v>65830.3</v>
      </c>
      <c r="J17" s="993">
        <v>28.7</v>
      </c>
      <c r="K17" s="993">
        <v>0</v>
      </c>
      <c r="L17" s="993">
        <f t="shared" si="2"/>
        <v>338532.3</v>
      </c>
      <c r="M17" s="993">
        <v>1532.6</v>
      </c>
      <c r="N17" s="993">
        <v>0</v>
      </c>
      <c r="O17" s="993">
        <v>0</v>
      </c>
      <c r="P17" s="993">
        <v>0</v>
      </c>
      <c r="Q17" s="993">
        <v>0</v>
      </c>
      <c r="R17" s="993">
        <v>121389.2</v>
      </c>
      <c r="S17" s="993">
        <v>-1287.7</v>
      </c>
    </row>
    <row r="18" spans="1:19" s="820" customFormat="1" ht="11.25" customHeight="1">
      <c r="A18" s="819" t="s">
        <v>555</v>
      </c>
      <c r="B18" s="994">
        <v>248198.9</v>
      </c>
      <c r="C18" s="994">
        <v>130735.4</v>
      </c>
      <c r="D18" s="994">
        <v>125678.39999999999</v>
      </c>
      <c r="E18" s="994">
        <v>15718.1</v>
      </c>
      <c r="F18" s="994">
        <f t="shared" si="1"/>
        <v>109960.29999999999</v>
      </c>
      <c r="G18" s="994">
        <v>6525.5</v>
      </c>
      <c r="H18" s="994">
        <v>277805.09999999998</v>
      </c>
      <c r="I18" s="994">
        <v>92627.8</v>
      </c>
      <c r="J18" s="994">
        <v>37.5</v>
      </c>
      <c r="K18" s="994">
        <v>0</v>
      </c>
      <c r="L18" s="994">
        <f t="shared" si="2"/>
        <v>370470.39999999997</v>
      </c>
      <c r="M18" s="994">
        <v>2687</v>
      </c>
      <c r="N18" s="994">
        <v>0</v>
      </c>
      <c r="O18" s="994">
        <v>0</v>
      </c>
      <c r="P18" s="994">
        <v>0</v>
      </c>
      <c r="Q18" s="994">
        <v>0</v>
      </c>
      <c r="R18" s="994">
        <v>123799.8</v>
      </c>
      <c r="S18" s="994">
        <v>-1537.1</v>
      </c>
    </row>
    <row r="19" spans="1:19" s="820" customFormat="1" ht="11.25" customHeight="1">
      <c r="A19" s="818" t="s">
        <v>563</v>
      </c>
      <c r="B19" s="993">
        <v>232550.2</v>
      </c>
      <c r="C19" s="993">
        <v>115609.7</v>
      </c>
      <c r="D19" s="993">
        <v>124560.7</v>
      </c>
      <c r="E19" s="993">
        <v>14978.4</v>
      </c>
      <c r="F19" s="993">
        <f t="shared" si="1"/>
        <v>109582.3</v>
      </c>
      <c r="G19" s="993">
        <v>6512.3</v>
      </c>
      <c r="H19" s="993">
        <v>280636.5</v>
      </c>
      <c r="I19" s="993">
        <v>64843.3</v>
      </c>
      <c r="J19" s="993">
        <v>32.299999999999997</v>
      </c>
      <c r="K19" s="993">
        <v>0</v>
      </c>
      <c r="L19" s="993">
        <f t="shared" si="2"/>
        <v>345512.1</v>
      </c>
      <c r="M19" s="993">
        <v>1917.2</v>
      </c>
      <c r="N19" s="993">
        <v>0</v>
      </c>
      <c r="O19" s="993">
        <v>0</v>
      </c>
      <c r="P19" s="993">
        <v>0</v>
      </c>
      <c r="Q19" s="993">
        <v>0</v>
      </c>
      <c r="R19" s="993">
        <v>123916.9</v>
      </c>
      <c r="S19" s="993">
        <v>-7091.7</v>
      </c>
    </row>
    <row r="20" spans="1:19" s="820" customFormat="1" ht="11.25" customHeight="1">
      <c r="A20" s="819" t="s">
        <v>564</v>
      </c>
      <c r="B20" s="994">
        <v>229743.6</v>
      </c>
      <c r="C20" s="994">
        <v>123690.4</v>
      </c>
      <c r="D20" s="994">
        <v>122255.6</v>
      </c>
      <c r="E20" s="994">
        <v>10202.700000000001</v>
      </c>
      <c r="F20" s="994">
        <f t="shared" si="1"/>
        <v>112052.90000000001</v>
      </c>
      <c r="G20" s="994">
        <v>6531</v>
      </c>
      <c r="H20" s="994">
        <v>282559.59999999998</v>
      </c>
      <c r="I20" s="994">
        <v>68393.2</v>
      </c>
      <c r="J20" s="994">
        <v>44.2</v>
      </c>
      <c r="K20" s="994">
        <v>0</v>
      </c>
      <c r="L20" s="994">
        <f t="shared" si="2"/>
        <v>350997</v>
      </c>
      <c r="M20" s="994">
        <v>1399.8</v>
      </c>
      <c r="N20" s="994">
        <v>0</v>
      </c>
      <c r="O20" s="994">
        <v>0</v>
      </c>
      <c r="P20" s="994">
        <v>0</v>
      </c>
      <c r="Q20" s="994">
        <v>0</v>
      </c>
      <c r="R20" s="994">
        <v>125036.3</v>
      </c>
      <c r="S20" s="994">
        <v>-5415.2</v>
      </c>
    </row>
    <row r="21" spans="1:19" s="820" customFormat="1" ht="11.25" customHeight="1">
      <c r="A21" s="818" t="s">
        <v>556</v>
      </c>
      <c r="B21" s="993">
        <v>226890.9</v>
      </c>
      <c r="C21" s="993">
        <v>125740.9</v>
      </c>
      <c r="D21" s="993">
        <v>126602.8</v>
      </c>
      <c r="E21" s="993">
        <v>10033</v>
      </c>
      <c r="F21" s="993">
        <f t="shared" si="1"/>
        <v>116569.8</v>
      </c>
      <c r="G21" s="993">
        <v>6556.8</v>
      </c>
      <c r="H21" s="993">
        <v>289310.8</v>
      </c>
      <c r="I21" s="993">
        <v>65551.399999999994</v>
      </c>
      <c r="J21" s="993">
        <v>48.5</v>
      </c>
      <c r="K21" s="993">
        <v>0</v>
      </c>
      <c r="L21" s="993">
        <f t="shared" si="2"/>
        <v>354910.69999999995</v>
      </c>
      <c r="M21" s="993">
        <v>1577.3</v>
      </c>
      <c r="N21" s="993">
        <v>0</v>
      </c>
      <c r="O21" s="993">
        <v>0</v>
      </c>
      <c r="P21" s="993">
        <v>0</v>
      </c>
      <c r="Q21" s="993">
        <v>0</v>
      </c>
      <c r="R21" s="993">
        <v>127482.7</v>
      </c>
      <c r="S21" s="993">
        <v>-8212.2999999999993</v>
      </c>
    </row>
    <row r="22" spans="1:19" s="820" customFormat="1" ht="11.25" customHeight="1">
      <c r="A22" s="819" t="s">
        <v>565</v>
      </c>
      <c r="B22" s="994">
        <v>219734.5</v>
      </c>
      <c r="C22" s="994">
        <v>123333.5</v>
      </c>
      <c r="D22" s="994">
        <v>136106.4</v>
      </c>
      <c r="E22" s="994">
        <v>9534.6</v>
      </c>
      <c r="F22" s="994">
        <f t="shared" si="1"/>
        <v>126571.79999999999</v>
      </c>
      <c r="G22" s="994">
        <v>6583.6</v>
      </c>
      <c r="H22" s="994">
        <v>288919.09999999998</v>
      </c>
      <c r="I22" s="994">
        <v>65855.199999999997</v>
      </c>
      <c r="J22" s="994">
        <v>45.6</v>
      </c>
      <c r="K22" s="994">
        <v>0</v>
      </c>
      <c r="L22" s="994">
        <f t="shared" si="2"/>
        <v>354819.89999999997</v>
      </c>
      <c r="M22" s="994">
        <v>1573.7</v>
      </c>
      <c r="N22" s="994">
        <v>0</v>
      </c>
      <c r="O22" s="994">
        <v>0</v>
      </c>
      <c r="P22" s="994">
        <v>0</v>
      </c>
      <c r="Q22" s="994">
        <v>0</v>
      </c>
      <c r="R22" s="994">
        <v>129342.6</v>
      </c>
      <c r="S22" s="994">
        <v>-9512.7999999999993</v>
      </c>
    </row>
    <row r="23" spans="1:19" s="820" customFormat="1" ht="11.25" customHeight="1">
      <c r="A23" s="818" t="s">
        <v>566</v>
      </c>
      <c r="B23" s="993">
        <v>231124.4</v>
      </c>
      <c r="C23" s="993">
        <v>124473</v>
      </c>
      <c r="D23" s="993">
        <v>141441.70000000001</v>
      </c>
      <c r="E23" s="993">
        <v>10999.9</v>
      </c>
      <c r="F23" s="993">
        <f t="shared" si="1"/>
        <v>130441.80000000002</v>
      </c>
      <c r="G23" s="993">
        <v>6633.7</v>
      </c>
      <c r="H23" s="993">
        <v>292185.59999999998</v>
      </c>
      <c r="I23" s="993">
        <v>66635.899999999994</v>
      </c>
      <c r="J23" s="993">
        <v>32.799999999999997</v>
      </c>
      <c r="K23" s="993">
        <v>0</v>
      </c>
      <c r="L23" s="993">
        <f t="shared" si="2"/>
        <v>358854.3</v>
      </c>
      <c r="M23" s="993">
        <v>1572.7</v>
      </c>
      <c r="N23" s="993">
        <v>0</v>
      </c>
      <c r="O23" s="993">
        <v>0</v>
      </c>
      <c r="P23" s="993">
        <v>0</v>
      </c>
      <c r="Q23" s="993">
        <v>0</v>
      </c>
      <c r="R23" s="993">
        <v>146392.6</v>
      </c>
      <c r="S23" s="993">
        <v>-14146.7</v>
      </c>
    </row>
    <row r="24" spans="1:19" s="807" customFormat="1" ht="11.25" customHeight="1">
      <c r="A24" s="819" t="s">
        <v>557</v>
      </c>
      <c r="B24" s="994">
        <v>245780.7</v>
      </c>
      <c r="C24" s="994">
        <v>176941.7</v>
      </c>
      <c r="D24" s="994">
        <v>144599.29999999999</v>
      </c>
      <c r="E24" s="994">
        <v>10034.1</v>
      </c>
      <c r="F24" s="994">
        <f t="shared" si="1"/>
        <v>134565.19999999998</v>
      </c>
      <c r="G24" s="994">
        <v>6717.3</v>
      </c>
      <c r="H24" s="994">
        <v>318403</v>
      </c>
      <c r="I24" s="994">
        <v>93283.3</v>
      </c>
      <c r="J24" s="994">
        <v>54.8</v>
      </c>
      <c r="K24" s="994">
        <v>0</v>
      </c>
      <c r="L24" s="994">
        <f t="shared" si="2"/>
        <v>411741.1</v>
      </c>
      <c r="M24" s="994">
        <v>2090.1999999999998</v>
      </c>
      <c r="N24" s="994">
        <v>0</v>
      </c>
      <c r="O24" s="994">
        <v>0</v>
      </c>
      <c r="P24" s="994">
        <v>0</v>
      </c>
      <c r="Q24" s="994">
        <v>0</v>
      </c>
      <c r="R24" s="994">
        <v>122311.9</v>
      </c>
      <c r="S24" s="994">
        <v>27861.599999999999</v>
      </c>
    </row>
    <row r="25" spans="1:19" s="820" customFormat="1" ht="11.25" customHeight="1">
      <c r="A25" s="1574" t="s">
        <v>2527</v>
      </c>
      <c r="B25" s="995">
        <f>B37</f>
        <v>293991.7</v>
      </c>
      <c r="C25" s="995">
        <f t="shared" ref="C25:S25" si="3">C37</f>
        <v>226621</v>
      </c>
      <c r="D25" s="995">
        <f t="shared" si="3"/>
        <v>87500.4</v>
      </c>
      <c r="E25" s="995">
        <f t="shared" si="3"/>
        <v>13151.9</v>
      </c>
      <c r="F25" s="995">
        <f t="shared" si="3"/>
        <v>74348.5</v>
      </c>
      <c r="G25" s="995">
        <f t="shared" si="3"/>
        <v>6959.6</v>
      </c>
      <c r="H25" s="995">
        <f t="shared" si="3"/>
        <v>324728.5</v>
      </c>
      <c r="I25" s="995">
        <f t="shared" si="3"/>
        <v>86435.5</v>
      </c>
      <c r="J25" s="995">
        <f t="shared" si="3"/>
        <v>46.9</v>
      </c>
      <c r="K25" s="995">
        <f t="shared" si="3"/>
        <v>0</v>
      </c>
      <c r="L25" s="995">
        <f t="shared" si="3"/>
        <v>411210.9</v>
      </c>
      <c r="M25" s="995">
        <f t="shared" si="3"/>
        <v>2324.4</v>
      </c>
      <c r="N25" s="995">
        <f t="shared" si="3"/>
        <v>0</v>
      </c>
      <c r="O25" s="995">
        <f t="shared" si="3"/>
        <v>0</v>
      </c>
      <c r="P25" s="995">
        <f t="shared" si="3"/>
        <v>0</v>
      </c>
      <c r="Q25" s="995">
        <f t="shared" si="3"/>
        <v>0</v>
      </c>
      <c r="R25" s="995">
        <f t="shared" si="3"/>
        <v>145048.70000000001</v>
      </c>
      <c r="S25" s="995">
        <f t="shared" si="3"/>
        <v>43336.800000000003</v>
      </c>
    </row>
    <row r="26" spans="1:19" s="820" customFormat="1" ht="11.25" customHeight="1">
      <c r="A26" s="819" t="s">
        <v>559</v>
      </c>
      <c r="B26" s="994">
        <v>238927.1</v>
      </c>
      <c r="C26" s="994">
        <v>145518.70000000001</v>
      </c>
      <c r="D26" s="994">
        <v>145592.4</v>
      </c>
      <c r="E26" s="994">
        <v>9985.2999999999993</v>
      </c>
      <c r="F26" s="994">
        <f t="shared" si="1"/>
        <v>135607.1</v>
      </c>
      <c r="G26" s="994">
        <v>6679.3</v>
      </c>
      <c r="H26" s="994">
        <v>313988.3</v>
      </c>
      <c r="I26" s="994">
        <v>73376.399999999994</v>
      </c>
      <c r="J26" s="994">
        <v>41.2</v>
      </c>
      <c r="K26" s="994">
        <v>0</v>
      </c>
      <c r="L26" s="994">
        <f t="shared" si="2"/>
        <v>387405.89999999997</v>
      </c>
      <c r="M26" s="994">
        <v>2027.6</v>
      </c>
      <c r="N26" s="994">
        <v>0</v>
      </c>
      <c r="O26" s="994">
        <v>0</v>
      </c>
      <c r="P26" s="994">
        <v>0</v>
      </c>
      <c r="Q26" s="994">
        <v>0</v>
      </c>
      <c r="R26" s="994">
        <v>122447.6</v>
      </c>
      <c r="S26" s="994">
        <v>14851.1</v>
      </c>
    </row>
    <row r="27" spans="1:19" s="820" customFormat="1" ht="11.25" customHeight="1">
      <c r="A27" s="818" t="s">
        <v>560</v>
      </c>
      <c r="B27" s="993">
        <v>231618.7</v>
      </c>
      <c r="C27" s="993">
        <v>153507.1</v>
      </c>
      <c r="D27" s="993">
        <v>126401.60000000001</v>
      </c>
      <c r="E27" s="993">
        <v>10180.4</v>
      </c>
      <c r="F27" s="993">
        <f t="shared" si="1"/>
        <v>116221.20000000001</v>
      </c>
      <c r="G27" s="993">
        <v>6691.2</v>
      </c>
      <c r="H27" s="993">
        <v>316798.7</v>
      </c>
      <c r="I27" s="993">
        <v>67070.3</v>
      </c>
      <c r="J27" s="993">
        <v>13.4</v>
      </c>
      <c r="K27" s="993">
        <v>0</v>
      </c>
      <c r="L27" s="993">
        <f t="shared" si="2"/>
        <v>383882.4</v>
      </c>
      <c r="M27" s="993">
        <v>2231.5</v>
      </c>
      <c r="N27" s="993">
        <v>0</v>
      </c>
      <c r="O27" s="993">
        <v>0</v>
      </c>
      <c r="P27" s="993">
        <v>0</v>
      </c>
      <c r="Q27" s="993">
        <v>0</v>
      </c>
      <c r="R27" s="993">
        <v>130035.7</v>
      </c>
      <c r="S27" s="993">
        <v>-8111.4</v>
      </c>
    </row>
    <row r="28" spans="1:19" s="820" customFormat="1" ht="11.25" customHeight="1">
      <c r="A28" s="819" t="s">
        <v>554</v>
      </c>
      <c r="B28" s="994">
        <v>231666.3</v>
      </c>
      <c r="C28" s="994">
        <v>170625.3</v>
      </c>
      <c r="D28" s="994">
        <v>102740.3</v>
      </c>
      <c r="E28" s="994">
        <v>10557.3</v>
      </c>
      <c r="F28" s="994">
        <f t="shared" si="1"/>
        <v>92183</v>
      </c>
      <c r="G28" s="994">
        <v>6713.2</v>
      </c>
      <c r="H28" s="994">
        <v>309094.2</v>
      </c>
      <c r="I28" s="994">
        <v>64247.3</v>
      </c>
      <c r="J28" s="994">
        <v>12.2</v>
      </c>
      <c r="K28" s="994">
        <v>0</v>
      </c>
      <c r="L28" s="994">
        <f t="shared" si="2"/>
        <v>373353.7</v>
      </c>
      <c r="M28" s="994">
        <v>3252.3</v>
      </c>
      <c r="N28" s="994">
        <v>0</v>
      </c>
      <c r="O28" s="994">
        <v>0</v>
      </c>
      <c r="P28" s="994">
        <v>0</v>
      </c>
      <c r="Q28" s="994">
        <v>0</v>
      </c>
      <c r="R28" s="994">
        <v>134426.20000000001</v>
      </c>
      <c r="S28" s="994">
        <v>-9844.4</v>
      </c>
    </row>
    <row r="29" spans="1:19" s="820" customFormat="1" ht="11.25" customHeight="1">
      <c r="A29" s="818" t="s">
        <v>561</v>
      </c>
      <c r="B29" s="993">
        <v>228522.6</v>
      </c>
      <c r="C29" s="993">
        <v>165334.20000000001</v>
      </c>
      <c r="D29" s="993">
        <v>105438.6</v>
      </c>
      <c r="E29" s="993">
        <v>11706.3</v>
      </c>
      <c r="F29" s="993">
        <f t="shared" si="1"/>
        <v>93732.3</v>
      </c>
      <c r="G29" s="993">
        <v>6745.9</v>
      </c>
      <c r="H29" s="993">
        <v>301078.3</v>
      </c>
      <c r="I29" s="993">
        <v>66242.3</v>
      </c>
      <c r="J29" s="993">
        <v>10.6</v>
      </c>
      <c r="K29" s="993">
        <v>0</v>
      </c>
      <c r="L29" s="993">
        <f t="shared" si="2"/>
        <v>367331.19999999995</v>
      </c>
      <c r="M29" s="993">
        <v>1101.4000000000001</v>
      </c>
      <c r="N29" s="993">
        <v>0</v>
      </c>
      <c r="O29" s="993">
        <v>0</v>
      </c>
      <c r="P29" s="993">
        <v>0</v>
      </c>
      <c r="Q29" s="993">
        <v>0</v>
      </c>
      <c r="R29" s="993">
        <v>135190.39999999999</v>
      </c>
      <c r="S29" s="993">
        <v>-9288</v>
      </c>
    </row>
    <row r="30" spans="1:19" s="820" customFormat="1" ht="11.25" customHeight="1">
      <c r="A30" s="819" t="s">
        <v>562</v>
      </c>
      <c r="B30" s="994">
        <v>223881.5</v>
      </c>
      <c r="C30" s="994">
        <v>187209.1</v>
      </c>
      <c r="D30" s="994">
        <v>108131.3</v>
      </c>
      <c r="E30" s="994">
        <v>12019.5</v>
      </c>
      <c r="F30" s="994">
        <f t="shared" si="1"/>
        <v>96111.8</v>
      </c>
      <c r="G30" s="994">
        <v>6769.9</v>
      </c>
      <c r="H30" s="994">
        <v>299845.8</v>
      </c>
      <c r="I30" s="994">
        <v>86662.1</v>
      </c>
      <c r="J30" s="994">
        <v>19.2</v>
      </c>
      <c r="K30" s="994">
        <v>0</v>
      </c>
      <c r="L30" s="994">
        <f t="shared" si="2"/>
        <v>386527.10000000003</v>
      </c>
      <c r="M30" s="994">
        <v>1657</v>
      </c>
      <c r="N30" s="994">
        <v>0</v>
      </c>
      <c r="O30" s="994">
        <v>0</v>
      </c>
      <c r="P30" s="994">
        <v>0</v>
      </c>
      <c r="Q30" s="994">
        <v>0</v>
      </c>
      <c r="R30" s="994">
        <v>135260.9</v>
      </c>
      <c r="S30" s="994">
        <v>-9472.7000000000007</v>
      </c>
    </row>
    <row r="31" spans="1:19" s="820" customFormat="1" ht="11.25" customHeight="1">
      <c r="A31" s="818" t="s">
        <v>555</v>
      </c>
      <c r="B31" s="993">
        <v>235750.8</v>
      </c>
      <c r="C31" s="993">
        <v>207730.4</v>
      </c>
      <c r="D31" s="993">
        <v>90346.4</v>
      </c>
      <c r="E31" s="993">
        <v>12988.9</v>
      </c>
      <c r="F31" s="993">
        <f t="shared" si="1"/>
        <v>77357.5</v>
      </c>
      <c r="G31" s="993">
        <v>6860.2</v>
      </c>
      <c r="H31" s="993">
        <v>302994.59999999998</v>
      </c>
      <c r="I31" s="993">
        <v>94507.9</v>
      </c>
      <c r="J31" s="993">
        <v>63.1</v>
      </c>
      <c r="K31" s="993">
        <v>0</v>
      </c>
      <c r="L31" s="993">
        <f t="shared" si="2"/>
        <v>397565.6</v>
      </c>
      <c r="M31" s="993">
        <v>1861.6</v>
      </c>
      <c r="N31" s="993">
        <v>0</v>
      </c>
      <c r="O31" s="993">
        <v>0</v>
      </c>
      <c r="P31" s="993">
        <v>0</v>
      </c>
      <c r="Q31" s="993">
        <v>0</v>
      </c>
      <c r="R31" s="993">
        <v>136787.1</v>
      </c>
      <c r="S31" s="993">
        <v>-8515.4</v>
      </c>
    </row>
    <row r="32" spans="1:19" s="820" customFormat="1" ht="11.25" customHeight="1">
      <c r="A32" s="819" t="s">
        <v>563</v>
      </c>
      <c r="B32" s="994">
        <v>238082.6</v>
      </c>
      <c r="C32" s="994">
        <v>194805.8</v>
      </c>
      <c r="D32" s="994">
        <v>89284.3</v>
      </c>
      <c r="E32" s="994">
        <v>13306.7</v>
      </c>
      <c r="F32" s="994">
        <f t="shared" si="1"/>
        <v>75977.600000000006</v>
      </c>
      <c r="G32" s="994">
        <v>6837.6</v>
      </c>
      <c r="H32" s="994">
        <v>297571.3</v>
      </c>
      <c r="I32" s="994">
        <v>79180</v>
      </c>
      <c r="J32" s="994">
        <v>17.399999999999999</v>
      </c>
      <c r="K32" s="994">
        <v>0</v>
      </c>
      <c r="L32" s="994">
        <f t="shared" si="2"/>
        <v>376768.7</v>
      </c>
      <c r="M32" s="994">
        <v>1812.3</v>
      </c>
      <c r="N32" s="994">
        <v>0</v>
      </c>
      <c r="O32" s="994">
        <v>0</v>
      </c>
      <c r="P32" s="994">
        <v>0</v>
      </c>
      <c r="Q32" s="994">
        <v>0</v>
      </c>
      <c r="R32" s="994">
        <v>143284.1</v>
      </c>
      <c r="S32" s="994">
        <v>-6161.5</v>
      </c>
    </row>
    <row r="33" spans="1:22" s="820" customFormat="1" ht="11.25" customHeight="1">
      <c r="A33" s="818" t="s">
        <v>564</v>
      </c>
      <c r="B33" s="993">
        <v>238118.39999999999</v>
      </c>
      <c r="C33" s="993">
        <v>199668.8</v>
      </c>
      <c r="D33" s="993">
        <v>84572.5</v>
      </c>
      <c r="E33" s="993">
        <v>12847.1</v>
      </c>
      <c r="F33" s="993">
        <f t="shared" si="1"/>
        <v>71725.399999999994</v>
      </c>
      <c r="G33" s="993">
        <v>6858.3</v>
      </c>
      <c r="H33" s="993">
        <v>296437.09999999998</v>
      </c>
      <c r="I33" s="993">
        <v>76210.5</v>
      </c>
      <c r="J33" s="993">
        <v>10</v>
      </c>
      <c r="K33" s="993">
        <v>0</v>
      </c>
      <c r="L33" s="993">
        <f t="shared" si="2"/>
        <v>372657.6</v>
      </c>
      <c r="M33" s="993">
        <v>1754.2</v>
      </c>
      <c r="N33" s="993">
        <v>0</v>
      </c>
      <c r="O33" s="993">
        <v>0</v>
      </c>
      <c r="P33" s="993">
        <v>0</v>
      </c>
      <c r="Q33" s="993">
        <v>0</v>
      </c>
      <c r="R33" s="993">
        <v>147951.6</v>
      </c>
      <c r="S33" s="993">
        <v>-5992.5</v>
      </c>
    </row>
    <row r="34" spans="1:22" s="820" customFormat="1" ht="11.25" customHeight="1">
      <c r="A34" s="819" t="s">
        <v>556</v>
      </c>
      <c r="B34" s="994">
        <v>240271.7</v>
      </c>
      <c r="C34" s="994">
        <v>208427.7</v>
      </c>
      <c r="D34" s="994">
        <v>102584.1</v>
      </c>
      <c r="E34" s="994">
        <v>13490.1</v>
      </c>
      <c r="F34" s="994">
        <f t="shared" si="1"/>
        <v>89094</v>
      </c>
      <c r="G34" s="994">
        <v>6882.9</v>
      </c>
      <c r="H34" s="994">
        <v>319205.59999999998</v>
      </c>
      <c r="I34" s="994">
        <v>81560.100000000006</v>
      </c>
      <c r="J34" s="994">
        <v>12.7</v>
      </c>
      <c r="K34" s="994">
        <v>0</v>
      </c>
      <c r="L34" s="994">
        <f t="shared" si="2"/>
        <v>400778.39999999997</v>
      </c>
      <c r="M34" s="994">
        <v>1875.6</v>
      </c>
      <c r="N34" s="994">
        <v>0</v>
      </c>
      <c r="O34" s="994">
        <v>0</v>
      </c>
      <c r="P34" s="994">
        <v>0</v>
      </c>
      <c r="Q34" s="994">
        <v>0</v>
      </c>
      <c r="R34" s="994">
        <v>151960.29999999999</v>
      </c>
      <c r="S34" s="994">
        <v>-9938</v>
      </c>
    </row>
    <row r="35" spans="1:22" s="820" customFormat="1" ht="11.25" customHeight="1">
      <c r="A35" s="818" t="s">
        <v>565</v>
      </c>
      <c r="B35" s="993">
        <v>251508.2</v>
      </c>
      <c r="C35" s="993">
        <v>197153.5</v>
      </c>
      <c r="D35" s="993">
        <v>91819.8</v>
      </c>
      <c r="E35" s="993">
        <v>13986</v>
      </c>
      <c r="F35" s="993">
        <f>D35-E35</f>
        <v>77833.8</v>
      </c>
      <c r="G35" s="993">
        <v>6870.5</v>
      </c>
      <c r="H35" s="993">
        <v>300725.8</v>
      </c>
      <c r="I35" s="993">
        <v>77931.600000000006</v>
      </c>
      <c r="J35" s="993">
        <v>29.7</v>
      </c>
      <c r="K35" s="993">
        <v>0</v>
      </c>
      <c r="L35" s="993">
        <f>H35+I35+J35+K35</f>
        <v>378687.10000000003</v>
      </c>
      <c r="M35" s="993">
        <v>1830.5</v>
      </c>
      <c r="N35" s="993">
        <v>0</v>
      </c>
      <c r="O35" s="993">
        <v>0</v>
      </c>
      <c r="P35" s="993">
        <v>0</v>
      </c>
      <c r="Q35" s="993">
        <v>0</v>
      </c>
      <c r="R35" s="993">
        <v>158308.4</v>
      </c>
      <c r="S35" s="993">
        <v>-5460</v>
      </c>
    </row>
    <row r="36" spans="1:22" s="820" customFormat="1" ht="11.25" customHeight="1">
      <c r="A36" s="819" t="s">
        <v>566</v>
      </c>
      <c r="B36" s="994">
        <v>243726.7</v>
      </c>
      <c r="C36" s="994">
        <v>215312.9</v>
      </c>
      <c r="D36" s="994">
        <v>94456.9</v>
      </c>
      <c r="E36" s="994">
        <v>13418.8</v>
      </c>
      <c r="F36" s="994">
        <f>D36-E36</f>
        <v>81038.099999999991</v>
      </c>
      <c r="G36" s="994">
        <v>6921</v>
      </c>
      <c r="H36" s="994">
        <v>317986.2</v>
      </c>
      <c r="I36" s="994">
        <v>78870.600000000006</v>
      </c>
      <c r="J36" s="994">
        <v>28.8</v>
      </c>
      <c r="K36" s="994">
        <v>0</v>
      </c>
      <c r="L36" s="994">
        <f>H36+I36+J36+K36</f>
        <v>396885.60000000003</v>
      </c>
      <c r="M36" s="994">
        <v>2092.6</v>
      </c>
      <c r="N36" s="994">
        <v>0</v>
      </c>
      <c r="O36" s="994">
        <v>0</v>
      </c>
      <c r="P36" s="994">
        <v>0</v>
      </c>
      <c r="Q36" s="994">
        <v>0</v>
      </c>
      <c r="R36" s="994">
        <v>160202.29999999999</v>
      </c>
      <c r="S36" s="994">
        <v>-12181.8</v>
      </c>
    </row>
    <row r="37" spans="1:22" s="820" customFormat="1" ht="11.25" customHeight="1">
      <c r="A37" s="818" t="s">
        <v>557</v>
      </c>
      <c r="B37" s="993">
        <v>293991.7</v>
      </c>
      <c r="C37" s="993">
        <v>226621</v>
      </c>
      <c r="D37" s="993">
        <v>87500.4</v>
      </c>
      <c r="E37" s="993">
        <v>13151.9</v>
      </c>
      <c r="F37" s="993">
        <f>D37-E37</f>
        <v>74348.5</v>
      </c>
      <c r="G37" s="993">
        <v>6959.6</v>
      </c>
      <c r="H37" s="993">
        <v>324728.5</v>
      </c>
      <c r="I37" s="993">
        <v>86435.5</v>
      </c>
      <c r="J37" s="993">
        <v>46.9</v>
      </c>
      <c r="K37" s="993">
        <v>0</v>
      </c>
      <c r="L37" s="993">
        <f>H37+I37+J37+K37</f>
        <v>411210.9</v>
      </c>
      <c r="M37" s="993">
        <v>2324.4</v>
      </c>
      <c r="N37" s="993">
        <v>0</v>
      </c>
      <c r="O37" s="993">
        <v>0</v>
      </c>
      <c r="P37" s="993">
        <v>0</v>
      </c>
      <c r="Q37" s="993">
        <v>0</v>
      </c>
      <c r="R37" s="993">
        <v>145048.70000000001</v>
      </c>
      <c r="S37" s="993">
        <v>43336.800000000003</v>
      </c>
    </row>
    <row r="38" spans="1:22" s="807" customFormat="1" ht="11.25" customHeight="1">
      <c r="A38" s="1573" t="s">
        <v>2762</v>
      </c>
      <c r="B38" s="994"/>
      <c r="C38" s="994"/>
      <c r="D38" s="994"/>
      <c r="E38" s="994"/>
      <c r="F38" s="994"/>
      <c r="G38" s="994"/>
      <c r="H38" s="994"/>
      <c r="I38" s="994"/>
      <c r="J38" s="994"/>
      <c r="K38" s="994"/>
      <c r="L38" s="994"/>
      <c r="M38" s="994"/>
      <c r="N38" s="994"/>
      <c r="O38" s="994"/>
      <c r="P38" s="994"/>
      <c r="Q38" s="994"/>
      <c r="R38" s="994"/>
      <c r="S38" s="994"/>
    </row>
    <row r="39" spans="1:22" s="820" customFormat="1" ht="11.25" customHeight="1">
      <c r="A39" s="818" t="s">
        <v>559</v>
      </c>
      <c r="B39" s="993">
        <v>284285.5</v>
      </c>
      <c r="C39" s="993">
        <v>211391.5</v>
      </c>
      <c r="D39" s="993">
        <v>88808.6</v>
      </c>
      <c r="E39" s="993">
        <v>13223.4</v>
      </c>
      <c r="F39" s="993">
        <f t="shared" ref="F39:F44" si="4">D39-E39</f>
        <v>75585.200000000012</v>
      </c>
      <c r="G39" s="993">
        <v>7237.4</v>
      </c>
      <c r="H39" s="993">
        <v>313334.5</v>
      </c>
      <c r="I39" s="993">
        <v>83709.5</v>
      </c>
      <c r="J39" s="993">
        <v>26.8</v>
      </c>
      <c r="K39" s="993">
        <v>0</v>
      </c>
      <c r="L39" s="993">
        <f t="shared" ref="L39:L44" si="5">H39+I39+J39+K39</f>
        <v>397070.8</v>
      </c>
      <c r="M39" s="993">
        <v>2278</v>
      </c>
      <c r="N39" s="993">
        <v>0</v>
      </c>
      <c r="O39" s="993">
        <v>0</v>
      </c>
      <c r="P39" s="993">
        <v>0</v>
      </c>
      <c r="Q39" s="993">
        <v>0</v>
      </c>
      <c r="R39" s="993">
        <v>144310.39999999999</v>
      </c>
      <c r="S39" s="993">
        <v>34840.400000000001</v>
      </c>
      <c r="V39" s="1795"/>
    </row>
    <row r="40" spans="1:22" s="820" customFormat="1" ht="11.25" customHeight="1">
      <c r="A40" s="819" t="s">
        <v>560</v>
      </c>
      <c r="B40" s="994">
        <v>289617.3</v>
      </c>
      <c r="C40" s="994">
        <v>196242.4</v>
      </c>
      <c r="D40" s="994">
        <v>78516.3</v>
      </c>
      <c r="E40" s="994">
        <v>14418.3</v>
      </c>
      <c r="F40" s="994">
        <f t="shared" si="4"/>
        <v>64098</v>
      </c>
      <c r="G40" s="994">
        <v>6962.8</v>
      </c>
      <c r="H40" s="994">
        <v>305011.8</v>
      </c>
      <c r="I40" s="994">
        <v>83479.399999999994</v>
      </c>
      <c r="J40" s="994">
        <v>33.299999999999997</v>
      </c>
      <c r="K40" s="994">
        <v>0</v>
      </c>
      <c r="L40" s="994">
        <f t="shared" si="5"/>
        <v>388524.49999999994</v>
      </c>
      <c r="M40" s="994">
        <v>1869.5</v>
      </c>
      <c r="N40" s="994">
        <v>0</v>
      </c>
      <c r="O40" s="994">
        <v>0</v>
      </c>
      <c r="P40" s="994">
        <v>0</v>
      </c>
      <c r="Q40" s="994">
        <v>0</v>
      </c>
      <c r="R40" s="994">
        <v>146309.70000000001</v>
      </c>
      <c r="S40" s="994">
        <v>20216.8</v>
      </c>
      <c r="V40" s="1795"/>
    </row>
    <row r="41" spans="1:22" s="807" customFormat="1" ht="11.25" customHeight="1">
      <c r="A41" s="818" t="s">
        <v>554</v>
      </c>
      <c r="B41" s="993">
        <v>302125.59999999998</v>
      </c>
      <c r="C41" s="993">
        <v>183101.9</v>
      </c>
      <c r="D41" s="993">
        <v>85386.9</v>
      </c>
      <c r="E41" s="993">
        <v>17085.900000000001</v>
      </c>
      <c r="F41" s="993">
        <f t="shared" si="4"/>
        <v>68301</v>
      </c>
      <c r="G41" s="993">
        <v>6969.5</v>
      </c>
      <c r="H41" s="993">
        <v>301494.40000000002</v>
      </c>
      <c r="I41" s="993">
        <v>84691.8</v>
      </c>
      <c r="J41" s="993">
        <v>18.7</v>
      </c>
      <c r="K41" s="993">
        <v>0</v>
      </c>
      <c r="L41" s="993">
        <f t="shared" si="5"/>
        <v>386204.9</v>
      </c>
      <c r="M41" s="993">
        <v>1788.6</v>
      </c>
      <c r="N41" s="993">
        <v>0</v>
      </c>
      <c r="O41" s="993">
        <v>0</v>
      </c>
      <c r="P41" s="993">
        <v>0</v>
      </c>
      <c r="Q41" s="993">
        <v>0</v>
      </c>
      <c r="R41" s="993">
        <v>150933.9</v>
      </c>
      <c r="S41" s="993">
        <v>21570.6</v>
      </c>
      <c r="U41" s="820"/>
      <c r="V41" s="1795"/>
    </row>
    <row r="42" spans="1:22" s="807" customFormat="1" ht="11.25" customHeight="1">
      <c r="A42" s="819" t="s">
        <v>561</v>
      </c>
      <c r="B42" s="994">
        <v>305459.59999999998</v>
      </c>
      <c r="C42" s="994">
        <v>176701.7</v>
      </c>
      <c r="D42" s="994">
        <v>87268.800000000003</v>
      </c>
      <c r="E42" s="994">
        <v>19020</v>
      </c>
      <c r="F42" s="994">
        <f t="shared" si="4"/>
        <v>68248.800000000003</v>
      </c>
      <c r="G42" s="994">
        <v>6984.6</v>
      </c>
      <c r="H42" s="994">
        <v>296761.40000000002</v>
      </c>
      <c r="I42" s="994">
        <v>82112.399999999994</v>
      </c>
      <c r="J42" s="994">
        <v>14.6</v>
      </c>
      <c r="K42" s="994">
        <v>0</v>
      </c>
      <c r="L42" s="994">
        <f t="shared" si="5"/>
        <v>378888.4</v>
      </c>
      <c r="M42" s="994">
        <v>1527.6</v>
      </c>
      <c r="N42" s="994">
        <v>0</v>
      </c>
      <c r="O42" s="994">
        <v>0</v>
      </c>
      <c r="P42" s="994">
        <v>0</v>
      </c>
      <c r="Q42" s="994">
        <v>0</v>
      </c>
      <c r="R42" s="994">
        <v>154608.6</v>
      </c>
      <c r="S42" s="994">
        <v>22370.1</v>
      </c>
      <c r="U42" s="820"/>
      <c r="V42" s="1795"/>
    </row>
    <row r="43" spans="1:22" ht="11.25" customHeight="1">
      <c r="A43" s="818" t="s">
        <v>562</v>
      </c>
      <c r="B43" s="993">
        <v>301884.2</v>
      </c>
      <c r="C43" s="993">
        <v>188546.3</v>
      </c>
      <c r="D43" s="993">
        <v>106122.4</v>
      </c>
      <c r="E43" s="993">
        <v>19802.2</v>
      </c>
      <c r="F43" s="993">
        <f t="shared" si="4"/>
        <v>86320.2</v>
      </c>
      <c r="G43" s="993">
        <v>7001.5</v>
      </c>
      <c r="H43" s="993">
        <v>297779</v>
      </c>
      <c r="I43" s="993">
        <v>105548.1</v>
      </c>
      <c r="J43" s="993">
        <v>18.399999999999999</v>
      </c>
      <c r="K43" s="993">
        <v>0</v>
      </c>
      <c r="L43" s="993">
        <f t="shared" si="5"/>
        <v>403345.5</v>
      </c>
      <c r="M43" s="993">
        <v>2009.8</v>
      </c>
      <c r="N43" s="993">
        <v>0</v>
      </c>
      <c r="O43" s="993">
        <v>0</v>
      </c>
      <c r="P43" s="993">
        <v>0</v>
      </c>
      <c r="Q43" s="993">
        <v>0</v>
      </c>
      <c r="R43" s="993">
        <v>157588.1</v>
      </c>
      <c r="S43" s="993">
        <v>20808.8</v>
      </c>
      <c r="U43" s="820"/>
      <c r="V43" s="1795"/>
    </row>
    <row r="44" spans="1:22" s="1139" customFormat="1" ht="11.25" customHeight="1">
      <c r="A44" s="819" t="s">
        <v>555</v>
      </c>
      <c r="B44" s="994">
        <v>317802.09999999998</v>
      </c>
      <c r="C44" s="994">
        <v>214761.3</v>
      </c>
      <c r="D44" s="994">
        <v>102792.8</v>
      </c>
      <c r="E44" s="994">
        <v>20480.599999999999</v>
      </c>
      <c r="F44" s="994">
        <f t="shared" si="4"/>
        <v>82312.200000000012</v>
      </c>
      <c r="G44" s="994">
        <v>7067</v>
      </c>
      <c r="H44" s="994">
        <v>303257.40000000002</v>
      </c>
      <c r="I44" s="994">
        <v>131038.1</v>
      </c>
      <c r="J44" s="994">
        <v>18</v>
      </c>
      <c r="K44" s="994">
        <v>0</v>
      </c>
      <c r="L44" s="994">
        <f t="shared" si="5"/>
        <v>434313.5</v>
      </c>
      <c r="M44" s="994">
        <v>1693.8</v>
      </c>
      <c r="N44" s="994">
        <v>0</v>
      </c>
      <c r="O44" s="994">
        <v>0</v>
      </c>
      <c r="P44" s="994">
        <v>0</v>
      </c>
      <c r="Q44" s="994">
        <v>0</v>
      </c>
      <c r="R44" s="994">
        <v>162064.9</v>
      </c>
      <c r="S44" s="994">
        <v>23870.400000000001</v>
      </c>
      <c r="U44" s="820"/>
      <c r="V44" s="1795"/>
    </row>
    <row r="45" spans="1:22" ht="11.25" customHeight="1">
      <c r="A45" s="818" t="s">
        <v>563</v>
      </c>
      <c r="B45" s="993">
        <v>327284</v>
      </c>
      <c r="C45" s="993">
        <v>201976.4</v>
      </c>
      <c r="D45" s="993">
        <v>95131.3</v>
      </c>
      <c r="E45" s="993">
        <v>21127.8</v>
      </c>
      <c r="F45" s="993">
        <v>74003.5</v>
      </c>
      <c r="G45" s="993">
        <v>7054.6</v>
      </c>
      <c r="H45" s="993">
        <v>310150.8</v>
      </c>
      <c r="I45" s="993">
        <v>105751.8</v>
      </c>
      <c r="J45" s="993">
        <v>37.4</v>
      </c>
      <c r="K45" s="993">
        <v>0</v>
      </c>
      <c r="L45" s="993">
        <v>415940</v>
      </c>
      <c r="M45" s="993">
        <v>3680.7</v>
      </c>
      <c r="N45" s="993">
        <v>0</v>
      </c>
      <c r="O45" s="993">
        <v>0</v>
      </c>
      <c r="P45" s="993">
        <v>0</v>
      </c>
      <c r="Q45" s="993">
        <v>0</v>
      </c>
      <c r="R45" s="993">
        <v>171897.60000000001</v>
      </c>
      <c r="S45" s="993">
        <v>188002</v>
      </c>
      <c r="U45" s="820"/>
      <c r="V45" s="1795"/>
    </row>
    <row r="46" spans="1:22" ht="11.25" customHeight="1" thickBot="1">
      <c r="A46" s="1851" t="s">
        <v>564</v>
      </c>
      <c r="B46" s="1852">
        <v>342571.3</v>
      </c>
      <c r="C46" s="1852">
        <v>198545.2</v>
      </c>
      <c r="D46" s="1852">
        <v>91318.2</v>
      </c>
      <c r="E46" s="1852">
        <v>22724.1</v>
      </c>
      <c r="F46" s="1852">
        <v>6859.4100000000008</v>
      </c>
      <c r="G46" s="1852">
        <v>7074.2</v>
      </c>
      <c r="H46" s="1852">
        <v>315910.7</v>
      </c>
      <c r="I46" s="1852">
        <v>106653.6</v>
      </c>
      <c r="J46" s="1852">
        <v>35.700000000000003</v>
      </c>
      <c r="K46" s="1852">
        <v>0</v>
      </c>
      <c r="L46" s="1852">
        <v>422600</v>
      </c>
      <c r="M46" s="1852">
        <v>2625.7</v>
      </c>
      <c r="N46" s="1852">
        <v>0</v>
      </c>
      <c r="O46" s="1852">
        <v>0</v>
      </c>
      <c r="P46" s="1852">
        <v>0</v>
      </c>
      <c r="Q46" s="1852">
        <v>0</v>
      </c>
      <c r="R46" s="1852">
        <v>173110.9</v>
      </c>
      <c r="S46" s="1852">
        <v>18448.2</v>
      </c>
    </row>
    <row r="47" spans="1:22">
      <c r="A47" s="674" t="s">
        <v>16</v>
      </c>
      <c r="B47" s="675" t="s">
        <v>1219</v>
      </c>
      <c r="C47" s="675"/>
      <c r="G47" s="678" t="s">
        <v>1309</v>
      </c>
      <c r="H47" s="807"/>
      <c r="I47" s="442"/>
      <c r="J47" s="807"/>
      <c r="K47" s="807"/>
      <c r="L47" s="807"/>
      <c r="M47" s="807"/>
      <c r="N47" s="807"/>
      <c r="O47" s="807"/>
      <c r="P47" s="807"/>
      <c r="Q47" s="807"/>
      <c r="R47" s="807"/>
      <c r="S47" s="807"/>
    </row>
    <row r="48" spans="1:22" ht="13.5" customHeight="1">
      <c r="A48" s="1139"/>
      <c r="B48" s="1443"/>
      <c r="C48" s="789"/>
      <c r="D48" s="789"/>
      <c r="E48" s="789"/>
      <c r="F48" s="1136"/>
      <c r="G48" s="1136"/>
      <c r="H48" s="1136"/>
      <c r="I48" s="1136"/>
      <c r="J48" s="1136"/>
      <c r="K48" s="1672"/>
      <c r="L48" s="1139"/>
      <c r="M48" s="789"/>
      <c r="N48" s="557"/>
      <c r="O48" s="789"/>
      <c r="P48" s="557"/>
      <c r="Q48" s="557"/>
      <c r="R48" s="789"/>
      <c r="S48" s="789"/>
    </row>
    <row r="49" spans="2:20" hidden="1">
      <c r="B49" s="997"/>
      <c r="C49" s="997"/>
      <c r="D49" s="997"/>
      <c r="E49" s="997"/>
      <c r="F49" s="997"/>
      <c r="G49" s="997"/>
      <c r="H49" s="997"/>
      <c r="I49" s="997"/>
      <c r="J49" s="997"/>
      <c r="K49" s="997"/>
      <c r="L49" s="997"/>
      <c r="M49" s="997"/>
      <c r="N49" s="997"/>
      <c r="O49" s="997"/>
      <c r="P49" s="997"/>
      <c r="Q49" s="997"/>
      <c r="R49" s="997"/>
      <c r="S49" s="997"/>
    </row>
    <row r="50" spans="2:20">
      <c r="B50" s="997"/>
      <c r="C50" s="997"/>
      <c r="D50" s="997"/>
      <c r="E50" s="997"/>
      <c r="F50" s="997"/>
      <c r="G50" s="997"/>
      <c r="H50" s="997"/>
      <c r="I50" s="997"/>
      <c r="J50" s="997"/>
      <c r="K50" s="997"/>
      <c r="L50" s="997"/>
      <c r="M50" s="997"/>
      <c r="N50" s="997"/>
      <c r="O50" s="997"/>
      <c r="P50" s="997"/>
      <c r="Q50" s="997"/>
      <c r="R50" s="997"/>
      <c r="S50" s="997"/>
    </row>
    <row r="51" spans="2:20">
      <c r="B51" s="1058"/>
      <c r="C51" s="1058"/>
      <c r="D51" s="1058"/>
      <c r="E51" s="1058"/>
      <c r="F51" s="1058"/>
      <c r="G51" s="1058"/>
      <c r="H51" s="997"/>
      <c r="I51" s="1058"/>
      <c r="J51" s="1058"/>
      <c r="K51" s="1058"/>
      <c r="M51" s="1058"/>
      <c r="N51" s="1058"/>
      <c r="O51" s="1058"/>
      <c r="P51" s="1058"/>
      <c r="Q51" s="1058"/>
      <c r="R51" s="1058"/>
      <c r="S51" s="1058"/>
      <c r="T51" s="1531"/>
    </row>
    <row r="52" spans="2:20">
      <c r="B52" s="1058"/>
      <c r="C52" s="1058"/>
      <c r="D52" s="1058"/>
      <c r="E52" s="1058"/>
      <c r="F52" s="1058"/>
      <c r="G52" s="1058"/>
      <c r="H52" s="1058"/>
      <c r="I52" s="1058"/>
      <c r="J52" s="1058"/>
      <c r="K52" s="1058"/>
      <c r="M52" s="1058"/>
      <c r="N52" s="1058"/>
      <c r="O52" s="1058"/>
      <c r="P52" s="1058"/>
      <c r="Q52" s="1058"/>
      <c r="R52" s="1058"/>
      <c r="S52" s="1058"/>
      <c r="T52" s="1531"/>
    </row>
    <row r="53" spans="2:20">
      <c r="B53" s="1531"/>
      <c r="C53" s="1531"/>
      <c r="D53" s="1531"/>
      <c r="E53" s="1531"/>
      <c r="F53" s="1531"/>
      <c r="G53" s="1531"/>
      <c r="H53" s="1531"/>
      <c r="I53" s="1531"/>
      <c r="J53" s="1531"/>
      <c r="K53" s="1531"/>
      <c r="L53" s="1531"/>
      <c r="M53" s="1531"/>
      <c r="N53" s="1531"/>
      <c r="O53" s="1531"/>
      <c r="P53" s="1531"/>
      <c r="Q53" s="1531"/>
      <c r="R53" s="1531"/>
      <c r="S53" s="1531"/>
    </row>
    <row r="54" spans="2:20">
      <c r="B54" s="1531"/>
      <c r="C54" s="1531"/>
      <c r="D54" s="1531"/>
      <c r="E54" s="1531"/>
      <c r="F54" s="1531"/>
      <c r="G54" s="1531"/>
      <c r="H54" s="1531"/>
      <c r="I54" s="1531"/>
      <c r="J54" s="1531"/>
      <c r="K54" s="1531"/>
      <c r="M54" s="1531"/>
      <c r="N54" s="1531"/>
      <c r="O54" s="1531"/>
      <c r="P54" s="1531"/>
      <c r="Q54" s="1531"/>
      <c r="R54" s="1531"/>
      <c r="S54" s="1531"/>
    </row>
    <row r="55" spans="2:20">
      <c r="B55" s="1531"/>
      <c r="C55" s="1531"/>
      <c r="D55" s="1531"/>
      <c r="E55" s="1531"/>
      <c r="F55" s="1531"/>
      <c r="G55" s="1531"/>
      <c r="H55" s="1531"/>
      <c r="I55" s="1531"/>
      <c r="J55" s="1531"/>
      <c r="K55" s="1531"/>
      <c r="M55" s="1531"/>
      <c r="N55" s="1531"/>
      <c r="O55" s="1531"/>
      <c r="P55" s="1531"/>
      <c r="Q55" s="1531"/>
      <c r="R55" s="1531"/>
      <c r="S55" s="1531"/>
    </row>
    <row r="56" spans="2:20">
      <c r="B56" s="997"/>
      <c r="C56" s="997"/>
      <c r="D56" s="997"/>
      <c r="E56" s="997"/>
      <c r="F56" s="997"/>
      <c r="G56" s="997"/>
      <c r="H56" s="997"/>
      <c r="I56" s="997"/>
      <c r="J56" s="997"/>
      <c r="K56" s="997"/>
      <c r="L56" s="997"/>
      <c r="M56" s="997"/>
      <c r="N56" s="997"/>
      <c r="O56" s="997"/>
      <c r="P56" s="997"/>
      <c r="Q56" s="997"/>
      <c r="R56" s="997"/>
      <c r="S56" s="997"/>
    </row>
    <row r="57" spans="2:20">
      <c r="B57" s="997"/>
      <c r="C57" s="997"/>
      <c r="D57" s="997"/>
      <c r="E57" s="997"/>
      <c r="F57" s="997"/>
      <c r="G57" s="997"/>
      <c r="H57" s="997"/>
      <c r="I57" s="997"/>
      <c r="J57" s="997"/>
      <c r="K57" s="997"/>
      <c r="L57" s="997"/>
      <c r="M57" s="997"/>
      <c r="N57" s="997"/>
      <c r="O57" s="997"/>
      <c r="P57" s="997"/>
      <c r="Q57" s="997"/>
      <c r="S57" s="1727"/>
    </row>
    <row r="58" spans="2:20">
      <c r="D58" s="1091"/>
      <c r="E58" s="997"/>
      <c r="F58" s="1091"/>
      <c r="G58" s="1091"/>
      <c r="H58" s="1091"/>
      <c r="I58" s="1091"/>
      <c r="J58" s="1091"/>
      <c r="K58" s="997"/>
      <c r="M58" s="678"/>
      <c r="N58" s="678"/>
      <c r="O58" s="678"/>
      <c r="P58" s="678"/>
    </row>
    <row r="59" spans="2:20">
      <c r="D59" s="1091"/>
      <c r="E59" s="997"/>
      <c r="F59" s="1091"/>
      <c r="G59" s="1091"/>
      <c r="H59" s="1091"/>
      <c r="I59" s="1091"/>
      <c r="J59" s="1091"/>
      <c r="K59" s="997"/>
      <c r="M59" s="678"/>
      <c r="N59" s="678"/>
      <c r="O59" s="678"/>
      <c r="P59" s="678"/>
    </row>
    <row r="60" spans="2:20">
      <c r="D60" s="1091"/>
      <c r="E60" s="997"/>
      <c r="F60" s="1091"/>
      <c r="G60" s="1091"/>
      <c r="H60" s="1091"/>
      <c r="I60" s="1091"/>
      <c r="J60" s="1091"/>
      <c r="K60" s="997"/>
      <c r="M60" s="678"/>
      <c r="N60" s="678"/>
      <c r="O60" s="678"/>
      <c r="P60" s="678"/>
    </row>
    <row r="61" spans="2:20">
      <c r="D61" s="1091"/>
      <c r="E61" s="997"/>
      <c r="F61" s="1091"/>
      <c r="G61" s="1091"/>
      <c r="H61" s="1091"/>
      <c r="I61" s="1091"/>
      <c r="J61" s="1091"/>
      <c r="K61" s="997"/>
      <c r="M61" s="678"/>
      <c r="N61" s="678"/>
      <c r="O61" s="678"/>
      <c r="P61" s="678"/>
    </row>
    <row r="62" spans="2:20">
      <c r="D62" s="1091"/>
      <c r="E62" s="997"/>
      <c r="F62" s="1091"/>
      <c r="G62" s="1091"/>
      <c r="H62" s="1091"/>
      <c r="I62" s="1091"/>
      <c r="J62" s="1091"/>
      <c r="K62" s="997"/>
      <c r="M62" s="678"/>
      <c r="N62" s="678"/>
      <c r="O62" s="678"/>
      <c r="P62" s="678"/>
    </row>
    <row r="63" spans="2:20">
      <c r="D63" s="1091"/>
      <c r="E63" s="997"/>
      <c r="F63" s="1091"/>
      <c r="G63" s="1091"/>
      <c r="H63" s="1091"/>
      <c r="I63" s="1091"/>
      <c r="J63" s="1091"/>
      <c r="K63" s="997"/>
      <c r="M63" s="678"/>
      <c r="N63" s="678"/>
      <c r="O63" s="678"/>
      <c r="P63" s="678"/>
    </row>
    <row r="64" spans="2:20">
      <c r="D64" s="1091"/>
      <c r="E64" s="997"/>
      <c r="F64" s="1091"/>
      <c r="G64" s="1091"/>
      <c r="H64" s="1091"/>
      <c r="I64" s="1091"/>
      <c r="J64" s="1091"/>
      <c r="K64" s="997"/>
      <c r="M64" s="678"/>
      <c r="N64" s="678"/>
      <c r="O64" s="678"/>
      <c r="P64" s="678"/>
    </row>
    <row r="65" spans="4:16">
      <c r="D65" s="1091"/>
      <c r="E65" s="997"/>
      <c r="F65" s="1091"/>
      <c r="G65" s="1091"/>
      <c r="H65" s="1091"/>
      <c r="I65" s="1091"/>
      <c r="J65" s="1091"/>
      <c r="K65" s="997"/>
      <c r="M65" s="678"/>
      <c r="N65" s="678"/>
      <c r="O65" s="678"/>
      <c r="P65" s="678"/>
    </row>
    <row r="66" spans="4:16">
      <c r="D66" s="1091"/>
      <c r="E66" s="997"/>
      <c r="F66" s="1091"/>
      <c r="G66" s="1091"/>
      <c r="H66" s="1091"/>
      <c r="I66" s="1091"/>
      <c r="J66" s="1091"/>
      <c r="K66" s="997"/>
      <c r="M66" s="678"/>
      <c r="N66" s="678"/>
      <c r="O66" s="678"/>
      <c r="P66" s="678"/>
    </row>
    <row r="67" spans="4:16">
      <c r="D67" s="1091"/>
      <c r="E67" s="997"/>
      <c r="F67" s="1091"/>
      <c r="G67" s="1091"/>
      <c r="H67" s="1091"/>
      <c r="I67" s="1091"/>
      <c r="J67" s="1091"/>
      <c r="K67" s="997"/>
      <c r="M67" s="678"/>
      <c r="N67" s="678"/>
      <c r="O67" s="678"/>
      <c r="P67" s="678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  <mergeCell ref="A3:A5"/>
    <mergeCell ref="M3:M4"/>
    <mergeCell ref="N3:N4"/>
    <mergeCell ref="O3:O4"/>
    <mergeCell ref="S3:S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T78"/>
  <sheetViews>
    <sheetView topLeftCell="A40" zoomScale="150" zoomScaleNormal="150" zoomScaleSheetLayoutView="110" workbookViewId="0">
      <selection activeCell="I51" sqref="I51"/>
    </sheetView>
  </sheetViews>
  <sheetFormatPr defaultRowHeight="12.75"/>
  <cols>
    <col min="1" max="1" width="7.7109375" style="1506" customWidth="1"/>
    <col min="2" max="9" width="8.7109375" style="1506" customWidth="1"/>
    <col min="10" max="10" width="12" style="1506" customWidth="1"/>
    <col min="11" max="11" width="16.7109375" style="1506" customWidth="1"/>
    <col min="12" max="12" width="10.7109375" style="1506" customWidth="1"/>
    <col min="13" max="13" width="12.42578125" style="1506" customWidth="1"/>
    <col min="14" max="14" width="9.140625" style="1506"/>
    <col min="15" max="15" width="8.5703125" style="1506" bestFit="1" customWidth="1"/>
    <col min="16" max="16" width="9.140625" style="1506" customWidth="1"/>
    <col min="17" max="16384" width="9.140625" style="1506"/>
  </cols>
  <sheetData>
    <row r="1" spans="1:16" ht="15.75">
      <c r="A1" s="1706"/>
      <c r="B1" s="1706"/>
      <c r="C1" s="1706"/>
      <c r="D1" s="1706"/>
      <c r="E1" s="1706"/>
      <c r="F1" s="2042" t="s">
        <v>125</v>
      </c>
      <c r="G1" s="2042"/>
      <c r="H1" s="2042"/>
      <c r="I1" s="2042"/>
      <c r="J1" s="1259" t="s">
        <v>298</v>
      </c>
      <c r="K1" s="1260"/>
      <c r="L1" s="1260"/>
      <c r="M1" s="1260"/>
      <c r="N1" s="1260"/>
      <c r="O1" s="2014" t="s">
        <v>192</v>
      </c>
      <c r="P1" s="2014"/>
    </row>
    <row r="2" spans="1:16">
      <c r="A2" s="1261"/>
      <c r="B2" s="1261"/>
      <c r="C2" s="1261"/>
      <c r="D2" s="1261"/>
      <c r="E2" s="1261"/>
      <c r="F2" s="2034" t="s">
        <v>788</v>
      </c>
      <c r="G2" s="2034"/>
      <c r="H2" s="2034"/>
      <c r="I2" s="2034"/>
      <c r="J2" s="1262" t="s">
        <v>1241</v>
      </c>
      <c r="K2" s="1262"/>
      <c r="L2" s="1263"/>
      <c r="M2" s="1263"/>
      <c r="N2" s="1263"/>
      <c r="O2" s="2020"/>
      <c r="P2" s="2020"/>
    </row>
    <row r="3" spans="1:16" ht="25.5" customHeight="1">
      <c r="A3" s="2015" t="s">
        <v>481</v>
      </c>
      <c r="B3" s="2051" t="s">
        <v>818</v>
      </c>
      <c r="C3" s="2051"/>
      <c r="D3" s="2051"/>
      <c r="E3" s="2052"/>
      <c r="F3" s="2035" t="s">
        <v>2261</v>
      </c>
      <c r="G3" s="2036"/>
      <c r="H3" s="2036"/>
      <c r="I3" s="2037"/>
      <c r="J3" s="2021" t="s">
        <v>2220</v>
      </c>
      <c r="K3" s="2022"/>
      <c r="L3" s="2023" t="s">
        <v>2221</v>
      </c>
      <c r="M3" s="2022"/>
      <c r="N3" s="2021" t="s">
        <v>282</v>
      </c>
      <c r="O3" s="2022"/>
      <c r="P3" s="2024" t="s">
        <v>481</v>
      </c>
    </row>
    <row r="4" spans="1:16" ht="12.75" customHeight="1">
      <c r="A4" s="2015"/>
      <c r="B4" s="2053"/>
      <c r="C4" s="2053"/>
      <c r="D4" s="2053"/>
      <c r="E4" s="2054"/>
      <c r="F4" s="2029" t="s">
        <v>2262</v>
      </c>
      <c r="G4" s="2030"/>
      <c r="H4" s="2030"/>
      <c r="I4" s="2031"/>
      <c r="J4" s="2018" t="s">
        <v>188</v>
      </c>
      <c r="K4" s="2019"/>
      <c r="L4" s="2021" t="s">
        <v>2222</v>
      </c>
      <c r="M4" s="2022"/>
      <c r="N4" s="2027" t="s">
        <v>1119</v>
      </c>
      <c r="O4" s="2028"/>
      <c r="P4" s="2025"/>
    </row>
    <row r="5" spans="1:16" ht="12.75" customHeight="1">
      <c r="A5" s="2015"/>
      <c r="B5" s="2040" t="s">
        <v>2183</v>
      </c>
      <c r="C5" s="2038" t="s">
        <v>816</v>
      </c>
      <c r="D5" s="2038" t="s">
        <v>2184</v>
      </c>
      <c r="E5" s="2038" t="s">
        <v>817</v>
      </c>
      <c r="F5" s="2016" t="s">
        <v>1910</v>
      </c>
      <c r="G5" s="2032" t="s">
        <v>1911</v>
      </c>
      <c r="H5" s="2032" t="s">
        <v>1912</v>
      </c>
      <c r="I5" s="2032" t="s">
        <v>2185</v>
      </c>
      <c r="J5" s="2016" t="s">
        <v>3006</v>
      </c>
      <c r="K5" s="2016" t="s">
        <v>2761</v>
      </c>
      <c r="L5" s="2016" t="s">
        <v>2666</v>
      </c>
      <c r="M5" s="2048" t="s">
        <v>2223</v>
      </c>
      <c r="N5" s="2016" t="s">
        <v>1004</v>
      </c>
      <c r="O5" s="2016" t="s">
        <v>1003</v>
      </c>
      <c r="P5" s="2025"/>
    </row>
    <row r="6" spans="1:16" ht="24" customHeight="1">
      <c r="A6" s="2015"/>
      <c r="B6" s="2041"/>
      <c r="C6" s="2039"/>
      <c r="D6" s="2039"/>
      <c r="E6" s="2039"/>
      <c r="F6" s="2017"/>
      <c r="G6" s="2033"/>
      <c r="H6" s="2033"/>
      <c r="I6" s="2033"/>
      <c r="J6" s="2017"/>
      <c r="K6" s="2017"/>
      <c r="L6" s="2017"/>
      <c r="M6" s="2049"/>
      <c r="N6" s="2017"/>
      <c r="O6" s="2017"/>
      <c r="P6" s="2025"/>
    </row>
    <row r="7" spans="1:16">
      <c r="A7" s="2015"/>
      <c r="B7" s="1492">
        <v>1</v>
      </c>
      <c r="C7" s="1264">
        <v>2</v>
      </c>
      <c r="D7" s="1264">
        <v>3</v>
      </c>
      <c r="E7" s="1264">
        <v>4</v>
      </c>
      <c r="F7" s="1264">
        <v>5</v>
      </c>
      <c r="G7" s="1264">
        <v>6</v>
      </c>
      <c r="H7" s="1264">
        <v>7</v>
      </c>
      <c r="I7" s="1264">
        <v>8</v>
      </c>
      <c r="J7" s="1264">
        <v>9</v>
      </c>
      <c r="K7" s="1264">
        <v>10</v>
      </c>
      <c r="L7" s="1264">
        <v>11</v>
      </c>
      <c r="M7" s="1264">
        <v>12</v>
      </c>
      <c r="N7" s="1264">
        <v>13</v>
      </c>
      <c r="O7" s="1264">
        <v>14</v>
      </c>
      <c r="P7" s="2026"/>
    </row>
    <row r="8" spans="1:16" ht="9.6" customHeight="1">
      <c r="A8" s="1267" t="s">
        <v>814</v>
      </c>
      <c r="B8" s="1268" t="s">
        <v>292</v>
      </c>
      <c r="C8" s="1268">
        <v>8.0500000000000007</v>
      </c>
      <c r="D8" s="1268" t="s">
        <v>292</v>
      </c>
      <c r="E8" s="1268">
        <v>6.78</v>
      </c>
      <c r="F8" s="1269">
        <v>195.19</v>
      </c>
      <c r="G8" s="1269">
        <v>153.15</v>
      </c>
      <c r="H8" s="1269">
        <v>160.43</v>
      </c>
      <c r="I8" s="1269">
        <f t="shared" ref="I8:I11" si="0">(F8*93.28+G8*2.68+4.04*H8)/100</f>
        <v>192.65902399999999</v>
      </c>
      <c r="J8" s="1270">
        <v>27027.45</v>
      </c>
      <c r="K8" s="1270">
        <v>37289.800000000003</v>
      </c>
      <c r="L8" s="1270">
        <v>15318.34</v>
      </c>
      <c r="M8" s="1268" t="s">
        <v>292</v>
      </c>
      <c r="N8" s="1271">
        <v>79.935900000000004</v>
      </c>
      <c r="O8" s="1271">
        <v>77.759299999999996</v>
      </c>
      <c r="P8" s="1272" t="s">
        <v>814</v>
      </c>
    </row>
    <row r="9" spans="1:16" ht="9.6" customHeight="1">
      <c r="A9" s="1273" t="s">
        <v>991</v>
      </c>
      <c r="B9" s="1265" t="s">
        <v>292</v>
      </c>
      <c r="C9" s="1274">
        <v>6.97</v>
      </c>
      <c r="D9" s="1265" t="s">
        <v>292</v>
      </c>
      <c r="E9" s="1274">
        <v>7.35</v>
      </c>
      <c r="F9" s="1275">
        <v>213.22</v>
      </c>
      <c r="G9" s="1275">
        <v>157.18</v>
      </c>
      <c r="H9" s="1275">
        <v>177.2</v>
      </c>
      <c r="I9" s="1275">
        <f t="shared" si="0"/>
        <v>210.26291999999998</v>
      </c>
      <c r="J9" s="1276">
        <v>30186.62</v>
      </c>
      <c r="K9" s="1276">
        <v>40616.400000000001</v>
      </c>
      <c r="L9" s="1276">
        <v>21508.89</v>
      </c>
      <c r="M9" s="1265" t="s">
        <v>292</v>
      </c>
      <c r="N9" s="1277">
        <v>77.72</v>
      </c>
      <c r="O9" s="1277">
        <v>77.63</v>
      </c>
      <c r="P9" s="1278" t="s">
        <v>991</v>
      </c>
    </row>
    <row r="10" spans="1:16" ht="9.6" customHeight="1">
      <c r="A10" s="1267" t="s">
        <v>1042</v>
      </c>
      <c r="B10" s="1268" t="s">
        <v>292</v>
      </c>
      <c r="C10" s="1269">
        <v>6.25</v>
      </c>
      <c r="D10" s="1268" t="s">
        <v>292</v>
      </c>
      <c r="E10" s="1269">
        <v>6.4</v>
      </c>
      <c r="F10" s="1269">
        <v>236.11</v>
      </c>
      <c r="G10" s="1269">
        <v>172.97</v>
      </c>
      <c r="H10" s="1269">
        <v>191.06</v>
      </c>
      <c r="I10" s="1269">
        <f t="shared" si="0"/>
        <v>232.59782800000002</v>
      </c>
      <c r="J10" s="1270">
        <v>31208.949999999997</v>
      </c>
      <c r="K10" s="1270">
        <v>40703.699999999997</v>
      </c>
      <c r="L10" s="1270">
        <v>25026.06</v>
      </c>
      <c r="M10" s="1268" t="s">
        <v>292</v>
      </c>
      <c r="N10" s="1271">
        <v>77.674999999999997</v>
      </c>
      <c r="O10" s="1271">
        <v>77.800399999999996</v>
      </c>
      <c r="P10" s="1272" t="s">
        <v>1042</v>
      </c>
    </row>
    <row r="11" spans="1:16" ht="9.6" customHeight="1">
      <c r="A11" s="1273" t="s">
        <v>1163</v>
      </c>
      <c r="B11" s="1265" t="s">
        <v>292</v>
      </c>
      <c r="C11" s="1275">
        <v>5.53</v>
      </c>
      <c r="D11" s="1265" t="s">
        <v>292</v>
      </c>
      <c r="E11" s="1275">
        <v>5.92</v>
      </c>
      <c r="F11" s="1275">
        <v>100</v>
      </c>
      <c r="G11" s="1275">
        <v>100</v>
      </c>
      <c r="H11" s="1275">
        <v>100</v>
      </c>
      <c r="I11" s="1275">
        <f t="shared" si="0"/>
        <v>100</v>
      </c>
      <c r="J11" s="1276">
        <v>34257.18</v>
      </c>
      <c r="K11" s="1276">
        <v>43122.5</v>
      </c>
      <c r="L11" s="1276">
        <v>30355.56</v>
      </c>
      <c r="M11" s="1265" t="s">
        <v>292</v>
      </c>
      <c r="N11" s="1277">
        <v>78.268600000000006</v>
      </c>
      <c r="O11" s="1277">
        <v>78.400000000000006</v>
      </c>
      <c r="P11" s="1278" t="s">
        <v>1163</v>
      </c>
    </row>
    <row r="12" spans="1:16" ht="9.6" customHeight="1">
      <c r="A12" s="1267" t="s">
        <v>1187</v>
      </c>
      <c r="B12" s="1268" t="s">
        <v>292</v>
      </c>
      <c r="C12" s="1269">
        <v>5.94</v>
      </c>
      <c r="D12" s="1268" t="s">
        <v>292</v>
      </c>
      <c r="E12" s="1269">
        <v>5.44</v>
      </c>
      <c r="F12" s="1269">
        <v>111</v>
      </c>
      <c r="G12" s="1269">
        <v>100.36</v>
      </c>
      <c r="H12" s="1269">
        <v>110.27</v>
      </c>
      <c r="I12" s="1269">
        <f t="shared" ref="I12:I16" si="1">(F12*93.28+G12*2.68+4.04*H12)/100</f>
        <v>110.685356</v>
      </c>
      <c r="J12" s="1270">
        <v>34655.899999999994</v>
      </c>
      <c r="K12" s="1270">
        <v>47005.2</v>
      </c>
      <c r="L12" s="1270">
        <v>33679.379999999997</v>
      </c>
      <c r="M12" s="1268" t="s">
        <v>292</v>
      </c>
      <c r="N12" s="1271">
        <v>79.132999999999996</v>
      </c>
      <c r="O12" s="1271">
        <v>80.598799999999997</v>
      </c>
      <c r="P12" s="1272" t="s">
        <v>1187</v>
      </c>
    </row>
    <row r="13" spans="1:16" ht="9.6" customHeight="1">
      <c r="A13" s="1273" t="s">
        <v>1311</v>
      </c>
      <c r="B13" s="1265" t="s">
        <v>292</v>
      </c>
      <c r="C13" s="1275">
        <v>5.54</v>
      </c>
      <c r="D13" s="1265" t="s">
        <v>292</v>
      </c>
      <c r="E13" s="1275">
        <v>5.78</v>
      </c>
      <c r="F13" s="1275">
        <v>126.66</v>
      </c>
      <c r="G13" s="1275">
        <v>99.92</v>
      </c>
      <c r="H13" s="1275">
        <v>121.12</v>
      </c>
      <c r="I13" s="1275">
        <f t="shared" si="1"/>
        <v>125.71955199999998</v>
      </c>
      <c r="J13" s="1276">
        <v>36668.170000000006</v>
      </c>
      <c r="K13" s="1276">
        <v>58865.3</v>
      </c>
      <c r="L13" s="1276">
        <v>32943.46</v>
      </c>
      <c r="M13" s="1265" t="s">
        <v>292</v>
      </c>
      <c r="N13" s="1277">
        <v>82.107699999999994</v>
      </c>
      <c r="O13" s="1277">
        <v>83.702200000000005</v>
      </c>
      <c r="P13" s="1278" t="s">
        <v>1311</v>
      </c>
    </row>
    <row r="14" spans="1:16" ht="9.6" customHeight="1">
      <c r="A14" s="1267" t="s">
        <v>1420</v>
      </c>
      <c r="B14" s="1268" t="s">
        <v>292</v>
      </c>
      <c r="C14" s="1269">
        <v>5.52</v>
      </c>
      <c r="D14" s="1268" t="s">
        <v>292</v>
      </c>
      <c r="E14" s="1269">
        <v>5.48</v>
      </c>
      <c r="F14" s="1269">
        <v>145.54</v>
      </c>
      <c r="G14" s="1269">
        <v>97.27</v>
      </c>
      <c r="H14" s="1269">
        <v>136.69999999999999</v>
      </c>
      <c r="I14" s="1269">
        <f t="shared" si="1"/>
        <v>143.889228</v>
      </c>
      <c r="J14" s="1270">
        <v>40535.040000000008</v>
      </c>
      <c r="K14" s="1270">
        <v>59914.6</v>
      </c>
      <c r="L14" s="1270">
        <v>32716.51</v>
      </c>
      <c r="M14" s="1268" t="s">
        <v>292</v>
      </c>
      <c r="N14" s="1271">
        <v>84.020799999999994</v>
      </c>
      <c r="O14" s="1271">
        <v>84.5</v>
      </c>
      <c r="P14" s="1272" t="s">
        <v>1420</v>
      </c>
    </row>
    <row r="15" spans="1:16" ht="9.6" customHeight="1">
      <c r="A15" s="1273" t="s">
        <v>1502</v>
      </c>
      <c r="B15" s="1265" t="s">
        <v>292</v>
      </c>
      <c r="C15" s="1275">
        <v>6.02</v>
      </c>
      <c r="D15" s="1265" t="s">
        <v>292</v>
      </c>
      <c r="E15" s="1275">
        <v>5.6476114685594103</v>
      </c>
      <c r="F15" s="1275">
        <v>146.91</v>
      </c>
      <c r="G15" s="1275">
        <v>90.62</v>
      </c>
      <c r="H15" s="1275">
        <v>138.75</v>
      </c>
      <c r="I15" s="1275">
        <f t="shared" si="1"/>
        <v>145.07176399999997</v>
      </c>
      <c r="J15" s="1276">
        <v>33674.120000000003</v>
      </c>
      <c r="K15" s="1276">
        <v>54784.800000000003</v>
      </c>
      <c r="L15" s="1276">
        <v>36037.03</v>
      </c>
      <c r="M15" s="1265" t="s">
        <v>292</v>
      </c>
      <c r="N15" s="1277">
        <v>84.781146000000007</v>
      </c>
      <c r="O15" s="1277">
        <v>84.9</v>
      </c>
      <c r="P15" s="1278" t="s">
        <v>1502</v>
      </c>
    </row>
    <row r="16" spans="1:16" ht="9.6" customHeight="1">
      <c r="A16" s="1267" t="s">
        <v>1555</v>
      </c>
      <c r="B16" s="1268" t="s">
        <v>292</v>
      </c>
      <c r="C16" s="1268">
        <v>5.64</v>
      </c>
      <c r="D16" s="1268" t="s">
        <v>292</v>
      </c>
      <c r="E16" s="1269">
        <v>5.56</v>
      </c>
      <c r="F16" s="1269">
        <v>163.98</v>
      </c>
      <c r="G16" s="1269">
        <v>90.56</v>
      </c>
      <c r="H16" s="1269">
        <v>156.69999999999999</v>
      </c>
      <c r="I16" s="1269">
        <f t="shared" si="1"/>
        <v>161.718232</v>
      </c>
      <c r="J16" s="1270">
        <v>38758.32</v>
      </c>
      <c r="K16" s="1270">
        <v>65594.7</v>
      </c>
      <c r="L16" s="1270">
        <v>46391.44</v>
      </c>
      <c r="M16" s="1268" t="s">
        <v>292</v>
      </c>
      <c r="N16" s="1271">
        <v>84.806299999999993</v>
      </c>
      <c r="O16" s="1271">
        <v>84.814599999999999</v>
      </c>
      <c r="P16" s="1272" t="s">
        <v>1555</v>
      </c>
    </row>
    <row r="17" spans="1:16" s="735" customFormat="1" ht="9.6" customHeight="1">
      <c r="A17" s="1273" t="s">
        <v>1836</v>
      </c>
      <c r="B17" s="1265" t="s">
        <v>292</v>
      </c>
      <c r="C17" s="1275">
        <v>7.56</v>
      </c>
      <c r="D17" s="1265" t="s">
        <v>292</v>
      </c>
      <c r="E17" s="1275">
        <v>6.15</v>
      </c>
      <c r="F17" s="1275">
        <v>184.55</v>
      </c>
      <c r="G17" s="1275">
        <v>84.48</v>
      </c>
      <c r="H17" s="1275">
        <v>166.29</v>
      </c>
      <c r="I17" s="1275">
        <v>182.18</v>
      </c>
      <c r="J17" s="1276">
        <v>52082.659999999996</v>
      </c>
      <c r="K17" s="1276">
        <v>89162.3</v>
      </c>
      <c r="L17" s="1276">
        <v>41826.729767739998</v>
      </c>
      <c r="M17" s="1265" t="s">
        <v>292</v>
      </c>
      <c r="N17" s="1277">
        <v>86.392700000000005</v>
      </c>
      <c r="O17" s="1277">
        <v>93.45</v>
      </c>
      <c r="P17" s="1278" t="s">
        <v>1836</v>
      </c>
    </row>
    <row r="18" spans="1:16" ht="9.6" customHeight="1">
      <c r="A18" s="1279" t="s">
        <v>2088</v>
      </c>
      <c r="B18" s="1280">
        <v>9.74</v>
      </c>
      <c r="C18" s="1281" t="s">
        <v>292</v>
      </c>
      <c r="D18" s="1280">
        <v>9.02</v>
      </c>
      <c r="E18" s="1281" t="s">
        <v>292</v>
      </c>
      <c r="F18" s="1281">
        <v>201.69</v>
      </c>
      <c r="G18" s="1281">
        <v>89.63</v>
      </c>
      <c r="H18" s="1281">
        <v>169.9</v>
      </c>
      <c r="I18" s="1281">
        <v>197.39</v>
      </c>
      <c r="J18" s="1282">
        <v>46494.6</v>
      </c>
      <c r="K18" s="1282">
        <v>75061.600000000006</v>
      </c>
      <c r="L18" s="1282">
        <v>31203</v>
      </c>
      <c r="M18" s="1280">
        <v>24753.9</v>
      </c>
      <c r="N18" s="1280">
        <v>105.91670000000001</v>
      </c>
      <c r="O18" s="1283">
        <v>106</v>
      </c>
      <c r="P18" s="1284" t="s">
        <v>2088</v>
      </c>
    </row>
    <row r="19" spans="1:16" s="1425" customFormat="1" ht="9.6" customHeight="1">
      <c r="A19" s="1287" t="s">
        <v>2228</v>
      </c>
      <c r="B19" s="1470">
        <f>B31</f>
        <v>9.7200000000000006</v>
      </c>
      <c r="C19" s="1285" t="s">
        <v>292</v>
      </c>
      <c r="D19" s="1470">
        <f>D31</f>
        <v>9.73</v>
      </c>
      <c r="E19" s="1285" t="s">
        <v>292</v>
      </c>
      <c r="F19" s="1285">
        <f>AVERAGE(F20:F31)</f>
        <v>206.35112372984614</v>
      </c>
      <c r="G19" s="1285">
        <f t="shared" ref="G19:H19" si="2">AVERAGE(G20:G31)</f>
        <v>77.583189741295598</v>
      </c>
      <c r="H19" s="1285">
        <f t="shared" si="2"/>
        <v>178.36272996150308</v>
      </c>
      <c r="I19" s="1285">
        <f t="shared" ref="I19:I52" si="3">(F19*93.28+G19*2.68+4.04*H19)/100</f>
        <v>201.76941199071192</v>
      </c>
      <c r="J19" s="1286">
        <f>SUM(J20:J31)</f>
        <v>44474.799999999996</v>
      </c>
      <c r="K19" s="1286">
        <v>66725.2</v>
      </c>
      <c r="L19" s="1286">
        <f>L31</f>
        <v>26714.236448445154</v>
      </c>
      <c r="M19" s="1286">
        <f>M31</f>
        <v>21686.335606135173</v>
      </c>
      <c r="N19" s="1471">
        <f t="shared" ref="N19:O19" si="4">N31</f>
        <v>117.9787</v>
      </c>
      <c r="O19" s="1471">
        <f t="shared" si="4"/>
        <v>118</v>
      </c>
      <c r="P19" s="1288" t="s">
        <v>2228</v>
      </c>
    </row>
    <row r="20" spans="1:16" ht="9.6" customHeight="1">
      <c r="A20" s="310" t="s">
        <v>559</v>
      </c>
      <c r="B20" s="1268">
        <v>9.69</v>
      </c>
      <c r="C20" s="1268" t="s">
        <v>292</v>
      </c>
      <c r="D20" s="1269">
        <v>9.1999999999999993</v>
      </c>
      <c r="E20" s="1269" t="s">
        <v>292</v>
      </c>
      <c r="F20" s="1269">
        <v>202.27</v>
      </c>
      <c r="G20" s="1269">
        <v>82.09</v>
      </c>
      <c r="H20" s="1269">
        <v>215.84</v>
      </c>
      <c r="I20" s="1269">
        <f t="shared" si="3"/>
        <v>199.59740400000001</v>
      </c>
      <c r="J20" s="1270">
        <v>3715.6</v>
      </c>
      <c r="K20" s="1270">
        <v>5384.6</v>
      </c>
      <c r="L20" s="1270">
        <v>29732.070291949902</v>
      </c>
      <c r="M20" s="1270">
        <v>23374.252690129997</v>
      </c>
      <c r="N20" s="1271">
        <v>108.74</v>
      </c>
      <c r="O20" s="1271">
        <v>109</v>
      </c>
      <c r="P20" s="1272" t="s">
        <v>559</v>
      </c>
    </row>
    <row r="21" spans="1:16" ht="9.6" customHeight="1">
      <c r="A21" s="550" t="s">
        <v>560</v>
      </c>
      <c r="B21" s="1265">
        <v>9.92</v>
      </c>
      <c r="C21" s="1275" t="s">
        <v>292</v>
      </c>
      <c r="D21" s="1265">
        <v>9.24</v>
      </c>
      <c r="E21" s="1275" t="s">
        <v>292</v>
      </c>
      <c r="F21" s="1275">
        <v>198.19</v>
      </c>
      <c r="G21" s="1275">
        <v>81.430000000000007</v>
      </c>
      <c r="H21" s="1275">
        <v>191.34</v>
      </c>
      <c r="I21" s="1275">
        <f t="shared" si="3"/>
        <v>194.78409199999999</v>
      </c>
      <c r="J21" s="1276">
        <v>3820.1</v>
      </c>
      <c r="K21" s="1276">
        <v>5247.6</v>
      </c>
      <c r="L21" s="1276">
        <v>29260.653703449811</v>
      </c>
      <c r="M21" s="1276">
        <v>23255.073009029999</v>
      </c>
      <c r="N21" s="1277">
        <v>109.434</v>
      </c>
      <c r="O21" s="1277">
        <v>109.5</v>
      </c>
      <c r="P21" s="1278" t="s">
        <v>560</v>
      </c>
    </row>
    <row r="22" spans="1:16" ht="9.6" customHeight="1">
      <c r="A22" s="310" t="s">
        <v>554</v>
      </c>
      <c r="B22" s="1268">
        <v>9.6300000000000008</v>
      </c>
      <c r="C22" s="1269" t="s">
        <v>292</v>
      </c>
      <c r="D22" s="1268">
        <v>9.2899999999999991</v>
      </c>
      <c r="E22" s="1269" t="s">
        <v>292</v>
      </c>
      <c r="F22" s="1269">
        <v>194.87</v>
      </c>
      <c r="G22" s="1269">
        <v>74.19</v>
      </c>
      <c r="H22" s="1269">
        <v>186.86</v>
      </c>
      <c r="I22" s="1269">
        <f t="shared" si="3"/>
        <v>191.31217200000003</v>
      </c>
      <c r="J22" s="1270">
        <v>3296.9</v>
      </c>
      <c r="K22" s="1270">
        <v>5277.1</v>
      </c>
      <c r="L22" s="1270">
        <v>26911.02355403981</v>
      </c>
      <c r="M22" s="1270">
        <v>21059.777311500002</v>
      </c>
      <c r="N22" s="1271">
        <v>109.98139999999999</v>
      </c>
      <c r="O22" s="1271">
        <v>110.18089999999999</v>
      </c>
      <c r="P22" s="1272" t="s">
        <v>554</v>
      </c>
    </row>
    <row r="23" spans="1:16" ht="9.6" customHeight="1">
      <c r="A23" s="550" t="s">
        <v>561</v>
      </c>
      <c r="B23" s="1265">
        <v>9.93</v>
      </c>
      <c r="C23" s="1275" t="s">
        <v>292</v>
      </c>
      <c r="D23" s="1265">
        <v>9.3699999999999992</v>
      </c>
      <c r="E23" s="1275" t="s">
        <v>292</v>
      </c>
      <c r="F23" s="1275">
        <v>184.4</v>
      </c>
      <c r="G23" s="1275">
        <v>79.48</v>
      </c>
      <c r="H23" s="1275">
        <v>183.36</v>
      </c>
      <c r="I23" s="1275">
        <f t="shared" si="3"/>
        <v>181.54612799999998</v>
      </c>
      <c r="J23" s="1276">
        <v>3430.2</v>
      </c>
      <c r="K23" s="1276">
        <v>5962.6999999999989</v>
      </c>
      <c r="L23" s="1276">
        <v>26481.029370339998</v>
      </c>
      <c r="M23" s="1276">
        <v>20710.222864769999</v>
      </c>
      <c r="N23" s="1277">
        <v>110.4798</v>
      </c>
      <c r="O23" s="1277">
        <v>110.5</v>
      </c>
      <c r="P23" s="1278" t="s">
        <v>561</v>
      </c>
    </row>
    <row r="24" spans="1:16" ht="9.6" customHeight="1">
      <c r="A24" s="310" t="s">
        <v>562</v>
      </c>
      <c r="B24" s="1268">
        <v>9.49</v>
      </c>
      <c r="C24" s="1268" t="s">
        <v>292</v>
      </c>
      <c r="D24" s="1268">
        <v>9.42</v>
      </c>
      <c r="E24" s="1269" t="s">
        <v>292</v>
      </c>
      <c r="F24" s="1269">
        <v>205.67</v>
      </c>
      <c r="G24" s="1269">
        <v>83.98</v>
      </c>
      <c r="H24" s="1269">
        <v>141.88999999999999</v>
      </c>
      <c r="I24" s="1269">
        <f t="shared" si="3"/>
        <v>199.831996</v>
      </c>
      <c r="J24" s="1270">
        <v>3566.1</v>
      </c>
      <c r="K24" s="1270">
        <v>5890.9</v>
      </c>
      <c r="L24" s="1270">
        <v>24894.58181</v>
      </c>
      <c r="M24" s="1270">
        <v>19300.61138178</v>
      </c>
      <c r="N24" s="1271">
        <v>110.8623</v>
      </c>
      <c r="O24" s="1271">
        <v>110.5</v>
      </c>
      <c r="P24" s="1272" t="s">
        <v>562</v>
      </c>
    </row>
    <row r="25" spans="1:16" ht="9.6" customHeight="1">
      <c r="A25" s="550" t="s">
        <v>555</v>
      </c>
      <c r="B25" s="1265">
        <v>9.41</v>
      </c>
      <c r="C25" s="1275" t="s">
        <v>292</v>
      </c>
      <c r="D25" s="1265">
        <v>9.48</v>
      </c>
      <c r="E25" s="1275" t="s">
        <v>292</v>
      </c>
      <c r="F25" s="1275">
        <v>220.66</v>
      </c>
      <c r="G25" s="1275">
        <v>76.92</v>
      </c>
      <c r="H25" s="1275">
        <v>135.25</v>
      </c>
      <c r="I25" s="1275">
        <f t="shared" si="3"/>
        <v>213.357204</v>
      </c>
      <c r="J25" s="1276">
        <v>3934.4</v>
      </c>
      <c r="K25" s="1276">
        <v>5232.5</v>
      </c>
      <c r="L25" s="1276">
        <v>27130.037090907601</v>
      </c>
      <c r="M25" s="1276">
        <v>21867.560341549299</v>
      </c>
      <c r="N25" s="1277">
        <v>110.15</v>
      </c>
      <c r="O25" s="1277">
        <v>110</v>
      </c>
      <c r="P25" s="1278" t="s">
        <v>555</v>
      </c>
    </row>
    <row r="26" spans="1:16" ht="9.6" customHeight="1">
      <c r="A26" s="310" t="s">
        <v>563</v>
      </c>
      <c r="B26" s="1268">
        <v>9.86</v>
      </c>
      <c r="C26" s="1269" t="s">
        <v>292</v>
      </c>
      <c r="D26" s="1268">
        <v>9.59</v>
      </c>
      <c r="E26" s="1269" t="s">
        <v>292</v>
      </c>
      <c r="F26" s="1269">
        <v>230.84069644936747</v>
      </c>
      <c r="G26" s="1269">
        <v>74.139910821102774</v>
      </c>
      <c r="H26" s="1269">
        <v>133.36605973198701</v>
      </c>
      <c r="I26" s="1269">
        <f t="shared" si="3"/>
        <v>222.7031400711478</v>
      </c>
      <c r="J26" s="1270">
        <v>4197.3</v>
      </c>
      <c r="K26" s="1270">
        <v>5865</v>
      </c>
      <c r="L26" s="1270">
        <v>25111.91803434</v>
      </c>
      <c r="M26" s="1270">
        <v>19963.455985557106</v>
      </c>
      <c r="N26" s="1271">
        <v>110</v>
      </c>
      <c r="O26" s="1271">
        <v>110</v>
      </c>
      <c r="P26" s="1272" t="s">
        <v>563</v>
      </c>
    </row>
    <row r="27" spans="1:16" ht="9.6" customHeight="1">
      <c r="A27" s="550" t="s">
        <v>564</v>
      </c>
      <c r="B27" s="1265">
        <v>9.67</v>
      </c>
      <c r="C27" s="1275" t="s">
        <v>292</v>
      </c>
      <c r="D27" s="1265">
        <v>9.66</v>
      </c>
      <c r="E27" s="1275" t="s">
        <v>292</v>
      </c>
      <c r="F27" s="1275">
        <v>215.5002644883354</v>
      </c>
      <c r="G27" s="1275">
        <v>71.030678563385393</v>
      </c>
      <c r="H27" s="1275">
        <v>132.53873618793199</v>
      </c>
      <c r="I27" s="1275">
        <f t="shared" si="3"/>
        <v>208.27683384221044</v>
      </c>
      <c r="J27" s="1276">
        <v>3871.5</v>
      </c>
      <c r="K27" s="1276">
        <v>5247.6</v>
      </c>
      <c r="L27" s="1276">
        <v>25966.569562549997</v>
      </c>
      <c r="M27" s="1276">
        <v>20780.033041955525</v>
      </c>
      <c r="N27" s="1277">
        <v>110</v>
      </c>
      <c r="O27" s="1277">
        <v>110</v>
      </c>
      <c r="P27" s="1278" t="s">
        <v>564</v>
      </c>
    </row>
    <row r="28" spans="1:16" ht="9.6" customHeight="1">
      <c r="A28" s="310" t="s">
        <v>556</v>
      </c>
      <c r="B28" s="1268">
        <v>9.81</v>
      </c>
      <c r="C28" s="1268" t="s">
        <v>292</v>
      </c>
      <c r="D28" s="1268">
        <v>9.69</v>
      </c>
      <c r="E28" s="1269" t="s">
        <v>292</v>
      </c>
      <c r="F28" s="1269">
        <v>219.31482155118852</v>
      </c>
      <c r="G28" s="1269">
        <v>80.729365356076926</v>
      </c>
      <c r="H28" s="1269">
        <v>169.10010011437399</v>
      </c>
      <c r="I28" s="1269">
        <f t="shared" si="3"/>
        <v>213.5720565791122</v>
      </c>
      <c r="J28" s="1270">
        <v>3813.6</v>
      </c>
      <c r="K28" s="1270">
        <v>5108.8999999999996</v>
      </c>
      <c r="L28" s="1270">
        <v>25231.672381873188</v>
      </c>
      <c r="M28" s="1270">
        <v>19912.983762143409</v>
      </c>
      <c r="N28" s="1271">
        <v>110</v>
      </c>
      <c r="O28" s="1271">
        <v>110</v>
      </c>
      <c r="P28" s="1272" t="s">
        <v>556</v>
      </c>
    </row>
    <row r="29" spans="1:16" ht="9.6" customHeight="1">
      <c r="A29" s="550" t="s">
        <v>565</v>
      </c>
      <c r="B29" s="1265">
        <v>9.74</v>
      </c>
      <c r="C29" s="1275" t="s">
        <v>292</v>
      </c>
      <c r="D29" s="1265">
        <v>9.73</v>
      </c>
      <c r="E29" s="1275" t="s">
        <v>2409</v>
      </c>
      <c r="F29" s="1275">
        <v>197.4032076524939</v>
      </c>
      <c r="G29" s="1275">
        <v>72.341084373779779</v>
      </c>
      <c r="H29" s="1275">
        <v>209.55642258882901</v>
      </c>
      <c r="I29" s="1275">
        <f t="shared" si="3"/>
        <v>194.54253263205229</v>
      </c>
      <c r="J29" s="1276">
        <v>2991.6</v>
      </c>
      <c r="K29" s="1276">
        <v>5995.7</v>
      </c>
      <c r="L29" s="1276">
        <v>25365.19975008352</v>
      </c>
      <c r="M29" s="1276">
        <v>19975.804236285614</v>
      </c>
      <c r="N29" s="1277">
        <v>110</v>
      </c>
      <c r="O29" s="1277">
        <v>110</v>
      </c>
      <c r="P29" s="1278" t="s">
        <v>565</v>
      </c>
    </row>
    <row r="30" spans="1:16" ht="9.6" customHeight="1">
      <c r="A30" s="310" t="s">
        <v>566</v>
      </c>
      <c r="B30" s="1268">
        <v>9.89</v>
      </c>
      <c r="C30" s="1269" t="s">
        <v>292</v>
      </c>
      <c r="D30" s="1268">
        <v>9.73</v>
      </c>
      <c r="E30" s="1269" t="s">
        <v>292</v>
      </c>
      <c r="F30" s="1269">
        <v>195.36083768754332</v>
      </c>
      <c r="G30" s="1269">
        <v>80.93715967734515</v>
      </c>
      <c r="H30" s="1269">
        <v>222.29466768691299</v>
      </c>
      <c r="I30" s="1269">
        <f t="shared" si="3"/>
        <v>193.38240984884453</v>
      </c>
      <c r="J30" s="1270">
        <v>4091.6</v>
      </c>
      <c r="K30" s="1270">
        <v>5524.4</v>
      </c>
      <c r="L30" s="1270">
        <v>24197.191641732054</v>
      </c>
      <c r="M30" s="1270">
        <v>18646.219141744496</v>
      </c>
      <c r="N30" s="1271">
        <v>115.3476</v>
      </c>
      <c r="O30" s="1271">
        <v>117.8733</v>
      </c>
      <c r="P30" s="1272" t="s">
        <v>566</v>
      </c>
    </row>
    <row r="31" spans="1:16" s="191" customFormat="1" ht="9.6" customHeight="1">
      <c r="A31" s="550" t="s">
        <v>557</v>
      </c>
      <c r="B31" s="1265">
        <v>9.7200000000000006</v>
      </c>
      <c r="C31" s="1275" t="s">
        <v>292</v>
      </c>
      <c r="D31" s="1265">
        <v>9.73</v>
      </c>
      <c r="E31" s="1275" t="s">
        <v>292</v>
      </c>
      <c r="F31" s="1275">
        <v>211.73365692922505</v>
      </c>
      <c r="G31" s="1275">
        <v>73.730078103857252</v>
      </c>
      <c r="H31" s="1275">
        <v>218.95677322800199</v>
      </c>
      <c r="I31" s="1275">
        <f t="shared" si="3"/>
        <v>208.32697491517578</v>
      </c>
      <c r="J31" s="1276">
        <v>3745.9</v>
      </c>
      <c r="K31" s="1276">
        <v>5988.2</v>
      </c>
      <c r="L31" s="1276">
        <v>26714.236448445154</v>
      </c>
      <c r="M31" s="1276">
        <v>21686.335606135173</v>
      </c>
      <c r="N31" s="1277">
        <v>117.9787</v>
      </c>
      <c r="O31" s="1277">
        <v>118</v>
      </c>
      <c r="P31" s="1278" t="s">
        <v>557</v>
      </c>
    </row>
    <row r="32" spans="1:16" s="180" customFormat="1" ht="9.6" customHeight="1">
      <c r="A32" s="1279" t="s">
        <v>2500</v>
      </c>
      <c r="B32" s="1281">
        <f>B44</f>
        <v>8.48</v>
      </c>
      <c r="C32" s="1281" t="s">
        <v>292</v>
      </c>
      <c r="D32" s="1280">
        <f>D44</f>
        <v>10.029999999999999</v>
      </c>
      <c r="E32" s="1281" t="s">
        <v>292</v>
      </c>
      <c r="F32" s="1281">
        <f>AVERAGE(F33:F44)</f>
        <v>217.65617998512292</v>
      </c>
      <c r="G32" s="1281">
        <f t="shared" ref="G32:H32" si="5">AVERAGE(G33:G44)</f>
        <v>73.258019159228638</v>
      </c>
      <c r="H32" s="1281">
        <f t="shared" si="5"/>
        <v>193.3207196537571</v>
      </c>
      <c r="I32" s="1281">
        <f t="shared" ref="I32" si="6">(F32*93.28+G32*2.68+4.04*H32)/100</f>
        <v>212.80315667760181</v>
      </c>
      <c r="J32" s="1282">
        <f>SUM(J33:J44)</f>
        <v>48299.434665430628</v>
      </c>
      <c r="K32" s="1282">
        <v>68354.39</v>
      </c>
      <c r="L32" s="1282">
        <f>L44</f>
        <v>31772.008634359998</v>
      </c>
      <c r="M32" s="1282">
        <f>M44</f>
        <v>26739.961591239997</v>
      </c>
      <c r="N32" s="1283">
        <f t="shared" ref="N32:O32" si="7">N44</f>
        <v>122.84739999999999</v>
      </c>
      <c r="O32" s="1283">
        <f t="shared" si="7"/>
        <v>122.7735</v>
      </c>
      <c r="P32" s="1284" t="s">
        <v>2500</v>
      </c>
    </row>
    <row r="33" spans="1:20" ht="9.6" customHeight="1">
      <c r="A33" s="550" t="s">
        <v>559</v>
      </c>
      <c r="B33" s="1265">
        <v>11.66</v>
      </c>
      <c r="C33" s="1275" t="s">
        <v>292</v>
      </c>
      <c r="D33" s="1266">
        <v>9.9</v>
      </c>
      <c r="E33" s="1275" t="s">
        <v>292</v>
      </c>
      <c r="F33" s="1275">
        <v>199.03119208097166</v>
      </c>
      <c r="G33" s="1275">
        <v>72.498045966018751</v>
      </c>
      <c r="H33" s="1275">
        <v>223.68872567377284</v>
      </c>
      <c r="I33" s="1275">
        <f t="shared" si="3"/>
        <v>196.63626812224007</v>
      </c>
      <c r="J33" s="1276">
        <v>3823.7</v>
      </c>
      <c r="K33" s="1276">
        <v>5247.8</v>
      </c>
      <c r="L33" s="1276">
        <v>25823.587691788161</v>
      </c>
      <c r="M33" s="1276">
        <v>20393.664815119857</v>
      </c>
      <c r="N33" s="1277">
        <v>117.9789</v>
      </c>
      <c r="O33" s="1277">
        <v>118</v>
      </c>
      <c r="P33" s="1278" t="s">
        <v>559</v>
      </c>
      <c r="S33" s="1073"/>
      <c r="T33" s="1073"/>
    </row>
    <row r="34" spans="1:20" ht="9.6" customHeight="1">
      <c r="A34" s="310" t="s">
        <v>560</v>
      </c>
      <c r="B34" s="1268">
        <v>10.49</v>
      </c>
      <c r="C34" s="1269" t="s">
        <v>292</v>
      </c>
      <c r="D34" s="1268">
        <v>9.9499999999999993</v>
      </c>
      <c r="E34" s="1269" t="s">
        <v>292</v>
      </c>
      <c r="F34" s="1269">
        <v>202.62950796816844</v>
      </c>
      <c r="G34" s="1269">
        <v>79.238579363878088</v>
      </c>
      <c r="H34" s="1269">
        <v>222.04927263053347</v>
      </c>
      <c r="I34" s="1269">
        <f t="shared" si="3"/>
        <v>200.107189573933</v>
      </c>
      <c r="J34" s="1270">
        <v>4033.6</v>
      </c>
      <c r="K34" s="1270">
        <v>5271.5</v>
      </c>
      <c r="L34" s="1270">
        <v>25580.779565510002</v>
      </c>
      <c r="M34" s="1270">
        <v>20475.410147840001</v>
      </c>
      <c r="N34" s="1271">
        <v>118.73009999999999</v>
      </c>
      <c r="O34" s="1271">
        <v>120</v>
      </c>
      <c r="P34" s="1272" t="s">
        <v>560</v>
      </c>
      <c r="S34" s="1073"/>
      <c r="T34" s="1073"/>
    </row>
    <row r="35" spans="1:20" ht="9.6" customHeight="1">
      <c r="A35" s="550" t="s">
        <v>554</v>
      </c>
      <c r="B35" s="1265">
        <v>9.92</v>
      </c>
      <c r="C35" s="1275" t="s">
        <v>292</v>
      </c>
      <c r="D35" s="1265">
        <v>9.9700000000000006</v>
      </c>
      <c r="E35" s="1275" t="s">
        <v>292</v>
      </c>
      <c r="F35" s="1275">
        <v>206.06999922895292</v>
      </c>
      <c r="G35" s="1275">
        <v>77.883128171781252</v>
      </c>
      <c r="H35" s="1275">
        <v>201.2829916409658</v>
      </c>
      <c r="I35" s="1275">
        <f t="shared" si="3"/>
        <v>202.44119597806602</v>
      </c>
      <c r="J35" s="1276">
        <v>3800.5</v>
      </c>
      <c r="K35" s="1276">
        <v>5651.5</v>
      </c>
      <c r="L35" s="1276">
        <v>24862.966229161495</v>
      </c>
      <c r="M35" s="1276">
        <v>19861.451091429168</v>
      </c>
      <c r="N35" s="1277">
        <v>120</v>
      </c>
      <c r="O35" s="1277">
        <v>120</v>
      </c>
      <c r="P35" s="1278" t="s">
        <v>554</v>
      </c>
      <c r="S35" s="1073"/>
      <c r="T35" s="1073"/>
    </row>
    <row r="36" spans="1:20" ht="9.6" customHeight="1">
      <c r="A36" s="310" t="s">
        <v>561</v>
      </c>
      <c r="B36" s="1268">
        <v>10.87</v>
      </c>
      <c r="C36" s="1268" t="s">
        <v>292</v>
      </c>
      <c r="D36" s="1268">
        <v>10.050000000000001</v>
      </c>
      <c r="E36" s="1269" t="s">
        <v>292</v>
      </c>
      <c r="F36" s="1269">
        <v>201.46525410111909</v>
      </c>
      <c r="G36" s="1269">
        <v>78.581161714634206</v>
      </c>
      <c r="H36" s="1269">
        <v>194.98722784240954</v>
      </c>
      <c r="I36" s="1269">
        <f t="shared" si="3"/>
        <v>197.91024816430945</v>
      </c>
      <c r="J36" s="1270">
        <v>4130.9446654306312</v>
      </c>
      <c r="K36" s="1270">
        <v>6147.93</v>
      </c>
      <c r="L36" s="1270">
        <v>25486.715071439998</v>
      </c>
      <c r="M36" s="1270">
        <v>19829.949591539997</v>
      </c>
      <c r="N36" s="1271">
        <v>119.99939999999999</v>
      </c>
      <c r="O36" s="1271">
        <v>120</v>
      </c>
      <c r="P36" s="1272" t="s">
        <v>561</v>
      </c>
      <c r="S36" s="1073"/>
      <c r="T36" s="1073"/>
    </row>
    <row r="37" spans="1:20" ht="9.6" customHeight="1">
      <c r="A37" s="550" t="s">
        <v>562</v>
      </c>
      <c r="B37" s="1274">
        <v>11.38</v>
      </c>
      <c r="C37" s="1274" t="s">
        <v>292</v>
      </c>
      <c r="D37" s="1274">
        <v>10.220000000000001</v>
      </c>
      <c r="E37" s="1275" t="s">
        <v>292</v>
      </c>
      <c r="F37" s="1275">
        <v>222.93821299751389</v>
      </c>
      <c r="G37" s="1275">
        <v>74.590248297429312</v>
      </c>
      <c r="H37" s="1275">
        <v>155.68827018929903</v>
      </c>
      <c r="I37" s="1275">
        <f t="shared" si="3"/>
        <v>216.24558985409973</v>
      </c>
      <c r="J37" s="1276">
        <v>4118.7</v>
      </c>
      <c r="K37" s="1276">
        <v>5377.88</v>
      </c>
      <c r="L37" s="1276">
        <v>24350.21855053</v>
      </c>
      <c r="M37" s="1276">
        <v>18611.38046271</v>
      </c>
      <c r="N37" s="1277">
        <v>120</v>
      </c>
      <c r="O37" s="1277">
        <v>120</v>
      </c>
      <c r="P37" s="1278" t="s">
        <v>562</v>
      </c>
      <c r="S37" s="1073"/>
      <c r="T37" s="1073"/>
    </row>
    <row r="38" spans="1:20" ht="9.6" customHeight="1">
      <c r="A38" s="310" t="s">
        <v>555</v>
      </c>
      <c r="B38" s="1268">
        <v>10.89</v>
      </c>
      <c r="C38" s="1268" t="s">
        <v>292</v>
      </c>
      <c r="D38" s="1268">
        <v>10.34</v>
      </c>
      <c r="E38" s="1269" t="s">
        <v>292</v>
      </c>
      <c r="F38" s="1269">
        <v>242.60665294815351</v>
      </c>
      <c r="G38" s="1269">
        <v>70.522371419278812</v>
      </c>
      <c r="H38" s="1269">
        <v>145.37065591317955</v>
      </c>
      <c r="I38" s="1269">
        <f t="shared" si="3"/>
        <v>234.06645992296669</v>
      </c>
      <c r="J38" s="1270">
        <v>4626.38</v>
      </c>
      <c r="K38" s="1270">
        <v>6453.82</v>
      </c>
      <c r="L38" s="1270">
        <v>26214.802105800001</v>
      </c>
      <c r="M38" s="1270">
        <v>21394.726960620003</v>
      </c>
      <c r="N38" s="1271">
        <v>120</v>
      </c>
      <c r="O38" s="1271">
        <v>120</v>
      </c>
      <c r="P38" s="1272" t="s">
        <v>555</v>
      </c>
      <c r="Q38" s="1575"/>
      <c r="R38" s="1575"/>
      <c r="S38" s="1575"/>
      <c r="T38" s="1575"/>
    </row>
    <row r="39" spans="1:20" ht="9.6" customHeight="1">
      <c r="A39" s="550" t="s">
        <v>563</v>
      </c>
      <c r="B39" s="1274">
        <v>9.94</v>
      </c>
      <c r="C39" s="1274" t="s">
        <v>292</v>
      </c>
      <c r="D39" s="1274">
        <v>10.34</v>
      </c>
      <c r="E39" s="1275"/>
      <c r="F39" s="1275">
        <v>249.4972653235896</v>
      </c>
      <c r="G39" s="1275">
        <v>71.031511917941657</v>
      </c>
      <c r="H39" s="1275">
        <v>153.56840841838891</v>
      </c>
      <c r="I39" s="1275">
        <f t="shared" si="3"/>
        <v>240.83885731334811</v>
      </c>
      <c r="J39" s="1276">
        <v>4432.0399999999991</v>
      </c>
      <c r="K39" s="1276">
        <v>6367.21</v>
      </c>
      <c r="L39" s="1276">
        <v>25305.643511310001</v>
      </c>
      <c r="M39" s="1276">
        <v>19962.356530950001</v>
      </c>
      <c r="N39" s="1277">
        <v>121.9091</v>
      </c>
      <c r="O39" s="1277">
        <v>122</v>
      </c>
      <c r="P39" s="1278" t="s">
        <v>563</v>
      </c>
      <c r="Q39" s="1575"/>
      <c r="R39" s="1575"/>
      <c r="S39" s="1575"/>
      <c r="T39" s="1575"/>
    </row>
    <row r="40" spans="1:20" ht="9.6" customHeight="1">
      <c r="A40" s="310" t="s">
        <v>564</v>
      </c>
      <c r="B40" s="1268">
        <v>9.32</v>
      </c>
      <c r="C40" s="1268" t="s">
        <v>292</v>
      </c>
      <c r="D40" s="1268">
        <v>10.31</v>
      </c>
      <c r="E40" s="1269" t="s">
        <v>292</v>
      </c>
      <c r="F40" s="1269">
        <v>228.01744719542086</v>
      </c>
      <c r="G40" s="1269">
        <v>68.289164638038955</v>
      </c>
      <c r="H40" s="1269">
        <v>147.42528853484879</v>
      </c>
      <c r="I40" s="1269">
        <f t="shared" si="3"/>
        <v>220.48080601299588</v>
      </c>
      <c r="J40" s="1270">
        <v>3973.2</v>
      </c>
      <c r="K40" s="1270">
        <v>5941.09</v>
      </c>
      <c r="L40" s="1270">
        <v>26175.717991949998</v>
      </c>
      <c r="M40" s="1270">
        <v>20945.863226659996</v>
      </c>
      <c r="N40" s="1271">
        <v>122</v>
      </c>
      <c r="O40" s="1271">
        <v>122</v>
      </c>
      <c r="P40" s="1272" t="s">
        <v>564</v>
      </c>
      <c r="S40" s="1073"/>
      <c r="T40" s="1073"/>
    </row>
    <row r="41" spans="1:20" s="180" customFormat="1" ht="9.6" customHeight="1">
      <c r="A41" s="550" t="s">
        <v>556</v>
      </c>
      <c r="B41" s="1275">
        <v>9.3534874760682083</v>
      </c>
      <c r="C41" s="1274" t="s">
        <v>292</v>
      </c>
      <c r="D41" s="1275">
        <v>10.261660447372918</v>
      </c>
      <c r="E41" s="1275" t="s">
        <v>292</v>
      </c>
      <c r="F41" s="1275">
        <v>234.72310754318849</v>
      </c>
      <c r="G41" s="1275">
        <v>73.76997500321697</v>
      </c>
      <c r="H41" s="1275">
        <v>202.86354591820182</v>
      </c>
      <c r="I41" s="1275">
        <f t="shared" si="3"/>
        <v>229.12243730146781</v>
      </c>
      <c r="J41" s="1276">
        <v>4246.84</v>
      </c>
      <c r="K41" s="1276">
        <v>5896.66</v>
      </c>
      <c r="L41" s="1276">
        <v>25511.957881480004</v>
      </c>
      <c r="M41" s="1276">
        <v>20369.909566370003</v>
      </c>
      <c r="N41" s="1277">
        <v>122</v>
      </c>
      <c r="O41" s="1277">
        <v>122</v>
      </c>
      <c r="P41" s="1278" t="s">
        <v>556</v>
      </c>
      <c r="S41" s="1073"/>
      <c r="T41" s="1073"/>
    </row>
    <row r="42" spans="1:20" s="181" customFormat="1" ht="9.6" customHeight="1">
      <c r="A42" s="310" t="s">
        <v>565</v>
      </c>
      <c r="B42" s="1269">
        <v>9.1660110048883396</v>
      </c>
      <c r="C42" s="1268" t="s">
        <v>292</v>
      </c>
      <c r="D42" s="1269">
        <v>10.2083836794414</v>
      </c>
      <c r="E42" s="1269" t="s">
        <v>292</v>
      </c>
      <c r="F42" s="1269">
        <v>205.77131899619934</v>
      </c>
      <c r="G42" s="1269">
        <v>68.188869566563767</v>
      </c>
      <c r="H42" s="1269">
        <v>214.898647936092</v>
      </c>
      <c r="I42" s="1269">
        <f t="shared" si="3"/>
        <v>202.45285344065675</v>
      </c>
      <c r="J42" s="1270">
        <v>3031.1500000000005</v>
      </c>
      <c r="K42" s="1270">
        <v>5820.4</v>
      </c>
      <c r="L42" s="1270">
        <v>27429.666525189998</v>
      </c>
      <c r="M42" s="1270">
        <v>22025.499655229996</v>
      </c>
      <c r="N42" s="1271">
        <v>122</v>
      </c>
      <c r="O42" s="1271">
        <v>122</v>
      </c>
      <c r="P42" s="1272" t="s">
        <v>565</v>
      </c>
      <c r="S42" s="1073"/>
      <c r="T42" s="1073"/>
    </row>
    <row r="43" spans="1:20" s="181" customFormat="1" ht="9.6" customHeight="1">
      <c r="A43" s="550" t="s">
        <v>566</v>
      </c>
      <c r="B43" s="1275">
        <v>9.0500000000000007</v>
      </c>
      <c r="C43" s="1274" t="s">
        <v>292</v>
      </c>
      <c r="D43" s="1275">
        <v>10.130000000000001</v>
      </c>
      <c r="E43" s="1275" t="s">
        <v>292</v>
      </c>
      <c r="F43" s="1275">
        <v>209.54522311465772</v>
      </c>
      <c r="G43" s="1275">
        <v>73.913262329800006</v>
      </c>
      <c r="H43" s="1275">
        <v>231.52788369963253</v>
      </c>
      <c r="I43" s="1275">
        <f t="shared" si="3"/>
        <v>206.79838605325654</v>
      </c>
      <c r="J43" s="1276">
        <v>4732.1799999999994</v>
      </c>
      <c r="K43" s="1276">
        <v>5787.4</v>
      </c>
      <c r="L43" s="1276">
        <v>25798.152782170004</v>
      </c>
      <c r="M43" s="1276">
        <v>20520.936759040003</v>
      </c>
      <c r="N43" s="1277">
        <v>122.43259999999999</v>
      </c>
      <c r="O43" s="1277">
        <v>122.95269999999999</v>
      </c>
      <c r="P43" s="1278" t="s">
        <v>566</v>
      </c>
      <c r="S43" s="1073"/>
      <c r="T43" s="1073"/>
    </row>
    <row r="44" spans="1:20" s="181" customFormat="1" ht="9.6" customHeight="1">
      <c r="A44" s="310" t="s">
        <v>557</v>
      </c>
      <c r="B44" s="1269">
        <v>8.48</v>
      </c>
      <c r="C44" s="1268" t="s">
        <v>292</v>
      </c>
      <c r="D44" s="1269">
        <v>10.029999999999999</v>
      </c>
      <c r="E44" s="1269" t="s">
        <v>292</v>
      </c>
      <c r="F44" s="1269">
        <v>209.57897832353984</v>
      </c>
      <c r="G44" s="1269">
        <v>70.589911522162012</v>
      </c>
      <c r="H44" s="1269">
        <v>226.49771744776061</v>
      </c>
      <c r="I44" s="1269">
        <f t="shared" si="3"/>
        <v>206.53758839388141</v>
      </c>
      <c r="J44" s="1270">
        <v>3350.2</v>
      </c>
      <c r="K44" s="1270">
        <v>4391.2</v>
      </c>
      <c r="L44" s="1270">
        <v>31772.008634359998</v>
      </c>
      <c r="M44" s="1270">
        <v>26739.961591239997</v>
      </c>
      <c r="N44" s="1271">
        <v>122.84739999999999</v>
      </c>
      <c r="O44" s="1271">
        <v>122.7735</v>
      </c>
      <c r="P44" s="1272" t="s">
        <v>557</v>
      </c>
      <c r="S44" s="1073"/>
      <c r="T44" s="1073"/>
    </row>
    <row r="45" spans="1:20" s="181" customFormat="1" ht="9.6" customHeight="1">
      <c r="A45" s="1287" t="s">
        <v>2754</v>
      </c>
      <c r="B45" s="1275"/>
      <c r="C45" s="1274" t="s">
        <v>292</v>
      </c>
      <c r="D45" s="1275"/>
      <c r="E45" s="1275"/>
      <c r="F45" s="1275"/>
      <c r="G45" s="1275"/>
      <c r="H45" s="1275"/>
      <c r="I45" s="1275"/>
      <c r="J45" s="1276"/>
      <c r="K45" s="1276"/>
      <c r="L45" s="1276"/>
      <c r="M45" s="1276"/>
      <c r="N45" s="1277"/>
      <c r="O45" s="1277"/>
      <c r="P45" s="1288" t="s">
        <v>2754</v>
      </c>
      <c r="S45" s="1073"/>
      <c r="T45" s="1073"/>
    </row>
    <row r="46" spans="1:20" ht="9.6" customHeight="1">
      <c r="A46" s="310" t="s">
        <v>559</v>
      </c>
      <c r="B46" s="1269">
        <v>8.5500000000000007</v>
      </c>
      <c r="C46" s="1268" t="s">
        <v>292</v>
      </c>
      <c r="D46" s="1269">
        <v>9.77</v>
      </c>
      <c r="E46" s="1269" t="s">
        <v>292</v>
      </c>
      <c r="F46" s="1269">
        <v>222.421616</v>
      </c>
      <c r="G46" s="1269">
        <v>70.19</v>
      </c>
      <c r="H46" s="1269">
        <v>201.14</v>
      </c>
      <c r="I46" s="1269">
        <f t="shared" si="3"/>
        <v>217.48203140480001</v>
      </c>
      <c r="J46" s="1270">
        <v>4779.3999999999996</v>
      </c>
      <c r="K46" s="1270">
        <v>6270.5</v>
      </c>
      <c r="L46" s="1270">
        <v>29799.750602410004</v>
      </c>
      <c r="M46" s="1270">
        <v>24779.071474270004</v>
      </c>
      <c r="N46" s="1271">
        <v>121.9147</v>
      </c>
      <c r="O46" s="1271">
        <v>122.5488</v>
      </c>
      <c r="P46" s="1272" t="s">
        <v>559</v>
      </c>
    </row>
    <row r="47" spans="1:20" s="1613" customFormat="1" ht="9.6" customHeight="1">
      <c r="A47" s="550" t="s">
        <v>560</v>
      </c>
      <c r="B47" s="1275">
        <v>8.2899999999999991</v>
      </c>
      <c r="C47" s="1274" t="s">
        <v>292</v>
      </c>
      <c r="D47" s="1275">
        <v>9.58</v>
      </c>
      <c r="E47" s="1275" t="s">
        <v>292</v>
      </c>
      <c r="F47" s="1275">
        <v>210.96214799999998</v>
      </c>
      <c r="G47" s="1275">
        <v>68.114723989105755</v>
      </c>
      <c r="H47" s="1275">
        <v>251.86734990544579</v>
      </c>
      <c r="I47" s="1275">
        <f t="shared" si="3"/>
        <v>208.78640719348806</v>
      </c>
      <c r="J47" s="1276">
        <v>3884.4</v>
      </c>
      <c r="K47" s="1276">
        <v>5222.7</v>
      </c>
      <c r="L47" s="1276">
        <v>31166.218970630001</v>
      </c>
      <c r="M47" s="1276">
        <v>26173.729615820001</v>
      </c>
      <c r="N47" s="1277">
        <v>121.6721</v>
      </c>
      <c r="O47" s="1277">
        <v>121.6484</v>
      </c>
      <c r="P47" s="1278" t="s">
        <v>560</v>
      </c>
      <c r="Q47" s="1652"/>
      <c r="R47" s="1652"/>
    </row>
    <row r="48" spans="1:20" s="1649" customFormat="1" ht="9.6" customHeight="1">
      <c r="A48" s="310" t="s">
        <v>554</v>
      </c>
      <c r="B48" s="1269">
        <v>8.36</v>
      </c>
      <c r="C48" s="1268" t="s">
        <v>292</v>
      </c>
      <c r="D48" s="1269">
        <v>9.4499999999999993</v>
      </c>
      <c r="E48" s="1269" t="s">
        <v>292</v>
      </c>
      <c r="F48" s="1269">
        <v>213.72986880903184</v>
      </c>
      <c r="G48" s="1269">
        <v>67.384687026744217</v>
      </c>
      <c r="H48" s="1269">
        <v>225.30018193691012</v>
      </c>
      <c r="I48" s="1269">
        <f t="shared" si="3"/>
        <v>210.27525858763286</v>
      </c>
      <c r="J48" s="1270">
        <v>3607.3</v>
      </c>
      <c r="K48" s="1270">
        <v>6212.1</v>
      </c>
      <c r="L48" s="1270">
        <v>31426.811970420007</v>
      </c>
      <c r="M48" s="1270">
        <v>26603.656553200006</v>
      </c>
      <c r="N48" s="1271">
        <v>121.74299999999999</v>
      </c>
      <c r="O48" s="1271">
        <v>121.8008</v>
      </c>
      <c r="P48" s="1272" t="s">
        <v>554</v>
      </c>
      <c r="Q48" s="1652"/>
      <c r="R48" s="1652"/>
    </row>
    <row r="49" spans="1:18" s="191" customFormat="1" ht="9.6" customHeight="1">
      <c r="A49" s="550" t="s">
        <v>561</v>
      </c>
      <c r="B49" s="1275">
        <v>8.17</v>
      </c>
      <c r="C49" s="1274" t="s">
        <v>292</v>
      </c>
      <c r="D49" s="1275">
        <v>9.2200000000000006</v>
      </c>
      <c r="E49" s="1275" t="s">
        <v>292</v>
      </c>
      <c r="F49" s="1275">
        <v>207.16141833763791</v>
      </c>
      <c r="G49" s="1275">
        <v>66.997380353258549</v>
      </c>
      <c r="H49" s="1275">
        <v>214.8473762700346</v>
      </c>
      <c r="I49" s="1275">
        <f t="shared" si="3"/>
        <v>203.71553482012536</v>
      </c>
      <c r="J49" s="1276">
        <v>3812.8</v>
      </c>
      <c r="K49" s="1276">
        <v>5621.5</v>
      </c>
      <c r="L49" s="1276">
        <v>32335.200000000001</v>
      </c>
      <c r="M49" s="1276">
        <v>27577.7</v>
      </c>
      <c r="N49" s="1277">
        <v>122.2859</v>
      </c>
      <c r="O49" s="1277">
        <v>122.0312</v>
      </c>
      <c r="P49" s="1278" t="s">
        <v>561</v>
      </c>
      <c r="Q49" s="1675"/>
      <c r="R49" s="1675"/>
    </row>
    <row r="50" spans="1:18" s="191" customFormat="1" ht="9.6" customHeight="1">
      <c r="A50" s="310" t="s">
        <v>562</v>
      </c>
      <c r="B50" s="1269">
        <v>8.2899999999999991</v>
      </c>
      <c r="C50" s="1268" t="s">
        <v>292</v>
      </c>
      <c r="D50" s="1269">
        <v>8.9600000000000009</v>
      </c>
      <c r="E50" s="1269" t="s">
        <v>292</v>
      </c>
      <c r="F50" s="1269">
        <v>227.78879237964654</v>
      </c>
      <c r="G50" s="1269">
        <v>66.141662741006456</v>
      </c>
      <c r="H50" s="1269">
        <v>161.35096634134658</v>
      </c>
      <c r="I50" s="1269">
        <f t="shared" si="3"/>
        <v>220.77256113338368</v>
      </c>
      <c r="J50" s="1270">
        <v>4036.3</v>
      </c>
      <c r="K50" s="1270">
        <v>5799.1</v>
      </c>
      <c r="L50" s="1270">
        <v>31093.43</v>
      </c>
      <c r="M50" s="1270">
        <v>26395.759999999998</v>
      </c>
      <c r="N50" s="1271">
        <v>122.3133</v>
      </c>
      <c r="O50" s="1271">
        <v>122.2683</v>
      </c>
      <c r="P50" s="1272" t="s">
        <v>562</v>
      </c>
      <c r="Q50" s="1675"/>
      <c r="R50" s="1675"/>
    </row>
    <row r="51" spans="1:18" ht="9.6" customHeight="1">
      <c r="A51" s="232" t="s">
        <v>555</v>
      </c>
      <c r="B51" s="1275">
        <v>8.49</v>
      </c>
      <c r="C51" s="1274" t="s">
        <v>292</v>
      </c>
      <c r="D51" s="1275">
        <v>8.77</v>
      </c>
      <c r="E51" s="1275" t="s">
        <v>292</v>
      </c>
      <c r="F51" s="1275">
        <v>240.43169537294219</v>
      </c>
      <c r="G51" s="1275">
        <v>68.345583703273732</v>
      </c>
      <c r="H51" s="1275">
        <v>147.76630243780968</v>
      </c>
      <c r="I51" s="1275">
        <f t="shared" si="3"/>
        <v>232.07610570561573</v>
      </c>
      <c r="J51" s="1276">
        <v>4281.3</v>
      </c>
      <c r="K51" s="1276">
        <v>6449.9</v>
      </c>
      <c r="L51" s="1276">
        <v>33189.760000000002</v>
      </c>
      <c r="M51" s="1276">
        <v>28589.25</v>
      </c>
      <c r="N51" s="1277">
        <v>122.2889</v>
      </c>
      <c r="O51" s="1277">
        <v>122.31399999999999</v>
      </c>
      <c r="P51" s="1278" t="s">
        <v>555</v>
      </c>
    </row>
    <row r="52" spans="1:18" ht="9.6" customHeight="1">
      <c r="A52" s="582" t="s">
        <v>563</v>
      </c>
      <c r="B52" s="1269">
        <v>8.58</v>
      </c>
      <c r="C52" s="1268" t="s">
        <v>292</v>
      </c>
      <c r="D52" s="1269">
        <v>8.66</v>
      </c>
      <c r="E52" s="1269" t="s">
        <v>292</v>
      </c>
      <c r="F52" s="1269">
        <v>255.58844000000002</v>
      </c>
      <c r="G52" s="1269">
        <v>67.793283603115825</v>
      </c>
      <c r="H52" s="1269">
        <v>159.38532188126965</v>
      </c>
      <c r="I52" s="1269">
        <f t="shared" si="3"/>
        <v>246.66892383656679</v>
      </c>
      <c r="J52" s="1270">
        <v>4389.7</v>
      </c>
      <c r="K52" s="1270">
        <v>6527.7</v>
      </c>
      <c r="L52" s="1270">
        <v>33178.629999999997</v>
      </c>
      <c r="M52" s="1270">
        <v>28682.77</v>
      </c>
      <c r="N52" s="1271">
        <v>122.3207</v>
      </c>
      <c r="O52" s="1271">
        <v>122.3441</v>
      </c>
      <c r="P52" s="1272" t="s">
        <v>563</v>
      </c>
    </row>
    <row r="53" spans="1:18" ht="9.6" customHeight="1">
      <c r="A53" s="1815" t="s">
        <v>564</v>
      </c>
      <c r="B53" s="1816">
        <v>9.1300000000000008</v>
      </c>
      <c r="C53" s="1817" t="s">
        <v>292</v>
      </c>
      <c r="D53" s="1816">
        <v>8.65</v>
      </c>
      <c r="E53" s="1275" t="s">
        <v>292</v>
      </c>
      <c r="F53" s="1275" t="s">
        <v>292</v>
      </c>
      <c r="G53" s="1275" t="s">
        <v>292</v>
      </c>
      <c r="H53" s="1275" t="s">
        <v>292</v>
      </c>
      <c r="I53" s="1275" t="s">
        <v>292</v>
      </c>
      <c r="J53" s="1818">
        <v>3499.6</v>
      </c>
      <c r="K53" s="1818">
        <v>6623.6</v>
      </c>
      <c r="L53" s="1818">
        <v>35109.18</v>
      </c>
      <c r="M53" s="1818">
        <v>30356.98</v>
      </c>
      <c r="N53" s="1819">
        <v>122.301</v>
      </c>
      <c r="O53" s="1819">
        <v>122.30029999999999</v>
      </c>
      <c r="P53" s="1820" t="s">
        <v>564</v>
      </c>
    </row>
    <row r="54" spans="1:18" ht="9.6" customHeight="1" thickBot="1">
      <c r="A54" s="1821" t="s">
        <v>556</v>
      </c>
      <c r="B54" s="1822">
        <v>8.7100000000000009</v>
      </c>
      <c r="C54" s="1823" t="s">
        <v>292</v>
      </c>
      <c r="D54" s="1822">
        <v>8.6</v>
      </c>
      <c r="E54" s="1822" t="s">
        <v>292</v>
      </c>
      <c r="F54" s="1822" t="s">
        <v>292</v>
      </c>
      <c r="G54" s="1822" t="s">
        <v>292</v>
      </c>
      <c r="H54" s="1822" t="s">
        <v>292</v>
      </c>
      <c r="I54" s="1822" t="s">
        <v>292</v>
      </c>
      <c r="J54" s="1824">
        <v>3489.9</v>
      </c>
      <c r="K54" s="1824">
        <v>5826.2</v>
      </c>
      <c r="L54" s="1824">
        <v>34116.639999999999</v>
      </c>
      <c r="M54" s="1824">
        <v>29501.22</v>
      </c>
      <c r="N54" s="1825">
        <v>122.577</v>
      </c>
      <c r="O54" s="1825">
        <v>122.75</v>
      </c>
      <c r="P54" s="1826" t="s">
        <v>556</v>
      </c>
    </row>
    <row r="55" spans="1:18" ht="9.9499999999999993" customHeight="1">
      <c r="A55" s="1644" t="s">
        <v>2794</v>
      </c>
      <c r="B55" s="2043" t="s">
        <v>1292</v>
      </c>
      <c r="C55" s="2043"/>
      <c r="D55" s="2043"/>
      <c r="E55" s="2043"/>
      <c r="F55" s="2043"/>
      <c r="G55" s="1289"/>
      <c r="H55" s="1289"/>
      <c r="I55" s="1289"/>
      <c r="J55" s="1644" t="s">
        <v>2793</v>
      </c>
      <c r="K55" s="2046" t="s">
        <v>2766</v>
      </c>
      <c r="L55" s="2046"/>
      <c r="M55" s="2046"/>
      <c r="N55" s="2046"/>
      <c r="O55" s="2046"/>
      <c r="P55" s="2046"/>
    </row>
    <row r="56" spans="1:18" ht="9" customHeight="1">
      <c r="A56" s="1290"/>
      <c r="B56" s="2044" t="s">
        <v>1291</v>
      </c>
      <c r="C56" s="2044"/>
      <c r="D56" s="2044"/>
      <c r="E56" s="2044"/>
      <c r="F56" s="2044"/>
      <c r="G56" s="2044"/>
      <c r="H56" s="2044"/>
      <c r="I56" s="2044"/>
      <c r="J56" s="1291"/>
      <c r="K56" s="2050" t="s">
        <v>2767</v>
      </c>
      <c r="L56" s="2050"/>
      <c r="M56" s="2050"/>
      <c r="N56" s="2050"/>
      <c r="O56" s="2050"/>
      <c r="P56" s="2050"/>
    </row>
    <row r="57" spans="1:18" ht="10.5" customHeight="1">
      <c r="A57" s="1290"/>
      <c r="B57" s="1292" t="s">
        <v>2186</v>
      </c>
      <c r="C57" s="1292"/>
      <c r="D57" s="1292"/>
      <c r="E57" s="1292"/>
      <c r="F57" s="1292"/>
      <c r="G57" s="1292"/>
      <c r="H57" s="1516"/>
      <c r="I57" s="1293"/>
      <c r="K57" s="2050" t="s">
        <v>2768</v>
      </c>
      <c r="L57" s="2050"/>
      <c r="M57" s="2050"/>
      <c r="N57" s="2050"/>
      <c r="O57" s="2050"/>
      <c r="P57" s="2050"/>
    </row>
    <row r="58" spans="1:18" ht="10.5" customHeight="1">
      <c r="A58" s="1290" t="s">
        <v>629</v>
      </c>
      <c r="B58" s="1297" t="s">
        <v>1349</v>
      </c>
      <c r="C58" s="1290"/>
      <c r="D58" s="1290"/>
      <c r="E58" s="1290"/>
      <c r="F58" s="1290"/>
      <c r="G58" s="1290"/>
      <c r="H58" s="1295"/>
      <c r="I58" s="1296"/>
      <c r="J58" s="1294"/>
      <c r="K58" s="2047" t="s">
        <v>2598</v>
      </c>
      <c r="L58" s="2047"/>
      <c r="M58" s="2047"/>
      <c r="N58" s="2047"/>
      <c r="O58" s="2047"/>
      <c r="P58" s="2047"/>
    </row>
    <row r="59" spans="1:18" ht="9" customHeight="1">
      <c r="A59" s="1645" t="s">
        <v>2795</v>
      </c>
      <c r="B59" s="2045" t="s">
        <v>190</v>
      </c>
      <c r="C59" s="2045"/>
      <c r="D59" s="1297"/>
      <c r="E59" s="1300" t="s">
        <v>1309</v>
      </c>
      <c r="F59" s="1292"/>
      <c r="G59" s="1292"/>
      <c r="H59" s="1292"/>
      <c r="I59" s="1298"/>
      <c r="J59" s="1291"/>
      <c r="K59" s="2047" t="s">
        <v>2599</v>
      </c>
      <c r="L59" s="2047"/>
      <c r="M59" s="2047"/>
      <c r="N59" s="2047"/>
      <c r="O59" s="2047"/>
      <c r="P59" s="2047"/>
    </row>
    <row r="60" spans="1:18" ht="10.5" customHeight="1">
      <c r="A60" s="1299"/>
      <c r="B60" s="2045"/>
      <c r="C60" s="2045"/>
      <c r="D60" s="1297"/>
      <c r="E60" s="1653"/>
      <c r="F60" s="1654"/>
      <c r="G60" s="1303"/>
      <c r="H60" s="1655"/>
      <c r="I60" s="1296"/>
      <c r="J60" s="1301"/>
      <c r="K60" s="1602" t="s">
        <v>2600</v>
      </c>
      <c r="L60" s="1602"/>
      <c r="M60" s="1602"/>
      <c r="N60" s="1602"/>
      <c r="O60" s="1602"/>
      <c r="P60" s="1603"/>
    </row>
    <row r="61" spans="1:18">
      <c r="A61" s="1290"/>
      <c r="B61" s="1290"/>
      <c r="C61" s="1290"/>
      <c r="D61" s="1297"/>
      <c r="E61" s="1303"/>
      <c r="F61" s="1654"/>
      <c r="G61" s="1303"/>
      <c r="H61" s="1303"/>
      <c r="I61" s="1296"/>
      <c r="J61" s="1645" t="s">
        <v>2792</v>
      </c>
      <c r="K61" s="1604" t="s">
        <v>2595</v>
      </c>
      <c r="L61" s="1604"/>
      <c r="M61" s="1604"/>
      <c r="N61" s="1604"/>
      <c r="O61" s="1604"/>
      <c r="P61" s="1604"/>
    </row>
    <row r="62" spans="1:18">
      <c r="A62" s="1290"/>
      <c r="B62" s="1169"/>
      <c r="C62" s="1290"/>
      <c r="D62" s="1290"/>
      <c r="E62" s="1303"/>
      <c r="F62" s="1303"/>
      <c r="G62" s="1303"/>
      <c r="H62" s="1303"/>
      <c r="I62" s="1296"/>
      <c r="J62" s="1301"/>
      <c r="K62" s="1605" t="s">
        <v>2594</v>
      </c>
      <c r="L62" s="1605"/>
      <c r="M62" s="1605" t="s">
        <v>2597</v>
      </c>
      <c r="N62" s="1605"/>
      <c r="O62" s="1605"/>
      <c r="P62" s="1605"/>
    </row>
    <row r="63" spans="1:18">
      <c r="A63" s="1290"/>
      <c r="B63" s="914"/>
      <c r="C63" s="1290"/>
      <c r="D63" s="1290"/>
      <c r="E63" s="1290"/>
      <c r="F63" s="1290"/>
      <c r="G63" s="1290"/>
      <c r="H63" s="1303"/>
      <c r="I63" s="1296"/>
      <c r="J63" s="1592" t="s">
        <v>191</v>
      </c>
      <c r="K63" s="1606" t="s">
        <v>2596</v>
      </c>
      <c r="L63" s="1606"/>
      <c r="M63" s="1606"/>
      <c r="N63" s="1606"/>
      <c r="O63" s="1606"/>
      <c r="P63" s="1606"/>
      <c r="Q63" s="1652"/>
      <c r="R63" s="1652"/>
    </row>
    <row r="64" spans="1:18">
      <c r="C64" s="1306"/>
      <c r="D64" s="1306"/>
      <c r="E64" s="1306"/>
      <c r="F64" s="591"/>
      <c r="G64" s="591"/>
      <c r="H64" s="591"/>
      <c r="I64" s="591"/>
      <c r="J64" s="1304"/>
      <c r="K64" s="1305"/>
      <c r="L64" s="1302"/>
      <c r="M64" s="1303"/>
      <c r="O64" s="1591"/>
      <c r="P64" s="1591"/>
      <c r="Q64" s="1652"/>
      <c r="R64" s="1652"/>
    </row>
    <row r="65" spans="3:16">
      <c r="C65" s="1306"/>
      <c r="D65" s="1306"/>
      <c r="E65" s="1306"/>
      <c r="F65" s="591"/>
      <c r="G65" s="591"/>
      <c r="H65" s="591"/>
      <c r="I65" s="591"/>
      <c r="J65" s="1276"/>
      <c r="K65" s="1276"/>
      <c r="L65" s="1302"/>
      <c r="M65" s="1302"/>
      <c r="O65" s="1591"/>
      <c r="P65" s="1591"/>
    </row>
    <row r="66" spans="3:16">
      <c r="C66" s="1306"/>
      <c r="D66" s="1306"/>
      <c r="E66" s="1306"/>
      <c r="F66" s="591"/>
      <c r="G66" s="591"/>
      <c r="H66" s="591"/>
      <c r="I66" s="591"/>
      <c r="J66" s="1304"/>
      <c r="K66" s="1305"/>
      <c r="L66" s="1302"/>
      <c r="M66" s="1302"/>
      <c r="N66" s="1302"/>
      <c r="O66" s="1591"/>
      <c r="P66" s="1591"/>
    </row>
    <row r="67" spans="3:16">
      <c r="C67" s="1306"/>
      <c r="D67" s="1306"/>
      <c r="E67" s="1306"/>
      <c r="F67" s="1306"/>
      <c r="G67" s="1306"/>
      <c r="H67" s="1303"/>
      <c r="I67" s="1308"/>
      <c r="J67" s="1304"/>
      <c r="K67" s="1304"/>
      <c r="L67" s="1305"/>
      <c r="M67" s="1302"/>
      <c r="N67" s="1847"/>
      <c r="O67" s="1591"/>
      <c r="P67" s="1591"/>
    </row>
    <row r="68" spans="3:16">
      <c r="C68" s="1306"/>
      <c r="D68" s="1306"/>
      <c r="E68" s="1306"/>
      <c r="F68" s="1306"/>
      <c r="G68" s="1306"/>
      <c r="H68" s="1303"/>
      <c r="I68" s="1307"/>
      <c r="J68" s="1304"/>
      <c r="K68" s="1304"/>
      <c r="L68" s="1305"/>
      <c r="M68" s="1302"/>
      <c r="N68" s="1847"/>
      <c r="O68" s="1591"/>
      <c r="P68" s="1307"/>
    </row>
    <row r="69" spans="3:16">
      <c r="C69" s="1306"/>
      <c r="D69" s="1306"/>
      <c r="E69" s="1306"/>
      <c r="F69" s="1306"/>
      <c r="G69" s="1306"/>
      <c r="H69" s="1303"/>
      <c r="I69" s="1307"/>
      <c r="J69" s="1304"/>
      <c r="K69" s="1304"/>
      <c r="L69" s="1305"/>
      <c r="M69" s="1308"/>
      <c r="N69" s="1308"/>
      <c r="O69" s="1308"/>
      <c r="P69" s="1307"/>
    </row>
    <row r="70" spans="3:16">
      <c r="C70" s="1306"/>
      <c r="D70" s="1306"/>
      <c r="E70" s="1306"/>
      <c r="F70" s="1306"/>
      <c r="G70" s="1306"/>
      <c r="H70" s="1303"/>
      <c r="I70" s="1307"/>
      <c r="J70" s="1304"/>
      <c r="K70" s="1304"/>
      <c r="L70" s="1305"/>
      <c r="M70" s="1308"/>
      <c r="N70" s="1308"/>
      <c r="O70" s="1308"/>
      <c r="P70" s="1307"/>
    </row>
    <row r="71" spans="3:16">
      <c r="D71" s="591"/>
      <c r="E71" s="591"/>
      <c r="F71" s="591"/>
      <c r="G71" s="1306"/>
      <c r="H71" s="1303"/>
    </row>
    <row r="72" spans="3:16">
      <c r="D72" s="591"/>
      <c r="E72" s="591"/>
      <c r="F72" s="591"/>
      <c r="G72" s="1306"/>
      <c r="H72" s="1303"/>
    </row>
    <row r="73" spans="3:16">
      <c r="D73" s="591"/>
      <c r="E73" s="591"/>
      <c r="F73" s="591"/>
      <c r="G73" s="1306"/>
      <c r="H73" s="1303"/>
    </row>
    <row r="74" spans="3:16">
      <c r="D74" s="591"/>
      <c r="E74" s="591"/>
      <c r="F74" s="591"/>
      <c r="G74" s="1306"/>
      <c r="H74" s="1303"/>
    </row>
    <row r="75" spans="3:16">
      <c r="D75" s="591"/>
      <c r="E75" s="591"/>
      <c r="F75" s="591"/>
      <c r="G75" s="1306"/>
      <c r="H75" s="1303"/>
    </row>
    <row r="76" spans="3:16">
      <c r="D76" s="591"/>
      <c r="E76" s="591"/>
      <c r="F76" s="591"/>
      <c r="G76" s="1306"/>
      <c r="H76" s="1303"/>
    </row>
    <row r="77" spans="3:16">
      <c r="G77" s="591"/>
      <c r="H77" s="1303"/>
    </row>
    <row r="78" spans="3:16">
      <c r="G78" s="591"/>
      <c r="H78" s="1303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8">
    <mergeCell ref="F1:I1"/>
    <mergeCell ref="B55:F55"/>
    <mergeCell ref="B56:I56"/>
    <mergeCell ref="B60:C60"/>
    <mergeCell ref="O5:O6"/>
    <mergeCell ref="N5:N6"/>
    <mergeCell ref="K55:P55"/>
    <mergeCell ref="K58:P58"/>
    <mergeCell ref="M5:M6"/>
    <mergeCell ref="E5:E6"/>
    <mergeCell ref="K5:K6"/>
    <mergeCell ref="K56:P56"/>
    <mergeCell ref="K57:P57"/>
    <mergeCell ref="K59:P59"/>
    <mergeCell ref="B59:C59"/>
    <mergeCell ref="B3:E4"/>
    <mergeCell ref="F3:I3"/>
    <mergeCell ref="C5:C6"/>
    <mergeCell ref="B5:B6"/>
    <mergeCell ref="D5:D6"/>
    <mergeCell ref="J5:J6"/>
    <mergeCell ref="G5:G6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F4:I4"/>
    <mergeCell ref="I5:I6"/>
    <mergeCell ref="H5:H6"/>
    <mergeCell ref="F2:I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Q81"/>
  <sheetViews>
    <sheetView topLeftCell="A34" zoomScale="130" zoomScaleNormal="130" workbookViewId="0">
      <selection activeCell="J52" sqref="J52"/>
    </sheetView>
  </sheetViews>
  <sheetFormatPr defaultRowHeight="15"/>
  <cols>
    <col min="1" max="1" width="6.85546875" style="672" customWidth="1"/>
    <col min="2" max="2" width="8.140625" style="672" customWidth="1"/>
    <col min="3" max="3" width="9.7109375" style="672" customWidth="1"/>
    <col min="4" max="4" width="8" style="672" customWidth="1"/>
    <col min="5" max="5" width="9.42578125" style="672" customWidth="1"/>
    <col min="6" max="6" width="9.85546875" style="672" customWidth="1"/>
    <col min="7" max="7" width="7.5703125" style="672" customWidth="1"/>
    <col min="8" max="8" width="7.85546875" style="672" customWidth="1"/>
    <col min="9" max="10" width="10.140625" style="672" customWidth="1"/>
    <col min="11" max="11" width="11" style="672" customWidth="1"/>
    <col min="12" max="12" width="10.5703125" style="672" customWidth="1"/>
    <col min="13" max="13" width="8.140625" style="672" customWidth="1"/>
    <col min="14" max="15" width="7.42578125" style="672" customWidth="1"/>
    <col min="16" max="16" width="9" style="672" customWidth="1"/>
    <col min="17" max="17" width="9.140625" style="672" customWidth="1"/>
    <col min="18" max="16384" width="9.140625" style="672"/>
  </cols>
  <sheetData>
    <row r="1" spans="1:17" ht="1.5" customHeight="1"/>
    <row r="2" spans="1:17" s="1417" customFormat="1" ht="15.75" customHeight="1">
      <c r="A2" s="1529"/>
      <c r="B2" s="1530"/>
      <c r="C2" s="1530"/>
      <c r="D2" s="1064"/>
      <c r="E2" s="1064"/>
      <c r="F2" s="1064"/>
      <c r="G2" s="2593" t="s">
        <v>2023</v>
      </c>
      <c r="H2" s="2593"/>
      <c r="I2" s="2593"/>
      <c r="J2" s="2600" t="s">
        <v>2022</v>
      </c>
      <c r="K2" s="2600"/>
      <c r="L2" s="2600"/>
      <c r="M2" s="2600"/>
      <c r="N2" s="1530"/>
      <c r="O2" s="1530"/>
      <c r="P2" s="2594" t="s">
        <v>1871</v>
      </c>
      <c r="Q2" s="2594"/>
    </row>
    <row r="3" spans="1:17" ht="12" customHeight="1">
      <c r="P3" s="2595" t="s">
        <v>24</v>
      </c>
      <c r="Q3" s="2595"/>
    </row>
    <row r="4" spans="1:17" s="949" customFormat="1" ht="15" customHeight="1">
      <c r="A4" s="2596" t="s">
        <v>475</v>
      </c>
      <c r="B4" s="2585" t="s">
        <v>482</v>
      </c>
      <c r="C4" s="2599" t="s">
        <v>1388</v>
      </c>
      <c r="D4" s="2599"/>
      <c r="E4" s="2599"/>
      <c r="F4" s="2599" t="s">
        <v>2021</v>
      </c>
      <c r="G4" s="2599"/>
      <c r="H4" s="2599"/>
      <c r="I4" s="2599"/>
      <c r="J4" s="2599"/>
      <c r="K4" s="2585" t="s">
        <v>1415</v>
      </c>
      <c r="L4" s="2582" t="s">
        <v>1416</v>
      </c>
      <c r="M4" s="2582" t="s">
        <v>1383</v>
      </c>
      <c r="N4" s="2581" t="s">
        <v>1384</v>
      </c>
      <c r="O4" s="2582" t="s">
        <v>1404</v>
      </c>
      <c r="P4" s="2582" t="s">
        <v>1386</v>
      </c>
      <c r="Q4" s="2582" t="s">
        <v>1393</v>
      </c>
    </row>
    <row r="5" spans="1:17" s="949" customFormat="1" ht="58.5" customHeight="1">
      <c r="A5" s="2597"/>
      <c r="B5" s="2586"/>
      <c r="C5" s="1383" t="s">
        <v>1389</v>
      </c>
      <c r="D5" s="1669" t="s">
        <v>1390</v>
      </c>
      <c r="E5" s="1669" t="s">
        <v>1398</v>
      </c>
      <c r="F5" s="1669" t="s">
        <v>1391</v>
      </c>
      <c r="G5" s="1669" t="s">
        <v>1413</v>
      </c>
      <c r="H5" s="1669" t="s">
        <v>1392</v>
      </c>
      <c r="I5" s="1669" t="s">
        <v>1414</v>
      </c>
      <c r="J5" s="1669" t="s">
        <v>1397</v>
      </c>
      <c r="K5" s="2586"/>
      <c r="L5" s="2582"/>
      <c r="M5" s="2582"/>
      <c r="N5" s="2581"/>
      <c r="O5" s="2582"/>
      <c r="P5" s="2582"/>
      <c r="Q5" s="2582"/>
    </row>
    <row r="6" spans="1:17" s="949" customFormat="1">
      <c r="A6" s="2598"/>
      <c r="B6" s="1383">
        <v>1</v>
      </c>
      <c r="C6" s="1669">
        <v>2</v>
      </c>
      <c r="D6" s="1669">
        <v>3</v>
      </c>
      <c r="E6" s="1669">
        <v>4</v>
      </c>
      <c r="F6" s="1669">
        <v>5</v>
      </c>
      <c r="G6" s="1669">
        <v>6</v>
      </c>
      <c r="H6" s="1669">
        <v>7</v>
      </c>
      <c r="I6" s="1669">
        <v>8</v>
      </c>
      <c r="J6" s="1669">
        <v>9</v>
      </c>
      <c r="K6" s="1669">
        <v>10</v>
      </c>
      <c r="L6" s="1669">
        <v>11</v>
      </c>
      <c r="M6" s="1669">
        <v>12</v>
      </c>
      <c r="N6" s="1669">
        <v>13</v>
      </c>
      <c r="O6" s="1669">
        <v>14</v>
      </c>
      <c r="P6" s="1669">
        <v>15</v>
      </c>
      <c r="Q6" s="1669">
        <v>16</v>
      </c>
    </row>
    <row r="7" spans="1:17" s="949" customFormat="1" ht="13.5" customHeight="1">
      <c r="A7" s="1411" t="s">
        <v>1311</v>
      </c>
      <c r="B7" s="1153">
        <v>219839.3</v>
      </c>
      <c r="C7" s="1153">
        <v>317375.09999999998</v>
      </c>
      <c r="D7" s="1153">
        <v>1038405.3</v>
      </c>
      <c r="E7" s="1153">
        <v>1355780.4</v>
      </c>
      <c r="F7" s="1153">
        <v>139383</v>
      </c>
      <c r="G7" s="1153">
        <v>113589.4</v>
      </c>
      <c r="H7" s="1153">
        <v>894292.2</v>
      </c>
      <c r="I7" s="1153">
        <v>226328.5</v>
      </c>
      <c r="J7" s="1153">
        <v>1373593.1</v>
      </c>
      <c r="K7" s="1153">
        <v>466.8</v>
      </c>
      <c r="L7" s="1153">
        <v>1708</v>
      </c>
      <c r="M7" s="1153">
        <v>162.19999999999999</v>
      </c>
      <c r="N7" s="1153">
        <v>0</v>
      </c>
      <c r="O7" s="1153">
        <v>0</v>
      </c>
      <c r="P7" s="1153">
        <v>149063.6</v>
      </c>
      <c r="Q7" s="1153">
        <v>50626</v>
      </c>
    </row>
    <row r="8" spans="1:17" s="949" customFormat="1" ht="13.5" customHeight="1">
      <c r="A8" s="1412" t="s">
        <v>1420</v>
      </c>
      <c r="B8" s="453">
        <v>220491</v>
      </c>
      <c r="C8" s="453">
        <v>386582.8</v>
      </c>
      <c r="D8" s="453">
        <v>1153197</v>
      </c>
      <c r="E8" s="453">
        <v>1539779.8</v>
      </c>
      <c r="F8" s="453">
        <v>152754.4</v>
      </c>
      <c r="G8" s="453">
        <v>118282.1</v>
      </c>
      <c r="H8" s="453">
        <v>988445.9</v>
      </c>
      <c r="I8" s="453">
        <v>275041.7</v>
      </c>
      <c r="J8" s="453">
        <v>1534524.1</v>
      </c>
      <c r="K8" s="453">
        <v>559.29999999999995</v>
      </c>
      <c r="L8" s="453">
        <v>2074.1999999999998</v>
      </c>
      <c r="M8" s="453">
        <v>215.9</v>
      </c>
      <c r="N8" s="453">
        <v>0</v>
      </c>
      <c r="O8" s="453">
        <v>0</v>
      </c>
      <c r="P8" s="453">
        <v>153559.5</v>
      </c>
      <c r="Q8" s="453">
        <v>69337.8</v>
      </c>
    </row>
    <row r="9" spans="1:17" s="678" customFormat="1" ht="13.5" customHeight="1">
      <c r="A9" s="1411" t="s">
        <v>1502</v>
      </c>
      <c r="B9" s="441">
        <v>250287.4</v>
      </c>
      <c r="C9" s="441">
        <v>465640.7</v>
      </c>
      <c r="D9" s="441">
        <v>1247986.8999999999</v>
      </c>
      <c r="E9" s="441">
        <v>1713627.5999999999</v>
      </c>
      <c r="F9" s="441">
        <v>190570.5</v>
      </c>
      <c r="G9" s="441">
        <v>135586.20000000001</v>
      </c>
      <c r="H9" s="441">
        <v>1090287</v>
      </c>
      <c r="I9" s="441">
        <v>288223.59999999998</v>
      </c>
      <c r="J9" s="441">
        <v>1704667.2999999998</v>
      </c>
      <c r="K9" s="441">
        <v>1431.1</v>
      </c>
      <c r="L9" s="441">
        <v>2131</v>
      </c>
      <c r="M9" s="441">
        <v>127.3</v>
      </c>
      <c r="N9" s="441">
        <v>0</v>
      </c>
      <c r="O9" s="441">
        <v>0</v>
      </c>
      <c r="P9" s="441">
        <v>162648.1</v>
      </c>
      <c r="Q9" s="441">
        <v>92910.2</v>
      </c>
    </row>
    <row r="10" spans="1:17" s="678" customFormat="1" ht="13.5" customHeight="1">
      <c r="A10" s="1414" t="s">
        <v>1555</v>
      </c>
      <c r="B10" s="454">
        <v>334673.7</v>
      </c>
      <c r="C10" s="454">
        <v>548617.69999999995</v>
      </c>
      <c r="D10" s="454">
        <v>1349330.6</v>
      </c>
      <c r="E10" s="454">
        <v>1897948.3</v>
      </c>
      <c r="F10" s="454">
        <v>207949.2</v>
      </c>
      <c r="G10" s="454">
        <v>165171.20000000001</v>
      </c>
      <c r="H10" s="454">
        <v>1226821.1000000001</v>
      </c>
      <c r="I10" s="454">
        <v>329302.40000000002</v>
      </c>
      <c r="J10" s="454">
        <v>1929243.9</v>
      </c>
      <c r="K10" s="454">
        <v>1821.9</v>
      </c>
      <c r="L10" s="454">
        <v>2833.2</v>
      </c>
      <c r="M10" s="454">
        <v>147.80000000000001</v>
      </c>
      <c r="N10" s="454">
        <v>0</v>
      </c>
      <c r="O10" s="454">
        <v>0</v>
      </c>
      <c r="P10" s="454">
        <v>186910.6</v>
      </c>
      <c r="Q10" s="454">
        <v>111664.6</v>
      </c>
    </row>
    <row r="11" spans="1:17" s="678" customFormat="1" ht="13.5" customHeight="1">
      <c r="A11" s="1415" t="s">
        <v>1836</v>
      </c>
      <c r="B11" s="441">
        <v>304447.5</v>
      </c>
      <c r="C11" s="441">
        <v>631729.80000000005</v>
      </c>
      <c r="D11" s="441">
        <v>1539232.5</v>
      </c>
      <c r="E11" s="441">
        <v>2170962.2999999998</v>
      </c>
      <c r="F11" s="441">
        <v>234783</v>
      </c>
      <c r="G11" s="441">
        <v>189735</v>
      </c>
      <c r="H11" s="441">
        <v>1324229.7</v>
      </c>
      <c r="I11" s="441">
        <v>350604.9</v>
      </c>
      <c r="J11" s="441">
        <v>2099352.6</v>
      </c>
      <c r="K11" s="441">
        <v>1590.4</v>
      </c>
      <c r="L11" s="441">
        <v>3021</v>
      </c>
      <c r="M11" s="441">
        <v>350.8</v>
      </c>
      <c r="N11" s="441">
        <v>0</v>
      </c>
      <c r="O11" s="441">
        <v>0</v>
      </c>
      <c r="P11" s="441">
        <v>206528.8</v>
      </c>
      <c r="Q11" s="441">
        <v>164566.1</v>
      </c>
    </row>
    <row r="12" spans="1:17" s="678" customFormat="1" ht="13.5" customHeight="1">
      <c r="A12" s="1413" t="s">
        <v>2088</v>
      </c>
      <c r="B12" s="1147">
        <v>271444.40000000002</v>
      </c>
      <c r="C12" s="1147">
        <v>730616.1</v>
      </c>
      <c r="D12" s="1147">
        <v>1682224.7</v>
      </c>
      <c r="E12" s="1147">
        <v>2412840.7999999998</v>
      </c>
      <c r="F12" s="1147">
        <v>290116.90000000002</v>
      </c>
      <c r="G12" s="1147">
        <v>199986.1</v>
      </c>
      <c r="H12" s="1147">
        <v>1436739.1</v>
      </c>
      <c r="I12" s="1147">
        <v>349315.4</v>
      </c>
      <c r="J12" s="1147">
        <v>2276157.5</v>
      </c>
      <c r="K12" s="1147">
        <v>2551</v>
      </c>
      <c r="L12" s="1147">
        <v>3001.4</v>
      </c>
      <c r="M12" s="1147">
        <v>212.8</v>
      </c>
      <c r="N12" s="1147">
        <v>0</v>
      </c>
      <c r="O12" s="1147">
        <v>0</v>
      </c>
      <c r="P12" s="1147">
        <v>236062.3</v>
      </c>
      <c r="Q12" s="1147">
        <v>166300.20000000001</v>
      </c>
    </row>
    <row r="13" spans="1:17" s="678" customFormat="1" ht="13.5" customHeight="1">
      <c r="A13" s="1436" t="s">
        <v>2228</v>
      </c>
      <c r="B13" s="1146">
        <f>B25</f>
        <v>250909.5</v>
      </c>
      <c r="C13" s="1146">
        <f t="shared" ref="C13:Q13" si="0">C25</f>
        <v>750141.4</v>
      </c>
      <c r="D13" s="1146">
        <f t="shared" si="0"/>
        <v>1833194.8</v>
      </c>
      <c r="E13" s="1146">
        <f t="shared" si="0"/>
        <v>2583336.2000000002</v>
      </c>
      <c r="F13" s="1146">
        <f t="shared" si="0"/>
        <v>288527.2</v>
      </c>
      <c r="G13" s="1146">
        <f t="shared" si="0"/>
        <v>211533.3</v>
      </c>
      <c r="H13" s="1146">
        <f t="shared" si="0"/>
        <v>1581093.5</v>
      </c>
      <c r="I13" s="1146">
        <f t="shared" si="0"/>
        <v>330104</v>
      </c>
      <c r="J13" s="1146">
        <f t="shared" si="0"/>
        <v>2411258</v>
      </c>
      <c r="K13" s="1146">
        <f t="shared" si="0"/>
        <v>2610.1999999999998</v>
      </c>
      <c r="L13" s="1146">
        <f t="shared" si="0"/>
        <v>3869.3</v>
      </c>
      <c r="M13" s="1146">
        <f t="shared" si="0"/>
        <v>160.4</v>
      </c>
      <c r="N13" s="1146">
        <f t="shared" si="0"/>
        <v>0</v>
      </c>
      <c r="O13" s="1146">
        <f t="shared" si="0"/>
        <v>0</v>
      </c>
      <c r="P13" s="1146">
        <f t="shared" si="0"/>
        <v>249606.39999999999</v>
      </c>
      <c r="Q13" s="1146">
        <f t="shared" si="0"/>
        <v>166741.4</v>
      </c>
    </row>
    <row r="14" spans="1:17" s="678" customFormat="1" ht="13.5" customHeight="1">
      <c r="A14" s="1414" t="s">
        <v>559</v>
      </c>
      <c r="B14" s="454">
        <v>274298.8</v>
      </c>
      <c r="C14" s="454">
        <v>732794.6</v>
      </c>
      <c r="D14" s="454">
        <v>1675780.3</v>
      </c>
      <c r="E14" s="454">
        <f t="shared" ref="E14:E41" si="1">C14+D14</f>
        <v>2408574.9</v>
      </c>
      <c r="F14" s="454">
        <v>264545.7</v>
      </c>
      <c r="G14" s="454">
        <v>193117.3</v>
      </c>
      <c r="H14" s="454">
        <v>1457685</v>
      </c>
      <c r="I14" s="454">
        <v>349129.2</v>
      </c>
      <c r="J14" s="454">
        <f t="shared" ref="J14:J43" si="2">F14+G14+H14+I14</f>
        <v>2264477.2000000002</v>
      </c>
      <c r="K14" s="454">
        <v>2367.9</v>
      </c>
      <c r="L14" s="454">
        <v>2971.3</v>
      </c>
      <c r="M14" s="454">
        <v>374.3</v>
      </c>
      <c r="N14" s="454">
        <v>0</v>
      </c>
      <c r="O14" s="454">
        <v>0</v>
      </c>
      <c r="P14" s="454">
        <v>243056.3</v>
      </c>
      <c r="Q14" s="454">
        <v>169626.7</v>
      </c>
    </row>
    <row r="15" spans="1:17" s="678" customFormat="1" ht="13.5" customHeight="1">
      <c r="A15" s="1415" t="s">
        <v>560</v>
      </c>
      <c r="B15" s="441">
        <v>263685.59999999998</v>
      </c>
      <c r="C15" s="441">
        <v>724057.2</v>
      </c>
      <c r="D15" s="441">
        <v>1686202.1</v>
      </c>
      <c r="E15" s="441">
        <f t="shared" si="1"/>
        <v>2410259.2999999998</v>
      </c>
      <c r="F15" s="441">
        <v>256537</v>
      </c>
      <c r="G15" s="441">
        <v>187721.8</v>
      </c>
      <c r="H15" s="441">
        <v>1475250.5</v>
      </c>
      <c r="I15" s="441">
        <v>348448.8</v>
      </c>
      <c r="J15" s="441">
        <f t="shared" si="2"/>
        <v>2267958.1</v>
      </c>
      <c r="K15" s="441">
        <v>1774.4</v>
      </c>
      <c r="L15" s="441">
        <v>2911.8</v>
      </c>
      <c r="M15" s="441">
        <v>321.89999999999998</v>
      </c>
      <c r="N15" s="441">
        <v>0</v>
      </c>
      <c r="O15" s="441">
        <v>0</v>
      </c>
      <c r="P15" s="441">
        <v>247771.8</v>
      </c>
      <c r="Q15" s="441">
        <v>153206.9</v>
      </c>
    </row>
    <row r="16" spans="1:17" s="678" customFormat="1" ht="13.5" customHeight="1">
      <c r="A16" s="1414" t="s">
        <v>554</v>
      </c>
      <c r="B16" s="454">
        <v>251186.7</v>
      </c>
      <c r="C16" s="454">
        <v>712650.4</v>
      </c>
      <c r="D16" s="454">
        <v>1706448.5</v>
      </c>
      <c r="E16" s="454">
        <f t="shared" si="1"/>
        <v>2419098.9</v>
      </c>
      <c r="F16" s="454">
        <v>251677.7</v>
      </c>
      <c r="G16" s="454">
        <v>187933.2</v>
      </c>
      <c r="H16" s="454">
        <v>1479825.7</v>
      </c>
      <c r="I16" s="454">
        <v>348369</v>
      </c>
      <c r="J16" s="454">
        <f t="shared" si="2"/>
        <v>2267805.6</v>
      </c>
      <c r="K16" s="454">
        <v>2838.2</v>
      </c>
      <c r="L16" s="454">
        <v>3016.1</v>
      </c>
      <c r="M16" s="454">
        <v>210.5</v>
      </c>
      <c r="N16" s="454">
        <v>0</v>
      </c>
      <c r="O16" s="454">
        <v>0</v>
      </c>
      <c r="P16" s="454">
        <v>251682.1</v>
      </c>
      <c r="Q16" s="454">
        <v>144733.1</v>
      </c>
    </row>
    <row r="17" spans="1:17" s="678" customFormat="1" ht="13.5" customHeight="1">
      <c r="A17" s="1415" t="s">
        <v>561</v>
      </c>
      <c r="B17" s="441">
        <v>242178.7</v>
      </c>
      <c r="C17" s="441">
        <v>707899.4</v>
      </c>
      <c r="D17" s="441">
        <v>1721393.7</v>
      </c>
      <c r="E17" s="441">
        <f t="shared" si="1"/>
        <v>2429293.1</v>
      </c>
      <c r="F17" s="441">
        <v>244105.7</v>
      </c>
      <c r="G17" s="441">
        <v>194822.5</v>
      </c>
      <c r="H17" s="441">
        <v>1486765.1</v>
      </c>
      <c r="I17" s="441">
        <v>347525.6</v>
      </c>
      <c r="J17" s="441">
        <f t="shared" si="2"/>
        <v>2273218.9</v>
      </c>
      <c r="K17" s="441">
        <v>2555.5</v>
      </c>
      <c r="L17" s="441">
        <v>2998.4</v>
      </c>
      <c r="M17" s="441">
        <v>181.4</v>
      </c>
      <c r="N17" s="441">
        <v>0</v>
      </c>
      <c r="O17" s="441">
        <v>0</v>
      </c>
      <c r="P17" s="441">
        <v>253994.4</v>
      </c>
      <c r="Q17" s="441">
        <v>138523.20000000001</v>
      </c>
    </row>
    <row r="18" spans="1:17" s="678" customFormat="1" ht="13.5" customHeight="1">
      <c r="A18" s="1414" t="s">
        <v>562</v>
      </c>
      <c r="B18" s="454">
        <v>227888.8</v>
      </c>
      <c r="C18" s="454">
        <v>702218.6</v>
      </c>
      <c r="D18" s="454">
        <v>1741306.4</v>
      </c>
      <c r="E18" s="454">
        <f t="shared" si="1"/>
        <v>2443525</v>
      </c>
      <c r="F18" s="454">
        <v>246597.1</v>
      </c>
      <c r="G18" s="454">
        <v>192534.7</v>
      </c>
      <c r="H18" s="454">
        <v>1494585.4</v>
      </c>
      <c r="I18" s="454">
        <v>346172.1</v>
      </c>
      <c r="J18" s="454">
        <f t="shared" si="2"/>
        <v>2279889.2999999998</v>
      </c>
      <c r="K18" s="454">
        <v>1923</v>
      </c>
      <c r="L18" s="454">
        <v>3144</v>
      </c>
      <c r="M18" s="454">
        <v>243</v>
      </c>
      <c r="N18" s="454">
        <v>0</v>
      </c>
      <c r="O18" s="454">
        <v>0</v>
      </c>
      <c r="P18" s="454">
        <v>259688.2</v>
      </c>
      <c r="Q18" s="454">
        <v>126526.3</v>
      </c>
    </row>
    <row r="19" spans="1:17" s="678" customFormat="1" ht="13.5" customHeight="1">
      <c r="A19" s="1415" t="s">
        <v>555</v>
      </c>
      <c r="B19" s="441">
        <v>240084.7</v>
      </c>
      <c r="C19" s="441">
        <v>686862</v>
      </c>
      <c r="D19" s="441">
        <v>1764046.1</v>
      </c>
      <c r="E19" s="441">
        <f t="shared" si="1"/>
        <v>2450908.1</v>
      </c>
      <c r="F19" s="441">
        <v>253010.6</v>
      </c>
      <c r="G19" s="441">
        <v>198613.6</v>
      </c>
      <c r="H19" s="441">
        <v>1502510.7</v>
      </c>
      <c r="I19" s="441">
        <v>344164.5</v>
      </c>
      <c r="J19" s="441">
        <f t="shared" si="2"/>
        <v>2298299.4</v>
      </c>
      <c r="K19" s="441">
        <v>3147.4</v>
      </c>
      <c r="L19" s="441">
        <v>3785.7</v>
      </c>
      <c r="M19" s="441">
        <v>221.5</v>
      </c>
      <c r="N19" s="441">
        <v>0</v>
      </c>
      <c r="O19" s="441">
        <v>0</v>
      </c>
      <c r="P19" s="441">
        <v>269969.2</v>
      </c>
      <c r="Q19" s="441">
        <v>115569.60000000001</v>
      </c>
    </row>
    <row r="20" spans="1:17" s="678" customFormat="1" ht="13.5" customHeight="1">
      <c r="A20" s="1414" t="s">
        <v>563</v>
      </c>
      <c r="B20" s="454">
        <v>230584.5</v>
      </c>
      <c r="C20" s="454">
        <v>701985.6</v>
      </c>
      <c r="D20" s="454">
        <v>1759248.1</v>
      </c>
      <c r="E20" s="454">
        <f t="shared" si="1"/>
        <v>2461233.7000000002</v>
      </c>
      <c r="F20" s="454">
        <v>255434.5</v>
      </c>
      <c r="G20" s="454">
        <v>188247.9</v>
      </c>
      <c r="H20" s="454">
        <v>1504989.2</v>
      </c>
      <c r="I20" s="454">
        <v>343111.9</v>
      </c>
      <c r="J20" s="454">
        <f t="shared" si="2"/>
        <v>2291783.5</v>
      </c>
      <c r="K20" s="454">
        <v>2419.6999999999998</v>
      </c>
      <c r="L20" s="454">
        <v>3768.2</v>
      </c>
      <c r="M20" s="454">
        <v>271.3</v>
      </c>
      <c r="N20" s="454">
        <v>0</v>
      </c>
      <c r="O20" s="454">
        <v>0</v>
      </c>
      <c r="P20" s="454">
        <v>251396.9</v>
      </c>
      <c r="Q20" s="454">
        <v>142178.6</v>
      </c>
    </row>
    <row r="21" spans="1:17" s="678" customFormat="1" ht="13.5" customHeight="1">
      <c r="A21" s="1415" t="s">
        <v>564</v>
      </c>
      <c r="B21" s="441">
        <v>226211.6</v>
      </c>
      <c r="C21" s="441">
        <v>717356.9</v>
      </c>
      <c r="D21" s="441">
        <v>1765826.5</v>
      </c>
      <c r="E21" s="441">
        <f t="shared" si="1"/>
        <v>2483183.4</v>
      </c>
      <c r="F21" s="441">
        <v>255706</v>
      </c>
      <c r="G21" s="441">
        <v>192021.1</v>
      </c>
      <c r="H21" s="441">
        <v>1517884.2</v>
      </c>
      <c r="I21" s="441">
        <v>341752</v>
      </c>
      <c r="J21" s="441">
        <f t="shared" si="2"/>
        <v>2307363.2999999998</v>
      </c>
      <c r="K21" s="441">
        <v>1838.6</v>
      </c>
      <c r="L21" s="441">
        <v>3737.8</v>
      </c>
      <c r="M21" s="441">
        <v>478.5</v>
      </c>
      <c r="N21" s="441">
        <v>0</v>
      </c>
      <c r="O21" s="441">
        <v>0</v>
      </c>
      <c r="P21" s="441">
        <v>254609.3</v>
      </c>
      <c r="Q21" s="441">
        <v>141367.5</v>
      </c>
    </row>
    <row r="22" spans="1:17" s="678" customFormat="1" ht="13.5" customHeight="1">
      <c r="A22" s="1414" t="s">
        <v>556</v>
      </c>
      <c r="B22" s="454">
        <v>224145.5</v>
      </c>
      <c r="C22" s="454">
        <v>724562.3</v>
      </c>
      <c r="D22" s="454">
        <v>1786113.5</v>
      </c>
      <c r="E22" s="454">
        <f t="shared" si="1"/>
        <v>2510675.7999999998</v>
      </c>
      <c r="F22" s="454">
        <v>259309.4</v>
      </c>
      <c r="G22" s="454">
        <v>196041.60000000001</v>
      </c>
      <c r="H22" s="454">
        <v>1529874.8</v>
      </c>
      <c r="I22" s="454">
        <v>338197</v>
      </c>
      <c r="J22" s="454">
        <f t="shared" si="2"/>
        <v>2323422.7999999998</v>
      </c>
      <c r="K22" s="454">
        <v>2020</v>
      </c>
      <c r="L22" s="454">
        <v>3821.4</v>
      </c>
      <c r="M22" s="454">
        <v>282.7</v>
      </c>
      <c r="N22" s="454">
        <v>0</v>
      </c>
      <c r="O22" s="454">
        <v>0</v>
      </c>
      <c r="P22" s="454">
        <v>258225.8</v>
      </c>
      <c r="Q22" s="454">
        <v>147048.6</v>
      </c>
    </row>
    <row r="23" spans="1:17" s="678" customFormat="1" ht="13.5" customHeight="1">
      <c r="A23" s="1415" t="s">
        <v>565</v>
      </c>
      <c r="B23" s="441">
        <v>211011.1</v>
      </c>
      <c r="C23" s="441">
        <v>747654.9</v>
      </c>
      <c r="D23" s="441">
        <v>1788140.5</v>
      </c>
      <c r="E23" s="441">
        <f t="shared" si="1"/>
        <v>2535795.4</v>
      </c>
      <c r="F23" s="441">
        <v>262451.59999999998</v>
      </c>
      <c r="G23" s="441">
        <v>192388.3</v>
      </c>
      <c r="H23" s="441">
        <v>1539263.3</v>
      </c>
      <c r="I23" s="441">
        <v>336201.5</v>
      </c>
      <c r="J23" s="441">
        <f t="shared" si="2"/>
        <v>2330304.7000000002</v>
      </c>
      <c r="K23" s="441">
        <v>1969.6</v>
      </c>
      <c r="L23" s="441">
        <v>3811.5</v>
      </c>
      <c r="M23" s="441">
        <v>227</v>
      </c>
      <c r="N23" s="441">
        <v>0</v>
      </c>
      <c r="O23" s="441">
        <v>0</v>
      </c>
      <c r="P23" s="441">
        <v>260034</v>
      </c>
      <c r="Q23" s="441">
        <v>150459.70000000001</v>
      </c>
    </row>
    <row r="24" spans="1:17" s="1410" customFormat="1" ht="13.5" customHeight="1">
      <c r="A24" s="1414" t="s">
        <v>566</v>
      </c>
      <c r="B24" s="454">
        <v>226639.5</v>
      </c>
      <c r="C24" s="454">
        <v>753704.2</v>
      </c>
      <c r="D24" s="454">
        <v>1814230.4</v>
      </c>
      <c r="E24" s="454">
        <f t="shared" si="1"/>
        <v>2567934.5999999996</v>
      </c>
      <c r="F24" s="454">
        <v>268754.2</v>
      </c>
      <c r="G24" s="454">
        <v>188682.2</v>
      </c>
      <c r="H24" s="454">
        <v>1561129.3</v>
      </c>
      <c r="I24" s="454">
        <v>333227.59999999998</v>
      </c>
      <c r="J24" s="454">
        <f t="shared" si="2"/>
        <v>2351793.3000000003</v>
      </c>
      <c r="K24" s="454">
        <v>2092.5</v>
      </c>
      <c r="L24" s="454">
        <v>3853.4</v>
      </c>
      <c r="M24" s="454">
        <v>216.6</v>
      </c>
      <c r="N24" s="454">
        <v>0</v>
      </c>
      <c r="O24" s="454">
        <v>0</v>
      </c>
      <c r="P24" s="454">
        <v>273297.40000000002</v>
      </c>
      <c r="Q24" s="454">
        <v>163320.9</v>
      </c>
    </row>
    <row r="25" spans="1:17" s="1410" customFormat="1" ht="13.5" customHeight="1">
      <c r="A25" s="1415" t="s">
        <v>557</v>
      </c>
      <c r="B25" s="441">
        <v>250909.5</v>
      </c>
      <c r="C25" s="441">
        <v>750141.4</v>
      </c>
      <c r="D25" s="441">
        <v>1833194.8</v>
      </c>
      <c r="E25" s="441">
        <f t="shared" si="1"/>
        <v>2583336.2000000002</v>
      </c>
      <c r="F25" s="441">
        <v>288527.2</v>
      </c>
      <c r="G25" s="441">
        <v>211533.3</v>
      </c>
      <c r="H25" s="441">
        <v>1581093.5</v>
      </c>
      <c r="I25" s="441">
        <v>330104</v>
      </c>
      <c r="J25" s="441">
        <f t="shared" si="2"/>
        <v>2411258</v>
      </c>
      <c r="K25" s="441">
        <v>2610.1999999999998</v>
      </c>
      <c r="L25" s="441">
        <v>3869.3</v>
      </c>
      <c r="M25" s="441">
        <v>160.4</v>
      </c>
      <c r="N25" s="441">
        <v>0</v>
      </c>
      <c r="O25" s="441">
        <v>0</v>
      </c>
      <c r="P25" s="441">
        <v>249606.39999999999</v>
      </c>
      <c r="Q25" s="441">
        <v>166741.4</v>
      </c>
    </row>
    <row r="26" spans="1:17" s="1410" customFormat="1" ht="13.5" customHeight="1">
      <c r="A26" s="1585" t="s">
        <v>2549</v>
      </c>
      <c r="B26" s="1147">
        <f>B38</f>
        <v>286266.3</v>
      </c>
      <c r="C26" s="1147">
        <f t="shared" ref="C26:Q26" si="3">C38</f>
        <v>815408.5</v>
      </c>
      <c r="D26" s="1147">
        <f t="shared" si="3"/>
        <v>1927650.2</v>
      </c>
      <c r="E26" s="1147">
        <f t="shared" si="3"/>
        <v>2743058.7</v>
      </c>
      <c r="F26" s="1147">
        <f t="shared" si="3"/>
        <v>294479.5</v>
      </c>
      <c r="G26" s="1147">
        <f t="shared" si="3"/>
        <v>215476.2</v>
      </c>
      <c r="H26" s="1147">
        <f t="shared" si="3"/>
        <v>1720101.7</v>
      </c>
      <c r="I26" s="1147">
        <f t="shared" si="3"/>
        <v>326473</v>
      </c>
      <c r="J26" s="1147">
        <f t="shared" si="3"/>
        <v>2556530.4</v>
      </c>
      <c r="K26" s="1147">
        <f t="shared" si="3"/>
        <v>15577</v>
      </c>
      <c r="L26" s="1147">
        <f t="shared" si="3"/>
        <v>6165.7</v>
      </c>
      <c r="M26" s="1147">
        <f t="shared" si="3"/>
        <v>246.2</v>
      </c>
      <c r="N26" s="1147">
        <f t="shared" si="3"/>
        <v>0</v>
      </c>
      <c r="O26" s="1147">
        <f t="shared" si="3"/>
        <v>0</v>
      </c>
      <c r="P26" s="1147">
        <f t="shared" si="3"/>
        <v>195293.4</v>
      </c>
      <c r="Q26" s="1147">
        <f t="shared" si="3"/>
        <v>255512.3</v>
      </c>
    </row>
    <row r="27" spans="1:17" s="1410" customFormat="1" ht="13.5" customHeight="1">
      <c r="A27" s="1415" t="s">
        <v>559</v>
      </c>
      <c r="B27" s="441">
        <v>244853.7</v>
      </c>
      <c r="C27" s="441">
        <v>765232.7</v>
      </c>
      <c r="D27" s="441">
        <v>1826836.7</v>
      </c>
      <c r="E27" s="441">
        <f t="shared" si="1"/>
        <v>2592069.4</v>
      </c>
      <c r="F27" s="441">
        <v>289711.90000000002</v>
      </c>
      <c r="G27" s="441">
        <v>195183</v>
      </c>
      <c r="H27" s="441">
        <v>1589440.6</v>
      </c>
      <c r="I27" s="441">
        <v>332397</v>
      </c>
      <c r="J27" s="441">
        <f t="shared" si="2"/>
        <v>2406732.5</v>
      </c>
      <c r="K27" s="441">
        <v>2630.7</v>
      </c>
      <c r="L27" s="441">
        <v>3903.4</v>
      </c>
      <c r="M27" s="441">
        <v>157.1</v>
      </c>
      <c r="N27" s="441">
        <v>0</v>
      </c>
      <c r="O27" s="441">
        <v>0</v>
      </c>
      <c r="P27" s="441">
        <v>253901.9</v>
      </c>
      <c r="Q27" s="441">
        <v>169597.5</v>
      </c>
    </row>
    <row r="28" spans="1:17" s="1410" customFormat="1" ht="13.5" customHeight="1">
      <c r="A28" s="1414" t="s">
        <v>560</v>
      </c>
      <c r="B28" s="454">
        <v>236048</v>
      </c>
      <c r="C28" s="454">
        <v>756287.5</v>
      </c>
      <c r="D28" s="454">
        <v>1830065.5</v>
      </c>
      <c r="E28" s="454">
        <f t="shared" si="1"/>
        <v>2586353</v>
      </c>
      <c r="F28" s="454">
        <v>290513.90000000002</v>
      </c>
      <c r="G28" s="454">
        <v>196055.5</v>
      </c>
      <c r="H28" s="454">
        <v>1587336</v>
      </c>
      <c r="I28" s="454">
        <v>334590</v>
      </c>
      <c r="J28" s="454">
        <f t="shared" si="2"/>
        <v>2408495.4</v>
      </c>
      <c r="K28" s="454">
        <v>3046.4</v>
      </c>
      <c r="L28" s="454">
        <v>4029.4</v>
      </c>
      <c r="M28" s="454">
        <v>233.3</v>
      </c>
      <c r="N28" s="454">
        <v>0</v>
      </c>
      <c r="O28" s="454">
        <v>0</v>
      </c>
      <c r="P28" s="454">
        <v>265106.2</v>
      </c>
      <c r="Q28" s="454">
        <v>141490.29999999999</v>
      </c>
    </row>
    <row r="29" spans="1:17" s="1410" customFormat="1" ht="13.5" customHeight="1">
      <c r="A29" s="1415" t="s">
        <v>554</v>
      </c>
      <c r="B29" s="441">
        <v>233454.2</v>
      </c>
      <c r="C29" s="441">
        <v>740993.2</v>
      </c>
      <c r="D29" s="441">
        <v>1832073.4</v>
      </c>
      <c r="E29" s="441">
        <f t="shared" si="1"/>
        <v>2573066.5999999996</v>
      </c>
      <c r="F29" s="441">
        <v>281627.2</v>
      </c>
      <c r="G29" s="441">
        <v>195013</v>
      </c>
      <c r="H29" s="441">
        <v>1601033.3</v>
      </c>
      <c r="I29" s="441">
        <v>338964</v>
      </c>
      <c r="J29" s="441">
        <f t="shared" si="2"/>
        <v>2416637.5</v>
      </c>
      <c r="K29" s="441">
        <v>3876</v>
      </c>
      <c r="L29" s="441">
        <v>4539.5</v>
      </c>
      <c r="M29" s="441">
        <v>290.39999999999998</v>
      </c>
      <c r="N29" s="441">
        <v>0</v>
      </c>
      <c r="O29" s="441">
        <v>0</v>
      </c>
      <c r="P29" s="441">
        <v>258155</v>
      </c>
      <c r="Q29" s="441">
        <v>123022.39999999999</v>
      </c>
    </row>
    <row r="30" spans="1:17" s="1410" customFormat="1" ht="13.5" customHeight="1">
      <c r="A30" s="1414" t="s">
        <v>561</v>
      </c>
      <c r="B30" s="454">
        <v>220004.2</v>
      </c>
      <c r="C30" s="454">
        <v>757358.1</v>
      </c>
      <c r="D30" s="454">
        <v>1832548.1</v>
      </c>
      <c r="E30" s="454">
        <f t="shared" si="1"/>
        <v>2589906.2000000002</v>
      </c>
      <c r="F30" s="454">
        <v>275879.8</v>
      </c>
      <c r="G30" s="454">
        <v>197072.6</v>
      </c>
      <c r="H30" s="454">
        <v>1613745.4</v>
      </c>
      <c r="I30" s="454">
        <v>336008.6</v>
      </c>
      <c r="J30" s="454">
        <f t="shared" si="2"/>
        <v>2422706.4</v>
      </c>
      <c r="K30" s="454">
        <v>1698.6</v>
      </c>
      <c r="L30" s="454">
        <v>4572.3999999999996</v>
      </c>
      <c r="M30" s="454">
        <v>279.39999999999998</v>
      </c>
      <c r="N30" s="454">
        <v>0</v>
      </c>
      <c r="O30" s="454">
        <v>0</v>
      </c>
      <c r="P30" s="454">
        <v>259926</v>
      </c>
      <c r="Q30" s="454">
        <v>120727.6</v>
      </c>
    </row>
    <row r="31" spans="1:17" s="1410" customFormat="1" ht="13.5" customHeight="1">
      <c r="A31" s="1415" t="s">
        <v>562</v>
      </c>
      <c r="B31" s="441">
        <v>221141.4</v>
      </c>
      <c r="C31" s="441">
        <v>763940.6</v>
      </c>
      <c r="D31" s="441">
        <v>1839660.6</v>
      </c>
      <c r="E31" s="441">
        <f t="shared" si="1"/>
        <v>2603601.2000000002</v>
      </c>
      <c r="F31" s="441">
        <v>276753.5</v>
      </c>
      <c r="G31" s="441">
        <v>193524.3</v>
      </c>
      <c r="H31" s="441">
        <v>1625433.2</v>
      </c>
      <c r="I31" s="441">
        <v>332775.59999999998</v>
      </c>
      <c r="J31" s="441">
        <f t="shared" si="2"/>
        <v>2428486.6</v>
      </c>
      <c r="K31" s="441">
        <v>1769.4</v>
      </c>
      <c r="L31" s="441">
        <v>4566.3999999999996</v>
      </c>
      <c r="M31" s="441">
        <v>267.3</v>
      </c>
      <c r="N31" s="441">
        <v>0</v>
      </c>
      <c r="O31" s="441">
        <v>0</v>
      </c>
      <c r="P31" s="441">
        <v>259353.60000000001</v>
      </c>
      <c r="Q31" s="441">
        <v>130299.3</v>
      </c>
    </row>
    <row r="32" spans="1:17" s="1410" customFormat="1" ht="13.5" customHeight="1">
      <c r="A32" s="1414" t="s">
        <v>555</v>
      </c>
      <c r="B32" s="454">
        <v>217392.5</v>
      </c>
      <c r="C32" s="454">
        <v>754395.2</v>
      </c>
      <c r="D32" s="454">
        <v>1864784</v>
      </c>
      <c r="E32" s="454">
        <f t="shared" si="1"/>
        <v>2619179.2000000002</v>
      </c>
      <c r="F32" s="454">
        <v>272517.90000000002</v>
      </c>
      <c r="G32" s="454">
        <v>201020</v>
      </c>
      <c r="H32" s="454">
        <v>1634602.6</v>
      </c>
      <c r="I32" s="454">
        <v>329123.20000000001</v>
      </c>
      <c r="J32" s="454">
        <f t="shared" si="2"/>
        <v>2437263.7000000002</v>
      </c>
      <c r="K32" s="454">
        <v>1682.9</v>
      </c>
      <c r="L32" s="454">
        <v>5593.3</v>
      </c>
      <c r="M32" s="454">
        <v>169.6</v>
      </c>
      <c r="N32" s="454">
        <v>0</v>
      </c>
      <c r="O32" s="454">
        <v>0</v>
      </c>
      <c r="P32" s="454">
        <v>258716.1</v>
      </c>
      <c r="Q32" s="454">
        <v>133146.1</v>
      </c>
    </row>
    <row r="33" spans="1:17" s="1410" customFormat="1" ht="13.5" customHeight="1">
      <c r="A33" s="1415" t="s">
        <v>563</v>
      </c>
      <c r="B33" s="441">
        <v>230488.6</v>
      </c>
      <c r="C33" s="441">
        <v>752076.80000000005</v>
      </c>
      <c r="D33" s="441">
        <v>1861480.3</v>
      </c>
      <c r="E33" s="441">
        <f t="shared" si="1"/>
        <v>2613557.1</v>
      </c>
      <c r="F33" s="441">
        <v>272284.3</v>
      </c>
      <c r="G33" s="441">
        <v>192459.7</v>
      </c>
      <c r="H33" s="441">
        <v>1647190</v>
      </c>
      <c r="I33" s="441">
        <v>324521.59999999998</v>
      </c>
      <c r="J33" s="441">
        <f t="shared" si="2"/>
        <v>2436455.6</v>
      </c>
      <c r="K33" s="441">
        <v>2352.9</v>
      </c>
      <c r="L33" s="441">
        <v>5713.8</v>
      </c>
      <c r="M33" s="441">
        <v>256.8</v>
      </c>
      <c r="N33" s="441">
        <v>0</v>
      </c>
      <c r="O33" s="441">
        <v>0</v>
      </c>
      <c r="P33" s="441">
        <v>257473.7</v>
      </c>
      <c r="Q33" s="441">
        <v>141792.9</v>
      </c>
    </row>
    <row r="34" spans="1:17" s="1410" customFormat="1" ht="13.5" customHeight="1">
      <c r="A34" s="1414" t="s">
        <v>564</v>
      </c>
      <c r="B34" s="454">
        <v>236082.3</v>
      </c>
      <c r="C34" s="454">
        <v>750811.3</v>
      </c>
      <c r="D34" s="454">
        <v>1865510.3</v>
      </c>
      <c r="E34" s="454">
        <f t="shared" si="1"/>
        <v>2616321.6</v>
      </c>
      <c r="F34" s="454">
        <v>269543.09999999998</v>
      </c>
      <c r="G34" s="454">
        <v>193138.5</v>
      </c>
      <c r="H34" s="454">
        <v>1657750.8</v>
      </c>
      <c r="I34" s="454">
        <v>322975.7</v>
      </c>
      <c r="J34" s="454">
        <f t="shared" si="2"/>
        <v>2443408.1</v>
      </c>
      <c r="K34" s="454">
        <v>2179</v>
      </c>
      <c r="L34" s="454">
        <v>5937.6</v>
      </c>
      <c r="M34" s="454">
        <v>200</v>
      </c>
      <c r="N34" s="454">
        <v>0</v>
      </c>
      <c r="O34" s="454">
        <v>0</v>
      </c>
      <c r="P34" s="454">
        <v>266564.5</v>
      </c>
      <c r="Q34" s="454">
        <v>134114.70000000001</v>
      </c>
    </row>
    <row r="35" spans="1:17" s="1410" customFormat="1" ht="13.5" customHeight="1">
      <c r="A35" s="1415" t="s">
        <v>556</v>
      </c>
      <c r="B35" s="441">
        <v>238917.9</v>
      </c>
      <c r="C35" s="441">
        <v>776608.2</v>
      </c>
      <c r="D35" s="441">
        <v>1900308.3</v>
      </c>
      <c r="E35" s="441">
        <f t="shared" si="1"/>
        <v>2676916.5</v>
      </c>
      <c r="F35" s="441">
        <v>294472.5</v>
      </c>
      <c r="G35" s="441">
        <v>195256.5</v>
      </c>
      <c r="H35" s="441">
        <v>1679806.5</v>
      </c>
      <c r="I35" s="441">
        <v>323324.40000000002</v>
      </c>
      <c r="J35" s="441">
        <f t="shared" si="2"/>
        <v>2492859.9</v>
      </c>
      <c r="K35" s="441">
        <v>4470.8999999999996</v>
      </c>
      <c r="L35" s="441">
        <v>6132.9</v>
      </c>
      <c r="M35" s="441">
        <v>342.4</v>
      </c>
      <c r="N35" s="441">
        <v>0</v>
      </c>
      <c r="O35" s="441">
        <v>0</v>
      </c>
      <c r="P35" s="441">
        <v>262487</v>
      </c>
      <c r="Q35" s="441">
        <v>149541.29999999999</v>
      </c>
    </row>
    <row r="36" spans="1:17" s="1410" customFormat="1" ht="13.5" customHeight="1">
      <c r="A36" s="1414" t="s">
        <v>565</v>
      </c>
      <c r="B36" s="454">
        <v>249806.5</v>
      </c>
      <c r="C36" s="454">
        <v>781445.3</v>
      </c>
      <c r="D36" s="454">
        <v>1902920.8</v>
      </c>
      <c r="E36" s="454">
        <f t="shared" si="1"/>
        <v>2684366.1</v>
      </c>
      <c r="F36" s="454">
        <v>275400.7</v>
      </c>
      <c r="G36" s="454">
        <v>196477.7</v>
      </c>
      <c r="H36" s="454">
        <v>1681352.2</v>
      </c>
      <c r="I36" s="454">
        <v>324729</v>
      </c>
      <c r="J36" s="454">
        <f t="shared" si="2"/>
        <v>2477959.6</v>
      </c>
      <c r="K36" s="454">
        <v>14043.2</v>
      </c>
      <c r="L36" s="454">
        <v>6126.9</v>
      </c>
      <c r="M36" s="454">
        <v>627.9</v>
      </c>
      <c r="N36" s="454">
        <v>0</v>
      </c>
      <c r="O36" s="454">
        <v>0</v>
      </c>
      <c r="P36" s="454">
        <v>263468.2</v>
      </c>
      <c r="Q36" s="454">
        <v>171946.8</v>
      </c>
    </row>
    <row r="37" spans="1:17" s="1410" customFormat="1" ht="13.5" customHeight="1">
      <c r="A37" s="1415" t="s">
        <v>566</v>
      </c>
      <c r="B37" s="441">
        <v>246235.1</v>
      </c>
      <c r="C37" s="441">
        <v>797102.7</v>
      </c>
      <c r="D37" s="441">
        <v>1922265.4</v>
      </c>
      <c r="E37" s="441">
        <f t="shared" si="1"/>
        <v>2719368.0999999996</v>
      </c>
      <c r="F37" s="441">
        <v>291806.8</v>
      </c>
      <c r="G37" s="441">
        <v>198072.3</v>
      </c>
      <c r="H37" s="441">
        <v>1692498.8</v>
      </c>
      <c r="I37" s="441">
        <v>326477.90000000002</v>
      </c>
      <c r="J37" s="441">
        <f t="shared" si="2"/>
        <v>2508855.7999999998</v>
      </c>
      <c r="K37" s="441">
        <v>14755.3</v>
      </c>
      <c r="L37" s="441">
        <v>6080.5</v>
      </c>
      <c r="M37" s="441">
        <v>298.5</v>
      </c>
      <c r="N37" s="441">
        <v>0</v>
      </c>
      <c r="O37" s="441">
        <v>0</v>
      </c>
      <c r="P37" s="441">
        <v>256983.6</v>
      </c>
      <c r="Q37" s="441">
        <v>178629.5</v>
      </c>
    </row>
    <row r="38" spans="1:17" s="1410" customFormat="1" ht="13.5" customHeight="1">
      <c r="A38" s="1414" t="s">
        <v>557</v>
      </c>
      <c r="B38" s="454">
        <v>286266.3</v>
      </c>
      <c r="C38" s="454">
        <v>815408.5</v>
      </c>
      <c r="D38" s="454">
        <v>1927650.2</v>
      </c>
      <c r="E38" s="454">
        <f t="shared" si="1"/>
        <v>2743058.7</v>
      </c>
      <c r="F38" s="454">
        <v>294479.5</v>
      </c>
      <c r="G38" s="454">
        <v>215476.2</v>
      </c>
      <c r="H38" s="454">
        <v>1720101.7</v>
      </c>
      <c r="I38" s="454">
        <v>326473</v>
      </c>
      <c r="J38" s="454">
        <f t="shared" si="2"/>
        <v>2556530.4</v>
      </c>
      <c r="K38" s="454">
        <v>15577</v>
      </c>
      <c r="L38" s="454">
        <v>6165.7</v>
      </c>
      <c r="M38" s="454">
        <v>246.2</v>
      </c>
      <c r="N38" s="454">
        <v>0</v>
      </c>
      <c r="O38" s="454">
        <v>0</v>
      </c>
      <c r="P38" s="454">
        <v>195293.4</v>
      </c>
      <c r="Q38" s="454">
        <v>255512.3</v>
      </c>
    </row>
    <row r="39" spans="1:17" s="1047" customFormat="1" ht="13.5" customHeight="1">
      <c r="A39" s="1436" t="s">
        <v>2769</v>
      </c>
      <c r="B39" s="441"/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</row>
    <row r="40" spans="1:17" s="1047" customFormat="1" ht="13.5" customHeight="1">
      <c r="A40" s="1414" t="s">
        <v>559</v>
      </c>
      <c r="B40" s="454">
        <v>276030.40000000002</v>
      </c>
      <c r="C40" s="454">
        <v>829006.9</v>
      </c>
      <c r="D40" s="454">
        <v>1926003</v>
      </c>
      <c r="E40" s="454">
        <f t="shared" si="1"/>
        <v>2755009.9</v>
      </c>
      <c r="F40" s="454">
        <v>285311.40000000002</v>
      </c>
      <c r="G40" s="454">
        <v>200392.5</v>
      </c>
      <c r="H40" s="454">
        <v>1736531.4</v>
      </c>
      <c r="I40" s="454">
        <v>327856.2</v>
      </c>
      <c r="J40" s="454">
        <f t="shared" si="2"/>
        <v>2550091.5</v>
      </c>
      <c r="K40" s="454">
        <v>15772</v>
      </c>
      <c r="L40" s="454">
        <v>6209.1</v>
      </c>
      <c r="M40" s="454">
        <v>240.6</v>
      </c>
      <c r="N40" s="454">
        <v>0</v>
      </c>
      <c r="O40" s="454">
        <v>0</v>
      </c>
      <c r="P40" s="454">
        <v>245662.2</v>
      </c>
      <c r="Q40" s="454">
        <v>213064.9</v>
      </c>
    </row>
    <row r="41" spans="1:17" s="1047" customFormat="1" ht="13.5" customHeight="1">
      <c r="A41" s="1415" t="s">
        <v>560</v>
      </c>
      <c r="B41" s="441">
        <v>282657.3</v>
      </c>
      <c r="C41" s="441">
        <v>825540</v>
      </c>
      <c r="D41" s="441">
        <v>1931981</v>
      </c>
      <c r="E41" s="441">
        <f t="shared" si="1"/>
        <v>2757521</v>
      </c>
      <c r="F41" s="441">
        <v>274502.7</v>
      </c>
      <c r="G41" s="441">
        <v>203505.9</v>
      </c>
      <c r="H41" s="441">
        <v>1758472.2</v>
      </c>
      <c r="I41" s="441">
        <v>328324.8</v>
      </c>
      <c r="J41" s="441">
        <f t="shared" si="2"/>
        <v>2564805.5999999996</v>
      </c>
      <c r="K41" s="441">
        <v>15829.4</v>
      </c>
      <c r="L41" s="441">
        <v>6148.4</v>
      </c>
      <c r="M41" s="441">
        <v>372.7</v>
      </c>
      <c r="N41" s="441">
        <v>0</v>
      </c>
      <c r="O41" s="441">
        <v>0</v>
      </c>
      <c r="P41" s="441">
        <v>246450.1</v>
      </c>
      <c r="Q41" s="441">
        <v>206572.1</v>
      </c>
    </row>
    <row r="42" spans="1:17" s="1047" customFormat="1" ht="13.5" customHeight="1">
      <c r="A42" s="1414" t="s">
        <v>554</v>
      </c>
      <c r="B42" s="454">
        <v>280500</v>
      </c>
      <c r="C42" s="454">
        <v>844821.5</v>
      </c>
      <c r="D42" s="454">
        <v>1943942.5</v>
      </c>
      <c r="E42" s="454">
        <f>C42+D42</f>
        <v>2788764</v>
      </c>
      <c r="F42" s="454">
        <v>272725.3</v>
      </c>
      <c r="G42" s="454">
        <v>199283.6</v>
      </c>
      <c r="H42" s="454">
        <v>1772112</v>
      </c>
      <c r="I42" s="454">
        <v>328931.40000000002</v>
      </c>
      <c r="J42" s="454">
        <f t="shared" si="2"/>
        <v>2573052.2999999998</v>
      </c>
      <c r="K42" s="454">
        <v>15636.6</v>
      </c>
      <c r="L42" s="454">
        <v>6341.7</v>
      </c>
      <c r="M42" s="454">
        <v>297.8</v>
      </c>
      <c r="N42" s="454">
        <v>0</v>
      </c>
      <c r="O42" s="454">
        <v>0</v>
      </c>
      <c r="P42" s="454">
        <v>251677.8</v>
      </c>
      <c r="Q42" s="454">
        <v>222257.8</v>
      </c>
    </row>
    <row r="43" spans="1:17" s="1722" customFormat="1" ht="13.5" customHeight="1">
      <c r="A43" s="1720" t="s">
        <v>561</v>
      </c>
      <c r="B43" s="1721">
        <v>279657.59999999998</v>
      </c>
      <c r="C43" s="1721">
        <v>858811.2</v>
      </c>
      <c r="D43" s="1721">
        <v>1950030.5</v>
      </c>
      <c r="E43" s="1721">
        <f>C43+D43</f>
        <v>2808841.7</v>
      </c>
      <c r="F43" s="1721">
        <v>268442</v>
      </c>
      <c r="G43" s="1721">
        <v>198434.6</v>
      </c>
      <c r="H43" s="1721">
        <v>1783557.5</v>
      </c>
      <c r="I43" s="1721">
        <v>329499.09999999998</v>
      </c>
      <c r="J43" s="1721">
        <f t="shared" si="2"/>
        <v>2579933.2000000002</v>
      </c>
      <c r="K43" s="1721">
        <v>16011.5</v>
      </c>
      <c r="L43" s="1721">
        <v>6062.1</v>
      </c>
      <c r="M43" s="1721">
        <v>442</v>
      </c>
      <c r="N43" s="1721">
        <v>0</v>
      </c>
      <c r="O43" s="1721">
        <v>0</v>
      </c>
      <c r="P43" s="1721">
        <v>251287.5</v>
      </c>
      <c r="Q43" s="1721">
        <v>234763</v>
      </c>
    </row>
    <row r="44" spans="1:17" s="1722" customFormat="1" ht="13.5" customHeight="1">
      <c r="A44" s="1414" t="s">
        <v>562</v>
      </c>
      <c r="B44" s="454">
        <v>283202.5</v>
      </c>
      <c r="C44" s="454">
        <v>881477.4</v>
      </c>
      <c r="D44" s="454">
        <v>1966343.3</v>
      </c>
      <c r="E44" s="454">
        <v>2847820.7</v>
      </c>
      <c r="F44" s="454">
        <v>267003</v>
      </c>
      <c r="G44" s="454">
        <v>204883.6</v>
      </c>
      <c r="H44" s="454">
        <v>1805269.8</v>
      </c>
      <c r="I44" s="454">
        <v>329359.5</v>
      </c>
      <c r="J44" s="454">
        <v>2606515.9</v>
      </c>
      <c r="K44" s="454">
        <v>16331</v>
      </c>
      <c r="L44" s="454">
        <v>6153.4</v>
      </c>
      <c r="M44" s="454">
        <v>509.9</v>
      </c>
      <c r="N44" s="454">
        <v>0</v>
      </c>
      <c r="O44" s="454">
        <v>0</v>
      </c>
      <c r="P44" s="454">
        <v>225010.3</v>
      </c>
      <c r="Q44" s="454">
        <v>276502.59999999998</v>
      </c>
    </row>
    <row r="45" spans="1:17" ht="13.5" customHeight="1">
      <c r="A45" s="1415" t="s">
        <v>555</v>
      </c>
      <c r="B45" s="441">
        <v>290448</v>
      </c>
      <c r="C45" s="441">
        <v>877036.7</v>
      </c>
      <c r="D45" s="441">
        <v>1975579.6</v>
      </c>
      <c r="E45" s="441">
        <v>2852616.3</v>
      </c>
      <c r="F45" s="441">
        <v>273327.59999999998</v>
      </c>
      <c r="G45" s="441">
        <v>214000.9</v>
      </c>
      <c r="H45" s="441">
        <v>1820011.2</v>
      </c>
      <c r="I45" s="441">
        <v>329837</v>
      </c>
      <c r="J45" s="441">
        <v>2637176.7000000002</v>
      </c>
      <c r="K45" s="441">
        <v>16521.3</v>
      </c>
      <c r="L45" s="441">
        <v>6518.9</v>
      </c>
      <c r="M45" s="441">
        <v>352.9</v>
      </c>
      <c r="N45" s="441">
        <v>0</v>
      </c>
      <c r="O45" s="441">
        <v>0</v>
      </c>
      <c r="P45" s="441">
        <v>110513.60000000001</v>
      </c>
      <c r="Q45" s="441">
        <v>371980.9</v>
      </c>
    </row>
    <row r="46" spans="1:17">
      <c r="A46" s="1414" t="s">
        <v>563</v>
      </c>
      <c r="B46" s="454">
        <v>301242.2</v>
      </c>
      <c r="C46" s="454">
        <v>891289.1</v>
      </c>
      <c r="D46" s="454">
        <v>1968409</v>
      </c>
      <c r="E46" s="454">
        <v>2859698.1</v>
      </c>
      <c r="F46" s="454">
        <v>280602.7</v>
      </c>
      <c r="G46" s="454">
        <v>202126.6</v>
      </c>
      <c r="H46" s="454">
        <v>1824565.1</v>
      </c>
      <c r="I46" s="454">
        <v>329837</v>
      </c>
      <c r="J46" s="454">
        <v>2637131.4</v>
      </c>
      <c r="K46" s="454">
        <v>20382.3</v>
      </c>
      <c r="L46" s="454">
        <v>6659.9</v>
      </c>
      <c r="M46" s="454">
        <v>302.10000000000002</v>
      </c>
      <c r="N46" s="454">
        <v>0</v>
      </c>
      <c r="O46" s="454">
        <v>0</v>
      </c>
      <c r="P46" s="454">
        <v>109658.7</v>
      </c>
      <c r="Q46" s="454">
        <v>386805.9</v>
      </c>
    </row>
    <row r="47" spans="1:17" ht="13.5" customHeight="1" thickBot="1">
      <c r="A47" s="1853" t="s">
        <v>564</v>
      </c>
      <c r="B47" s="1854">
        <v>314846.2</v>
      </c>
      <c r="C47" s="1854">
        <v>905806.2</v>
      </c>
      <c r="D47" s="1854">
        <v>1974128.5</v>
      </c>
      <c r="E47" s="1854">
        <v>287993.47000000003</v>
      </c>
      <c r="F47" s="1854">
        <v>284376.5</v>
      </c>
      <c r="G47" s="1854">
        <v>206426.7</v>
      </c>
      <c r="H47" s="1854">
        <v>1847399.6</v>
      </c>
      <c r="I47" s="1854">
        <v>328163.7</v>
      </c>
      <c r="J47" s="1854">
        <v>266636.65000000002</v>
      </c>
      <c r="K47" s="1854">
        <v>17264.2</v>
      </c>
      <c r="L47" s="1854">
        <v>6815.8</v>
      </c>
      <c r="M47" s="1854">
        <v>434.6</v>
      </c>
      <c r="N47" s="1854">
        <v>0</v>
      </c>
      <c r="O47" s="1854">
        <v>0</v>
      </c>
      <c r="P47" s="1854">
        <v>109633.3</v>
      </c>
      <c r="Q47" s="1854">
        <v>394266.5</v>
      </c>
    </row>
    <row r="48" spans="1:17">
      <c r="A48" s="1676" t="s">
        <v>16</v>
      </c>
      <c r="B48" s="1416" t="s">
        <v>1219</v>
      </c>
      <c r="C48" s="1417"/>
      <c r="D48" s="1417"/>
      <c r="E48" s="1417"/>
      <c r="F48" s="1418"/>
      <c r="G48" s="1418"/>
      <c r="H48" s="1418"/>
      <c r="I48" s="1256"/>
      <c r="J48" s="1419"/>
      <c r="K48" s="1419"/>
      <c r="L48" s="1420"/>
      <c r="M48" s="1420"/>
      <c r="N48" s="1419"/>
      <c r="O48" s="1420"/>
      <c r="P48" s="1419"/>
      <c r="Q48" s="1421"/>
    </row>
    <row r="49" spans="1:17">
      <c r="A49" s="1091"/>
      <c r="B49" s="1091"/>
      <c r="C49" s="1125"/>
      <c r="D49" s="1091"/>
      <c r="E49" s="997"/>
      <c r="F49" s="1135"/>
      <c r="G49" s="1135"/>
      <c r="H49" s="1135"/>
      <c r="I49" s="1135"/>
      <c r="J49" s="1136"/>
      <c r="K49" s="1058"/>
      <c r="L49" s="1058"/>
      <c r="M49" s="1058"/>
      <c r="N49" s="1058"/>
      <c r="O49" s="1092"/>
      <c r="P49" s="1138"/>
      <c r="Q49" s="1138"/>
    </row>
    <row r="50" spans="1:17">
      <c r="A50" s="1091"/>
      <c r="B50" s="1091"/>
      <c r="C50" s="1125"/>
      <c r="D50" s="1091"/>
      <c r="E50" s="997"/>
      <c r="F50" s="1135"/>
      <c r="G50" s="1135"/>
      <c r="H50" s="1135"/>
      <c r="I50" s="1135"/>
      <c r="J50" s="1136"/>
      <c r="K50" s="1058"/>
      <c r="L50" s="1058"/>
      <c r="M50" s="1058"/>
      <c r="N50" s="1058"/>
      <c r="O50" s="1092"/>
      <c r="P50" s="1138"/>
      <c r="Q50" s="1138"/>
    </row>
    <row r="51" spans="1:17">
      <c r="A51" s="1091"/>
      <c r="B51" s="1125"/>
      <c r="C51" s="997"/>
      <c r="D51" s="1135"/>
      <c r="E51" s="1091"/>
      <c r="F51" s="1135"/>
      <c r="G51" s="1135"/>
      <c r="H51" s="1136"/>
      <c r="J51" s="1135"/>
      <c r="M51" s="1058"/>
      <c r="N51" s="1058"/>
      <c r="O51" s="1092"/>
      <c r="P51" s="1138"/>
      <c r="Q51" s="1138"/>
    </row>
    <row r="52" spans="1:17">
      <c r="A52" s="1091"/>
      <c r="B52" s="1125"/>
      <c r="C52" s="997"/>
      <c r="D52" s="1135"/>
      <c r="E52" s="1091"/>
      <c r="F52" s="1135"/>
      <c r="G52" s="1135"/>
      <c r="H52" s="1136"/>
      <c r="J52" s="1135"/>
      <c r="M52" s="1058"/>
      <c r="N52" s="1058"/>
      <c r="O52" s="1092"/>
      <c r="P52" s="1138"/>
      <c r="Q52" s="1138"/>
    </row>
    <row r="53" spans="1:17">
      <c r="A53" s="1091"/>
      <c r="B53" s="1091"/>
      <c r="C53" s="1091"/>
      <c r="D53" s="1091"/>
      <c r="E53" s="1091"/>
      <c r="F53" s="1091"/>
      <c r="G53" s="1091"/>
      <c r="H53" s="1091"/>
      <c r="J53" s="1091"/>
      <c r="M53" s="1091"/>
      <c r="N53" s="1091"/>
      <c r="O53" s="1091"/>
      <c r="P53" s="1091"/>
      <c r="Q53" s="1091"/>
    </row>
    <row r="54" spans="1:17">
      <c r="A54" s="1091"/>
      <c r="B54" s="1091"/>
      <c r="C54" s="1091"/>
      <c r="D54" s="1091"/>
      <c r="E54" s="1091"/>
      <c r="F54" s="1091"/>
      <c r="G54" s="1091"/>
      <c r="H54" s="1091"/>
      <c r="I54" s="1091"/>
      <c r="K54" s="1091"/>
      <c r="L54" s="1091"/>
      <c r="M54" s="1091"/>
      <c r="N54" s="1091"/>
      <c r="O54" s="1091"/>
      <c r="P54" s="1091"/>
      <c r="Q54" s="1091"/>
    </row>
    <row r="55" spans="1:17">
      <c r="A55" s="1091"/>
      <c r="B55" s="1091"/>
      <c r="C55" s="1091"/>
      <c r="D55" s="1091"/>
      <c r="E55" s="1091"/>
      <c r="F55" s="1091"/>
      <c r="G55" s="1091"/>
      <c r="H55" s="1091"/>
      <c r="I55" s="1091"/>
      <c r="K55" s="1091"/>
      <c r="L55" s="1091"/>
      <c r="M55" s="1091"/>
      <c r="N55" s="1091"/>
      <c r="O55" s="1091"/>
      <c r="P55" s="1091"/>
      <c r="Q55" s="1091"/>
    </row>
    <row r="56" spans="1:17">
      <c r="A56" s="1091"/>
      <c r="B56" s="1091"/>
      <c r="C56" s="1091"/>
      <c r="D56" s="1091"/>
      <c r="E56" s="1091"/>
      <c r="F56" s="1091"/>
      <c r="G56" s="1091"/>
      <c r="H56" s="1091"/>
      <c r="I56" s="1091"/>
      <c r="J56" s="1091"/>
      <c r="K56" s="1091"/>
      <c r="L56" s="1091"/>
      <c r="M56" s="1091"/>
      <c r="N56" s="1091"/>
      <c r="O56" s="1091"/>
      <c r="P56" s="1091"/>
      <c r="Q56" s="1091"/>
    </row>
    <row r="57" spans="1:17">
      <c r="A57" s="1091"/>
      <c r="B57" s="1091"/>
      <c r="C57" s="1091"/>
      <c r="D57" s="1091"/>
      <c r="E57" s="1091"/>
      <c r="F57" s="1091"/>
      <c r="G57" s="1091"/>
      <c r="H57" s="1091"/>
      <c r="I57" s="1091"/>
      <c r="J57" s="1091"/>
      <c r="K57" s="1091"/>
      <c r="L57" s="1091"/>
      <c r="M57" s="1091"/>
      <c r="N57" s="1091"/>
      <c r="O57" s="1091"/>
      <c r="P57" s="1091"/>
      <c r="Q57" s="1091"/>
    </row>
    <row r="58" spans="1:17">
      <c r="A58" s="1091"/>
      <c r="B58" s="1091"/>
      <c r="C58" s="1091"/>
      <c r="D58" s="1091"/>
      <c r="E58" s="1091"/>
      <c r="F58" s="1091"/>
      <c r="G58" s="1091"/>
      <c r="H58" s="1091"/>
      <c r="I58" s="1091"/>
      <c r="J58" s="1091"/>
      <c r="K58" s="1091"/>
      <c r="L58" s="1091"/>
      <c r="M58" s="1091"/>
      <c r="N58" s="1091"/>
      <c r="O58" s="1091"/>
      <c r="P58" s="1091"/>
      <c r="Q58" s="1091"/>
    </row>
    <row r="59" spans="1:17">
      <c r="A59" s="1091"/>
      <c r="B59" s="1091"/>
      <c r="C59" s="1091"/>
      <c r="D59" s="1091"/>
      <c r="E59" s="1091"/>
      <c r="F59" s="1091"/>
      <c r="G59" s="1091"/>
      <c r="H59" s="1091"/>
      <c r="I59" s="1091"/>
      <c r="J59" s="1091"/>
      <c r="K59" s="1091"/>
      <c r="L59" s="1091"/>
      <c r="M59" s="1091"/>
      <c r="N59" s="1091"/>
      <c r="O59" s="1091"/>
      <c r="P59" s="1091"/>
      <c r="Q59" s="1091"/>
    </row>
    <row r="60" spans="1:17">
      <c r="A60" s="1091"/>
      <c r="B60" s="1091"/>
      <c r="C60" s="1091"/>
      <c r="D60" s="1091"/>
      <c r="E60" s="1091"/>
      <c r="F60" s="1091"/>
      <c r="G60" s="1091"/>
      <c r="H60" s="1091"/>
      <c r="I60" s="1091"/>
      <c r="J60" s="1091"/>
      <c r="K60" s="1091"/>
      <c r="L60" s="1091"/>
      <c r="M60" s="1091"/>
      <c r="N60" s="1091"/>
      <c r="O60" s="1091"/>
      <c r="P60" s="1091"/>
      <c r="Q60" s="1091"/>
    </row>
    <row r="61" spans="1:17">
      <c r="A61" s="1091"/>
      <c r="B61" s="1091"/>
      <c r="C61" s="1091"/>
      <c r="D61" s="1091"/>
      <c r="E61" s="1091"/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</row>
    <row r="62" spans="1:17">
      <c r="A62" s="1091"/>
      <c r="B62" s="1091"/>
      <c r="C62" s="1091"/>
      <c r="D62" s="1091"/>
      <c r="E62" s="1091"/>
      <c r="F62" s="1091"/>
      <c r="G62" s="1091"/>
      <c r="H62" s="1091"/>
      <c r="I62" s="1091"/>
      <c r="J62" s="1091"/>
      <c r="K62" s="1058"/>
      <c r="L62" s="1058"/>
      <c r="M62" s="1058"/>
      <c r="N62" s="1058"/>
      <c r="O62" s="1092"/>
      <c r="P62" s="1138"/>
      <c r="Q62" s="1138"/>
    </row>
    <row r="63" spans="1:17">
      <c r="A63" s="1091"/>
      <c r="B63" s="1091"/>
      <c r="C63" s="1125"/>
      <c r="D63" s="1091"/>
      <c r="E63" s="997"/>
      <c r="F63" s="1135"/>
      <c r="G63" s="1135"/>
      <c r="H63" s="1135"/>
      <c r="I63" s="1135"/>
      <c r="J63" s="1136"/>
      <c r="K63" s="1058"/>
      <c r="L63" s="1058"/>
      <c r="M63" s="1058"/>
      <c r="N63" s="1058"/>
      <c r="O63" s="1092"/>
      <c r="P63" s="1138"/>
      <c r="Q63" s="1138"/>
    </row>
    <row r="64" spans="1:17">
      <c r="A64" s="1091"/>
      <c r="B64" s="1091"/>
      <c r="C64" s="1125"/>
      <c r="D64" s="1091"/>
      <c r="E64" s="997"/>
      <c r="F64" s="1135"/>
      <c r="G64" s="1135"/>
      <c r="H64" s="1135"/>
      <c r="I64" s="1135"/>
      <c r="J64" s="1136"/>
      <c r="K64" s="1058"/>
      <c r="L64" s="1058"/>
      <c r="M64" s="1058"/>
      <c r="N64" s="1058"/>
      <c r="O64" s="1092"/>
      <c r="P64" s="1138"/>
      <c r="Q64" s="1138"/>
    </row>
    <row r="65" spans="1:17">
      <c r="A65" s="1091"/>
      <c r="B65" s="1091"/>
      <c r="C65" s="1125"/>
      <c r="D65" s="1091"/>
      <c r="E65" s="997"/>
      <c r="F65" s="1135"/>
      <c r="G65" s="1135"/>
      <c r="H65" s="1135"/>
      <c r="I65" s="1135"/>
      <c r="J65" s="1136"/>
      <c r="K65" s="1058"/>
      <c r="L65" s="1058"/>
      <c r="M65" s="1058"/>
      <c r="N65" s="1058"/>
      <c r="O65" s="1092"/>
      <c r="P65" s="1138"/>
      <c r="Q65" s="1138"/>
    </row>
    <row r="66" spans="1:17">
      <c r="A66" s="1091"/>
      <c r="B66" s="1091"/>
      <c r="C66" s="1125"/>
      <c r="D66" s="1091"/>
      <c r="E66" s="997"/>
      <c r="F66" s="1135"/>
      <c r="G66" s="1135"/>
      <c r="H66" s="1135"/>
      <c r="I66" s="1135"/>
      <c r="J66" s="1136"/>
      <c r="K66" s="1058"/>
      <c r="L66" s="1058"/>
      <c r="M66" s="1058"/>
      <c r="N66" s="1058"/>
      <c r="O66" s="1092"/>
      <c r="P66" s="1138"/>
      <c r="Q66" s="1138"/>
    </row>
    <row r="67" spans="1:17">
      <c r="A67" s="1091"/>
      <c r="B67" s="1091"/>
      <c r="C67" s="1125"/>
      <c r="D67" s="1091"/>
      <c r="E67" s="997"/>
      <c r="F67" s="1135"/>
      <c r="G67" s="1135"/>
      <c r="H67" s="1135"/>
      <c r="I67" s="1135"/>
      <c r="J67" s="1136"/>
      <c r="K67" s="1058"/>
      <c r="L67" s="1058"/>
      <c r="M67" s="1058"/>
      <c r="N67" s="1058"/>
      <c r="O67" s="1092"/>
      <c r="P67" s="1138"/>
      <c r="Q67" s="1138"/>
    </row>
    <row r="68" spans="1:17">
      <c r="A68" s="1091"/>
      <c r="B68" s="1091"/>
      <c r="C68" s="1125"/>
      <c r="D68" s="1091"/>
      <c r="E68" s="997"/>
      <c r="F68" s="1135"/>
      <c r="G68" s="1135"/>
      <c r="H68" s="1135"/>
      <c r="I68" s="1135"/>
      <c r="J68" s="1136"/>
      <c r="K68" s="1058"/>
      <c r="L68" s="1058"/>
      <c r="M68" s="1058"/>
      <c r="N68" s="1058"/>
      <c r="O68" s="1092"/>
      <c r="P68" s="1138"/>
      <c r="Q68" s="1138"/>
    </row>
    <row r="69" spans="1:17">
      <c r="A69" s="1091"/>
      <c r="B69" s="1091"/>
      <c r="C69" s="1125"/>
      <c r="D69" s="1091"/>
      <c r="E69" s="997"/>
      <c r="F69" s="1135"/>
      <c r="G69" s="1135"/>
      <c r="H69" s="1135"/>
      <c r="I69" s="1135"/>
      <c r="J69" s="1136"/>
      <c r="K69" s="1058"/>
      <c r="L69" s="1058"/>
      <c r="M69" s="1058"/>
      <c r="N69" s="1058"/>
      <c r="O69" s="1092"/>
      <c r="P69" s="1138"/>
      <c r="Q69" s="1138"/>
    </row>
    <row r="70" spans="1:17">
      <c r="A70" s="1091"/>
      <c r="B70" s="1091"/>
      <c r="C70" s="1125"/>
      <c r="D70" s="1091"/>
      <c r="E70" s="997"/>
      <c r="F70" s="1135"/>
      <c r="G70" s="1135"/>
      <c r="H70" s="1135"/>
      <c r="I70" s="1135"/>
      <c r="J70" s="1136"/>
      <c r="K70" s="1058"/>
      <c r="L70" s="1058"/>
      <c r="M70" s="1058"/>
      <c r="N70" s="1058"/>
      <c r="O70" s="1092"/>
      <c r="P70" s="1138"/>
      <c r="Q70" s="1138"/>
    </row>
    <row r="71" spans="1:17">
      <c r="A71" s="1091"/>
      <c r="B71" s="1091"/>
      <c r="C71" s="1125"/>
      <c r="D71" s="1091"/>
      <c r="E71" s="997"/>
      <c r="F71" s="1135"/>
      <c r="G71" s="1135"/>
      <c r="H71" s="1135"/>
      <c r="I71" s="1135"/>
      <c r="J71" s="1136"/>
      <c r="K71" s="1058"/>
      <c r="L71" s="1058"/>
      <c r="M71" s="1058"/>
      <c r="N71" s="1058"/>
      <c r="O71" s="1092"/>
      <c r="P71" s="1138"/>
      <c r="Q71" s="1138"/>
    </row>
    <row r="72" spans="1:17">
      <c r="A72" s="1091"/>
      <c r="B72" s="1091"/>
      <c r="C72" s="1125"/>
      <c r="D72" s="1091"/>
      <c r="E72" s="997"/>
      <c r="F72" s="1135"/>
      <c r="G72" s="1135"/>
      <c r="H72" s="1135"/>
      <c r="I72" s="1135"/>
      <c r="J72" s="1136"/>
      <c r="K72" s="1058"/>
      <c r="L72" s="1058"/>
      <c r="M72" s="1058"/>
      <c r="N72" s="1058"/>
      <c r="O72" s="1092"/>
      <c r="P72" s="1138"/>
      <c r="Q72" s="1138"/>
    </row>
    <row r="73" spans="1:17">
      <c r="A73" s="1091"/>
      <c r="B73" s="1091"/>
      <c r="C73" s="1125"/>
      <c r="D73" s="1091"/>
      <c r="E73" s="997"/>
      <c r="F73" s="1135"/>
      <c r="G73" s="1135"/>
      <c r="H73" s="1135"/>
      <c r="I73" s="1135"/>
      <c r="J73" s="1136"/>
      <c r="K73" s="1058"/>
      <c r="L73" s="1058"/>
      <c r="M73" s="1058"/>
      <c r="N73" s="1058"/>
      <c r="O73" s="1092"/>
      <c r="P73" s="1138"/>
      <c r="Q73" s="1138"/>
    </row>
    <row r="74" spans="1:17">
      <c r="A74" s="1091"/>
      <c r="B74" s="1091"/>
      <c r="C74" s="1125"/>
      <c r="D74" s="1091"/>
      <c r="E74" s="997"/>
      <c r="F74" s="1135"/>
      <c r="G74" s="1135"/>
      <c r="H74" s="1135"/>
      <c r="I74" s="1135"/>
      <c r="J74" s="1136"/>
      <c r="K74" s="1058"/>
      <c r="L74" s="1058"/>
      <c r="M74" s="1058"/>
      <c r="N74" s="1058"/>
      <c r="O74" s="1092"/>
      <c r="P74" s="1138"/>
      <c r="Q74" s="1138"/>
    </row>
    <row r="75" spans="1:17">
      <c r="A75" s="1091"/>
      <c r="B75" s="1091"/>
      <c r="C75" s="1125"/>
      <c r="D75" s="1091"/>
      <c r="E75" s="997"/>
      <c r="F75" s="1135"/>
      <c r="G75" s="1135"/>
      <c r="H75" s="1135"/>
      <c r="I75" s="1135"/>
      <c r="J75" s="1136"/>
      <c r="K75" s="1058"/>
      <c r="L75" s="1058"/>
      <c r="M75" s="1058"/>
      <c r="N75" s="1058"/>
      <c r="O75" s="1092"/>
      <c r="P75" s="1138"/>
      <c r="Q75" s="1138"/>
    </row>
    <row r="76" spans="1:17">
      <c r="A76" s="1091"/>
      <c r="B76" s="1091"/>
      <c r="C76" s="1125"/>
      <c r="D76" s="1091"/>
      <c r="E76" s="997"/>
      <c r="F76" s="1135"/>
      <c r="G76" s="1135"/>
      <c r="H76" s="1135"/>
      <c r="I76" s="1135"/>
      <c r="J76" s="1136"/>
      <c r="K76" s="1058"/>
      <c r="L76" s="1058"/>
      <c r="M76" s="1058"/>
      <c r="N76" s="1058"/>
      <c r="O76" s="1092"/>
      <c r="P76" s="1138"/>
      <c r="Q76" s="1138"/>
    </row>
    <row r="77" spans="1:17">
      <c r="A77" s="1091"/>
      <c r="B77" s="1091"/>
      <c r="C77" s="1125"/>
      <c r="D77" s="1091"/>
      <c r="E77" s="997"/>
      <c r="F77" s="1135"/>
      <c r="G77" s="1135"/>
      <c r="H77" s="1135"/>
      <c r="I77" s="1135"/>
      <c r="J77" s="1136"/>
      <c r="K77" s="1058"/>
      <c r="L77" s="1058"/>
      <c r="M77" s="1058"/>
      <c r="N77" s="1058"/>
      <c r="O77" s="1092"/>
      <c r="P77" s="1138"/>
      <c r="Q77" s="1138"/>
    </row>
    <row r="78" spans="1:17">
      <c r="A78" s="1091"/>
      <c r="B78" s="1091"/>
      <c r="C78" s="1125"/>
      <c r="D78" s="1091"/>
      <c r="E78" s="997"/>
      <c r="F78" s="1135"/>
      <c r="G78" s="1135"/>
      <c r="H78" s="1135"/>
      <c r="I78" s="1135"/>
      <c r="J78" s="1136"/>
      <c r="K78" s="1058"/>
      <c r="L78" s="1058"/>
      <c r="M78" s="1058"/>
      <c r="N78" s="1058"/>
      <c r="O78" s="1092"/>
      <c r="P78" s="1138"/>
      <c r="Q78" s="1138"/>
    </row>
    <row r="79" spans="1:17">
      <c r="A79" s="1091"/>
      <c r="B79" s="1091"/>
      <c r="C79" s="1125"/>
      <c r="D79" s="1091"/>
      <c r="E79" s="997"/>
      <c r="F79" s="1135"/>
      <c r="G79" s="1135"/>
      <c r="H79" s="1135"/>
      <c r="I79" s="1135"/>
      <c r="J79" s="1136"/>
      <c r="K79" s="1058"/>
      <c r="L79" s="1058"/>
      <c r="M79" s="1058"/>
      <c r="N79" s="1058"/>
      <c r="O79" s="1092"/>
      <c r="P79" s="1138"/>
      <c r="Q79" s="1138"/>
    </row>
    <row r="80" spans="1:17">
      <c r="A80" s="1091"/>
      <c r="B80" s="1091"/>
      <c r="D80" s="1091"/>
      <c r="E80" s="997"/>
      <c r="F80" s="1135"/>
      <c r="G80" s="1135"/>
      <c r="H80" s="1135"/>
      <c r="I80" s="1135"/>
      <c r="J80" s="1136"/>
      <c r="K80" s="1136"/>
      <c r="L80" s="1133"/>
      <c r="M80" s="1133"/>
      <c r="N80" s="1136"/>
      <c r="O80" s="1134"/>
      <c r="P80" s="1138"/>
      <c r="Q80" s="1138"/>
    </row>
    <row r="81" spans="6:17">
      <c r="F81" s="1139"/>
      <c r="G81" s="1139"/>
      <c r="H81" s="1139"/>
      <c r="I81" s="1139"/>
      <c r="J81" s="1139"/>
      <c r="K81" s="1139"/>
      <c r="L81" s="1139"/>
      <c r="M81" s="1139"/>
      <c r="N81" s="1139"/>
      <c r="O81" s="1139"/>
      <c r="P81" s="1139"/>
      <c r="Q81" s="1139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5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  <mergeCell ref="J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40"/>
  <sheetViews>
    <sheetView topLeftCell="A13" workbookViewId="0">
      <selection activeCell="O21" sqref="O21"/>
    </sheetView>
  </sheetViews>
  <sheetFormatPr defaultColWidth="9.140625" defaultRowHeight="12.75"/>
  <cols>
    <col min="1" max="1" width="5.140625" style="735" customWidth="1"/>
    <col min="2" max="2" width="7.7109375" style="735" customWidth="1"/>
    <col min="3" max="3" width="8.7109375" style="766" customWidth="1"/>
    <col min="4" max="4" width="9.7109375" style="766" customWidth="1"/>
    <col min="5" max="5" width="9.140625" style="766" customWidth="1"/>
    <col min="6" max="6" width="8.42578125" style="766" customWidth="1"/>
    <col min="7" max="7" width="10.140625" style="766" customWidth="1"/>
    <col min="8" max="8" width="9" style="735" customWidth="1"/>
    <col min="9" max="9" width="9.7109375" style="735" customWidth="1"/>
    <col min="10" max="10" width="10.42578125" style="735" bestFit="1" customWidth="1"/>
    <col min="11" max="11" width="11.5703125" style="735" bestFit="1" customWidth="1"/>
    <col min="12" max="14" width="9.42578125" style="735" bestFit="1" customWidth="1"/>
    <col min="15" max="16384" width="9.140625" style="735"/>
  </cols>
  <sheetData>
    <row r="1" spans="1:21" ht="21">
      <c r="A1" s="2605" t="s">
        <v>1523</v>
      </c>
      <c r="B1" s="2605"/>
      <c r="C1" s="2605"/>
      <c r="D1" s="2605"/>
      <c r="E1" s="2605"/>
      <c r="F1" s="2605"/>
      <c r="G1" s="2605"/>
      <c r="H1" s="2605"/>
      <c r="I1" s="765" t="s">
        <v>1524</v>
      </c>
    </row>
    <row r="2" spans="1:21">
      <c r="A2" s="8"/>
      <c r="B2" s="8"/>
      <c r="C2" s="25"/>
      <c r="D2" s="25"/>
      <c r="E2" s="25"/>
      <c r="F2" s="25"/>
      <c r="H2" s="2602" t="s">
        <v>2872</v>
      </c>
      <c r="I2" s="2602"/>
      <c r="J2" s="1"/>
    </row>
    <row r="3" spans="1:21" ht="33.75" customHeight="1">
      <c r="A3" s="2610" t="s">
        <v>21</v>
      </c>
      <c r="B3" s="2611"/>
      <c r="C3" s="1054" t="s">
        <v>1513</v>
      </c>
      <c r="D3" s="767" t="s">
        <v>1424</v>
      </c>
      <c r="E3" s="768" t="s">
        <v>1847</v>
      </c>
      <c r="F3" s="768" t="s">
        <v>1848</v>
      </c>
      <c r="G3" s="768" t="s">
        <v>1436</v>
      </c>
      <c r="H3" s="1212" t="s">
        <v>1503</v>
      </c>
      <c r="I3" s="768" t="s">
        <v>1437</v>
      </c>
    </row>
    <row r="4" spans="1:21" ht="12.75" customHeight="1">
      <c r="A4" s="2606" t="s">
        <v>2228</v>
      </c>
      <c r="B4" s="2606"/>
      <c r="C4" s="927">
        <f>SUM(C5:C32)</f>
        <v>195107.05999999997</v>
      </c>
      <c r="D4" s="927">
        <f>SUM(D5:D32)</f>
        <v>1099998.1300000001</v>
      </c>
      <c r="E4" s="927">
        <f t="shared" ref="E4" si="0">SUM(E5:E32)</f>
        <v>58722.724000000017</v>
      </c>
      <c r="F4" s="928">
        <f>SUM(F5:F32)</f>
        <v>198585.297276</v>
      </c>
      <c r="G4" s="927">
        <f>SUM(G5:G32)</f>
        <v>9314.3692062091141</v>
      </c>
      <c r="H4" s="927">
        <f>SUM(H5:H32)</f>
        <v>47633.521278079977</v>
      </c>
      <c r="I4" s="929">
        <f>SUM(I5:I32)</f>
        <v>0</v>
      </c>
      <c r="J4" s="1211"/>
      <c r="K4" s="1211"/>
      <c r="L4" s="1211"/>
      <c r="M4" s="1211"/>
      <c r="N4" s="1211"/>
      <c r="O4" s="769"/>
      <c r="P4" s="769"/>
      <c r="Q4" s="769"/>
      <c r="R4" s="769"/>
      <c r="S4" s="769"/>
    </row>
    <row r="5" spans="1:21" ht="15" customHeight="1">
      <c r="A5" s="2607" t="s">
        <v>1174</v>
      </c>
      <c r="B5" s="770" t="s">
        <v>1425</v>
      </c>
      <c r="C5" s="930">
        <v>195.74</v>
      </c>
      <c r="D5" s="930">
        <v>187.81</v>
      </c>
      <c r="E5" s="930">
        <v>1.921</v>
      </c>
      <c r="F5" s="931">
        <v>1.8773960000000001</v>
      </c>
      <c r="G5" s="932">
        <v>3.2834503010160132</v>
      </c>
      <c r="H5" s="707">
        <v>-0.1470872</v>
      </c>
      <c r="I5" s="707">
        <v>0</v>
      </c>
      <c r="O5" s="769"/>
      <c r="P5" s="769"/>
      <c r="Q5" s="769"/>
      <c r="R5" s="769"/>
      <c r="S5" s="769"/>
      <c r="T5" s="769"/>
      <c r="U5" s="769"/>
    </row>
    <row r="6" spans="1:21" ht="15" customHeight="1">
      <c r="A6" s="2608"/>
      <c r="B6" s="771" t="s">
        <v>1426</v>
      </c>
      <c r="C6" s="933">
        <v>221.26</v>
      </c>
      <c r="D6" s="933">
        <v>1133.72</v>
      </c>
      <c r="E6" s="933">
        <v>35.64</v>
      </c>
      <c r="F6" s="934">
        <v>625.38148100000001</v>
      </c>
      <c r="G6" s="935">
        <v>120.603594805284</v>
      </c>
      <c r="H6" s="708">
        <v>0.33824140999999996</v>
      </c>
      <c r="I6" s="708">
        <v>0</v>
      </c>
      <c r="O6" s="769"/>
      <c r="P6" s="769"/>
      <c r="Q6" s="769"/>
      <c r="R6" s="769"/>
      <c r="S6" s="769"/>
    </row>
    <row r="7" spans="1:21" ht="15" customHeight="1">
      <c r="A7" s="2608"/>
      <c r="B7" s="772" t="s">
        <v>1427</v>
      </c>
      <c r="C7" s="926">
        <v>48239.13</v>
      </c>
      <c r="D7" s="926">
        <v>227772.07</v>
      </c>
      <c r="E7" s="926">
        <v>12413.24</v>
      </c>
      <c r="F7" s="926">
        <v>36767.810983000003</v>
      </c>
      <c r="G7" s="931">
        <v>296.79460772231005</v>
      </c>
      <c r="H7" s="744">
        <v>3592.8292079399998</v>
      </c>
      <c r="I7" s="744">
        <v>0</v>
      </c>
      <c r="K7" s="1211"/>
      <c r="L7" s="1211"/>
      <c r="M7" s="1211"/>
      <c r="N7" s="1211"/>
      <c r="O7" s="1211"/>
      <c r="P7" s="769"/>
      <c r="Q7" s="769"/>
      <c r="R7" s="769"/>
      <c r="S7" s="769"/>
    </row>
    <row r="8" spans="1:21" ht="15" customHeight="1">
      <c r="A8" s="2608"/>
      <c r="B8" s="771" t="s">
        <v>1428</v>
      </c>
      <c r="C8" s="933">
        <v>191.98</v>
      </c>
      <c r="D8" s="933">
        <v>98.8</v>
      </c>
      <c r="E8" s="933">
        <v>104.268</v>
      </c>
      <c r="F8" s="933">
        <v>116.032993</v>
      </c>
      <c r="G8" s="934">
        <v>1103.7285731724089</v>
      </c>
      <c r="H8" s="708">
        <v>-0.55870469</v>
      </c>
      <c r="I8" s="708">
        <v>0</v>
      </c>
      <c r="O8" s="769"/>
      <c r="P8" s="769"/>
      <c r="Q8" s="769"/>
      <c r="R8" s="769"/>
      <c r="S8" s="769"/>
    </row>
    <row r="9" spans="1:21" ht="15" customHeight="1">
      <c r="A9" s="2608"/>
      <c r="B9" s="772" t="s">
        <v>1429</v>
      </c>
      <c r="C9" s="926">
        <v>1099.73</v>
      </c>
      <c r="D9" s="926">
        <v>137.52000000000001</v>
      </c>
      <c r="E9" s="926">
        <v>306.90199999999999</v>
      </c>
      <c r="F9" s="926">
        <v>161.24250499999999</v>
      </c>
      <c r="G9" s="936">
        <v>9.3263114738140001</v>
      </c>
      <c r="H9" s="707">
        <v>26.922386699999997</v>
      </c>
      <c r="I9" s="707">
        <v>0</v>
      </c>
      <c r="O9" s="769"/>
      <c r="P9" s="769"/>
      <c r="Q9" s="769"/>
      <c r="R9" s="769"/>
      <c r="S9" s="769"/>
    </row>
    <row r="10" spans="1:21" ht="15" customHeight="1">
      <c r="A10" s="2608"/>
      <c r="B10" s="771" t="s">
        <v>1430</v>
      </c>
      <c r="C10" s="933">
        <v>1722.79</v>
      </c>
      <c r="D10" s="933">
        <v>17334.27</v>
      </c>
      <c r="E10" s="933">
        <v>114.89700000000001</v>
      </c>
      <c r="F10" s="933">
        <v>578.66020300000002</v>
      </c>
      <c r="G10" s="934">
        <v>12.763382660987999</v>
      </c>
      <c r="H10" s="708">
        <v>545.4865064999999</v>
      </c>
      <c r="I10" s="708">
        <v>0</v>
      </c>
      <c r="O10" s="769"/>
      <c r="P10" s="769"/>
      <c r="Q10" s="769"/>
      <c r="R10" s="769"/>
      <c r="S10" s="769"/>
    </row>
    <row r="11" spans="1:21" ht="15" customHeight="1">
      <c r="A11" s="2609"/>
      <c r="B11" s="772" t="s">
        <v>1431</v>
      </c>
      <c r="C11" s="926">
        <v>1680.62</v>
      </c>
      <c r="D11" s="926">
        <v>2399.38</v>
      </c>
      <c r="E11" s="926">
        <v>861.95899999999995</v>
      </c>
      <c r="F11" s="926">
        <v>1670.4610290000001</v>
      </c>
      <c r="G11" s="936">
        <v>15.690338522771999</v>
      </c>
      <c r="H11" s="707">
        <v>1939.1689851799999</v>
      </c>
      <c r="I11" s="707">
        <v>0</v>
      </c>
      <c r="O11" s="769"/>
      <c r="P11" s="769"/>
      <c r="Q11" s="769"/>
      <c r="R11" s="769"/>
      <c r="S11" s="769"/>
    </row>
    <row r="12" spans="1:21" ht="15" customHeight="1">
      <c r="A12" s="2603" t="s">
        <v>1289</v>
      </c>
      <c r="B12" s="773" t="s">
        <v>1425</v>
      </c>
      <c r="C12" s="933">
        <v>182.7</v>
      </c>
      <c r="D12" s="933">
        <v>135.38999999999999</v>
      </c>
      <c r="E12" s="933">
        <v>3.4430000000000001</v>
      </c>
      <c r="F12" s="933">
        <v>0.888575</v>
      </c>
      <c r="G12" s="934">
        <v>3.0089360186667315</v>
      </c>
      <c r="H12" s="708">
        <v>-0.26681533000000002</v>
      </c>
      <c r="I12" s="708">
        <v>0</v>
      </c>
      <c r="O12" s="769"/>
      <c r="P12" s="769"/>
      <c r="Q12" s="769"/>
      <c r="R12" s="769"/>
      <c r="S12" s="769"/>
    </row>
    <row r="13" spans="1:21" s="738" customFormat="1" ht="15" customHeight="1">
      <c r="A13" s="2603" t="s">
        <v>1289</v>
      </c>
      <c r="B13" s="774" t="s">
        <v>1426</v>
      </c>
      <c r="C13" s="937">
        <v>263.55</v>
      </c>
      <c r="D13" s="937">
        <v>2071.9299999999998</v>
      </c>
      <c r="E13" s="937">
        <v>51.057000000000002</v>
      </c>
      <c r="F13" s="937">
        <v>793.92974200000003</v>
      </c>
      <c r="G13" s="938">
        <v>206.3741376385515</v>
      </c>
      <c r="H13" s="731">
        <v>-5.33687018</v>
      </c>
      <c r="I13" s="731">
        <v>0</v>
      </c>
      <c r="O13" s="775"/>
      <c r="P13" s="775"/>
      <c r="Q13" s="775"/>
      <c r="R13" s="775"/>
      <c r="S13" s="775"/>
    </row>
    <row r="14" spans="1:21" ht="15" customHeight="1">
      <c r="A14" s="2603" t="s">
        <v>1289</v>
      </c>
      <c r="B14" s="773" t="s">
        <v>1427</v>
      </c>
      <c r="C14" s="933">
        <v>44135.44</v>
      </c>
      <c r="D14" s="933">
        <v>256254.87</v>
      </c>
      <c r="E14" s="933">
        <v>11844.294</v>
      </c>
      <c r="F14" s="933">
        <v>45311.506751000001</v>
      </c>
      <c r="G14" s="934">
        <v>452.62104524520021</v>
      </c>
      <c r="H14" s="708">
        <v>9833.5040142599937</v>
      </c>
      <c r="I14" s="708">
        <v>0</v>
      </c>
      <c r="O14" s="769"/>
      <c r="P14" s="769"/>
      <c r="Q14" s="769"/>
      <c r="R14" s="769"/>
      <c r="S14" s="769"/>
    </row>
    <row r="15" spans="1:21" s="738" customFormat="1" ht="15" customHeight="1">
      <c r="A15" s="2603" t="s">
        <v>1289</v>
      </c>
      <c r="B15" s="774" t="s">
        <v>1428</v>
      </c>
      <c r="C15" s="937">
        <v>144.87</v>
      </c>
      <c r="D15" s="937">
        <v>122.79</v>
      </c>
      <c r="E15" s="937">
        <v>63.959000000000003</v>
      </c>
      <c r="F15" s="937">
        <v>162.39434399999999</v>
      </c>
      <c r="G15" s="938">
        <v>624.30958895367212</v>
      </c>
      <c r="H15" s="731">
        <v>-2.757944E-2</v>
      </c>
      <c r="I15" s="731">
        <v>0</v>
      </c>
      <c r="O15" s="775"/>
      <c r="P15" s="775"/>
      <c r="Q15" s="775"/>
      <c r="R15" s="775"/>
      <c r="S15" s="775"/>
    </row>
    <row r="16" spans="1:21" ht="15" customHeight="1">
      <c r="A16" s="2603" t="s">
        <v>1289</v>
      </c>
      <c r="B16" s="773" t="s">
        <v>1429</v>
      </c>
      <c r="C16" s="933">
        <v>870.47</v>
      </c>
      <c r="D16" s="933">
        <v>41.3</v>
      </c>
      <c r="E16" s="933">
        <v>224.10400000000001</v>
      </c>
      <c r="F16" s="933">
        <v>283.70236899999998</v>
      </c>
      <c r="G16" s="934">
        <v>9.0809818657716797</v>
      </c>
      <c r="H16" s="708">
        <v>20.969362070000003</v>
      </c>
      <c r="I16" s="708">
        <v>0</v>
      </c>
      <c r="O16" s="769"/>
      <c r="P16" s="769"/>
      <c r="Q16" s="769"/>
      <c r="R16" s="769"/>
      <c r="S16" s="769"/>
    </row>
    <row r="17" spans="1:19" s="738" customFormat="1" ht="15" customHeight="1">
      <c r="A17" s="2603" t="s">
        <v>1289</v>
      </c>
      <c r="B17" s="774" t="s">
        <v>1430</v>
      </c>
      <c r="C17" s="937">
        <v>1884.94</v>
      </c>
      <c r="D17" s="937">
        <v>22049.119999999999</v>
      </c>
      <c r="E17" s="937">
        <v>93.623000000000005</v>
      </c>
      <c r="F17" s="937">
        <v>712.99123299999997</v>
      </c>
      <c r="G17" s="938">
        <v>11.503209698356519</v>
      </c>
      <c r="H17" s="731">
        <v>700.15458732999991</v>
      </c>
      <c r="I17" s="731">
        <v>0</v>
      </c>
      <c r="O17" s="775"/>
      <c r="P17" s="775"/>
      <c r="Q17" s="775"/>
      <c r="R17" s="775"/>
      <c r="S17" s="775"/>
    </row>
    <row r="18" spans="1:19" ht="15" customHeight="1">
      <c r="A18" s="2603" t="s">
        <v>1289</v>
      </c>
      <c r="B18" s="773" t="s">
        <v>1431</v>
      </c>
      <c r="C18" s="933">
        <v>1597.47</v>
      </c>
      <c r="D18" s="933">
        <v>2487.12</v>
      </c>
      <c r="E18" s="933">
        <v>962.47299999999996</v>
      </c>
      <c r="F18" s="933">
        <v>1484.334087</v>
      </c>
      <c r="G18" s="934">
        <v>16.217757254499929</v>
      </c>
      <c r="H18" s="708">
        <v>1441.8359009299998</v>
      </c>
      <c r="I18" s="708">
        <v>0</v>
      </c>
      <c r="O18" s="769"/>
      <c r="P18" s="769"/>
      <c r="Q18" s="769"/>
      <c r="R18" s="769"/>
      <c r="S18" s="769"/>
    </row>
    <row r="19" spans="1:19" s="738" customFormat="1" ht="15" customHeight="1">
      <c r="A19" s="2603" t="s">
        <v>1172</v>
      </c>
      <c r="B19" s="774" t="s">
        <v>1425</v>
      </c>
      <c r="C19" s="937">
        <v>454.96</v>
      </c>
      <c r="D19" s="937">
        <v>488.06</v>
      </c>
      <c r="E19" s="937">
        <v>0.875</v>
      </c>
      <c r="F19" s="937">
        <v>1.107102</v>
      </c>
      <c r="G19" s="938">
        <v>9.9646073999999896</v>
      </c>
      <c r="H19" s="731">
        <v>-0.25063935000000004</v>
      </c>
      <c r="I19" s="731">
        <v>0</v>
      </c>
      <c r="O19" s="775"/>
      <c r="P19" s="775"/>
      <c r="Q19" s="775"/>
      <c r="R19" s="775"/>
      <c r="S19" s="775"/>
    </row>
    <row r="20" spans="1:19" ht="15" customHeight="1">
      <c r="A20" s="2603" t="s">
        <v>1172</v>
      </c>
      <c r="B20" s="773" t="s">
        <v>1426</v>
      </c>
      <c r="C20" s="933">
        <v>230.41</v>
      </c>
      <c r="D20" s="933">
        <v>2247.64</v>
      </c>
      <c r="E20" s="933">
        <v>35.140999999999998</v>
      </c>
      <c r="F20" s="933">
        <v>847.99374</v>
      </c>
      <c r="G20" s="934">
        <v>63.908378600000006</v>
      </c>
      <c r="H20" s="708">
        <v>5.0690255199999994</v>
      </c>
      <c r="I20" s="708">
        <v>0</v>
      </c>
      <c r="O20" s="769"/>
      <c r="P20" s="769"/>
      <c r="Q20" s="769"/>
      <c r="R20" s="769"/>
      <c r="S20" s="769"/>
    </row>
    <row r="21" spans="1:19" s="738" customFormat="1" ht="15" customHeight="1">
      <c r="A21" s="2603" t="s">
        <v>1172</v>
      </c>
      <c r="B21" s="774" t="s">
        <v>1427</v>
      </c>
      <c r="C21" s="937">
        <v>41293.33</v>
      </c>
      <c r="D21" s="937">
        <v>256924.6</v>
      </c>
      <c r="E21" s="937">
        <v>13418.538</v>
      </c>
      <c r="F21" s="937">
        <v>45165.483838</v>
      </c>
      <c r="G21" s="938">
        <v>811.32665625000004</v>
      </c>
      <c r="H21" s="731">
        <v>6557.1094812599977</v>
      </c>
      <c r="I21" s="731">
        <v>0</v>
      </c>
      <c r="O21" s="775"/>
      <c r="P21" s="775"/>
      <c r="Q21" s="775"/>
      <c r="R21" s="775"/>
      <c r="S21" s="775"/>
    </row>
    <row r="22" spans="1:19" ht="15" customHeight="1">
      <c r="A22" s="2603" t="s">
        <v>1172</v>
      </c>
      <c r="B22" s="773" t="s">
        <v>1428</v>
      </c>
      <c r="C22" s="933">
        <v>194.3</v>
      </c>
      <c r="D22" s="933">
        <v>100.45</v>
      </c>
      <c r="E22" s="933">
        <v>47.930999999999997</v>
      </c>
      <c r="F22" s="933">
        <v>107.194981</v>
      </c>
      <c r="G22" s="934">
        <v>992.58517473500012</v>
      </c>
      <c r="H22" s="708">
        <v>-5.8511300000000004E-3</v>
      </c>
      <c r="I22" s="708">
        <v>0</v>
      </c>
      <c r="O22" s="769"/>
      <c r="P22" s="769"/>
      <c r="Q22" s="769"/>
      <c r="R22" s="769"/>
      <c r="S22" s="769"/>
    </row>
    <row r="23" spans="1:19" s="738" customFormat="1" ht="15" customHeight="1">
      <c r="A23" s="2603" t="s">
        <v>1172</v>
      </c>
      <c r="B23" s="774" t="s">
        <v>1429</v>
      </c>
      <c r="C23" s="937">
        <v>1884.28</v>
      </c>
      <c r="D23" s="937">
        <v>53.25</v>
      </c>
      <c r="E23" s="937">
        <v>270.60300000000001</v>
      </c>
      <c r="F23" s="937">
        <v>377.214878</v>
      </c>
      <c r="G23" s="938">
        <v>11.5198578</v>
      </c>
      <c r="H23" s="731">
        <v>232.81891714999998</v>
      </c>
      <c r="I23" s="731">
        <v>0</v>
      </c>
      <c r="O23" s="775"/>
      <c r="P23" s="775"/>
      <c r="Q23" s="775"/>
      <c r="R23" s="775"/>
      <c r="S23" s="775"/>
    </row>
    <row r="24" spans="1:19" ht="15" customHeight="1">
      <c r="A24" s="2603" t="s">
        <v>1172</v>
      </c>
      <c r="B24" s="773" t="s">
        <v>1430</v>
      </c>
      <c r="C24" s="933">
        <v>1710.74</v>
      </c>
      <c r="D24" s="933">
        <v>20404.75</v>
      </c>
      <c r="E24" s="933">
        <v>72.263999999999996</v>
      </c>
      <c r="F24" s="933">
        <v>709.525803</v>
      </c>
      <c r="G24" s="934">
        <v>13.741734600000001</v>
      </c>
      <c r="H24" s="708">
        <v>1176.3971187799998</v>
      </c>
      <c r="I24" s="708">
        <v>0</v>
      </c>
      <c r="O24" s="769"/>
      <c r="P24" s="769"/>
      <c r="Q24" s="769"/>
      <c r="R24" s="769"/>
      <c r="S24" s="769"/>
    </row>
    <row r="25" spans="1:19" s="738" customFormat="1" ht="15" customHeight="1">
      <c r="A25" s="2603" t="s">
        <v>1172</v>
      </c>
      <c r="B25" s="774" t="s">
        <v>1431</v>
      </c>
      <c r="C25" s="937">
        <v>1952.08</v>
      </c>
      <c r="D25" s="937">
        <v>2441.1</v>
      </c>
      <c r="E25" s="937">
        <v>1075.83</v>
      </c>
      <c r="F25" s="937">
        <v>1477.1377950000001</v>
      </c>
      <c r="G25" s="938">
        <v>9.6527409000000013</v>
      </c>
      <c r="H25" s="731">
        <v>2468.6223182199997</v>
      </c>
      <c r="I25" s="731">
        <v>0</v>
      </c>
      <c r="O25" s="775"/>
      <c r="P25" s="775"/>
      <c r="Q25" s="775"/>
      <c r="R25" s="775"/>
      <c r="S25" s="775"/>
    </row>
    <row r="26" spans="1:19" ht="15" customHeight="1">
      <c r="A26" s="2603" t="s">
        <v>1173</v>
      </c>
      <c r="B26" s="773" t="s">
        <v>1425</v>
      </c>
      <c r="C26" s="933">
        <v>295.32</v>
      </c>
      <c r="D26" s="933">
        <v>468.25</v>
      </c>
      <c r="E26" s="933">
        <v>1.125</v>
      </c>
      <c r="F26" s="933">
        <v>0.95089500000000005</v>
      </c>
      <c r="G26" s="934">
        <v>90.840359585405153</v>
      </c>
      <c r="H26" s="708">
        <v>-0.21564526000000001</v>
      </c>
      <c r="I26" s="708">
        <v>0</v>
      </c>
      <c r="O26" s="769"/>
      <c r="P26" s="769"/>
      <c r="Q26" s="769"/>
      <c r="R26" s="769"/>
      <c r="S26" s="769"/>
    </row>
    <row r="27" spans="1:19" s="738" customFormat="1" ht="15" customHeight="1">
      <c r="A27" s="2603" t="s">
        <v>1432</v>
      </c>
      <c r="B27" s="774" t="s">
        <v>1426</v>
      </c>
      <c r="C27" s="937">
        <v>325.02999999999997</v>
      </c>
      <c r="D27" s="937">
        <v>1794.34</v>
      </c>
      <c r="E27" s="937">
        <v>37.408000000000001</v>
      </c>
      <c r="F27" s="937">
        <v>805.64046599999995</v>
      </c>
      <c r="G27" s="938">
        <v>98.756466401276342</v>
      </c>
      <c r="H27" s="731">
        <v>0.94376126999999999</v>
      </c>
      <c r="I27" s="731">
        <v>0</v>
      </c>
      <c r="O27" s="775"/>
      <c r="P27" s="775"/>
      <c r="Q27" s="775"/>
      <c r="R27" s="775"/>
      <c r="S27" s="775"/>
    </row>
    <row r="28" spans="1:19" ht="15" customHeight="1">
      <c r="A28" s="2603" t="s">
        <v>1432</v>
      </c>
      <c r="B28" s="773" t="s">
        <v>1427</v>
      </c>
      <c r="C28" s="933">
        <v>40615.64</v>
      </c>
      <c r="D28" s="933">
        <v>257090.59</v>
      </c>
      <c r="E28" s="933">
        <v>14477.641</v>
      </c>
      <c r="F28" s="933">
        <v>56278.037550000001</v>
      </c>
      <c r="G28" s="934">
        <v>565.31811894587315</v>
      </c>
      <c r="H28" s="708">
        <v>15674.468478819985</v>
      </c>
      <c r="I28" s="708">
        <v>0</v>
      </c>
      <c r="O28" s="769"/>
      <c r="P28" s="769"/>
      <c r="Q28" s="769"/>
      <c r="R28" s="769"/>
      <c r="S28" s="769"/>
    </row>
    <row r="29" spans="1:19" s="738" customFormat="1" ht="15" customHeight="1">
      <c r="A29" s="2603" t="s">
        <v>1432</v>
      </c>
      <c r="B29" s="774" t="s">
        <v>1428</v>
      </c>
      <c r="C29" s="937">
        <v>148.32</v>
      </c>
      <c r="D29" s="937">
        <v>118.56</v>
      </c>
      <c r="E29" s="937">
        <v>52.265999999999998</v>
      </c>
      <c r="F29" s="937">
        <v>218.771164</v>
      </c>
      <c r="G29" s="938">
        <v>3700.9767688079064</v>
      </c>
      <c r="H29" s="731">
        <v>0.15012303000000002</v>
      </c>
      <c r="I29" s="731">
        <v>0</v>
      </c>
      <c r="O29" s="775"/>
      <c r="P29" s="775"/>
      <c r="Q29" s="775"/>
      <c r="R29" s="775"/>
      <c r="S29" s="775"/>
    </row>
    <row r="30" spans="1:19" ht="15" customHeight="1">
      <c r="A30" s="2603" t="s">
        <v>1432</v>
      </c>
      <c r="B30" s="773" t="s">
        <v>1429</v>
      </c>
      <c r="C30" s="933">
        <v>778.52</v>
      </c>
      <c r="D30" s="933">
        <v>321.24</v>
      </c>
      <c r="E30" s="933">
        <v>363.07</v>
      </c>
      <c r="F30" s="933">
        <v>528.38816899999995</v>
      </c>
      <c r="G30" s="934">
        <v>28.295556457075733</v>
      </c>
      <c r="H30" s="708">
        <v>13.330429179999999</v>
      </c>
      <c r="I30" s="708">
        <v>0</v>
      </c>
      <c r="O30" s="769"/>
      <c r="P30" s="769"/>
      <c r="Q30" s="769"/>
      <c r="R30" s="769"/>
      <c r="S30" s="769"/>
    </row>
    <row r="31" spans="1:19" s="738" customFormat="1" ht="15" customHeight="1">
      <c r="A31" s="2603" t="s">
        <v>1432</v>
      </c>
      <c r="B31" s="774" t="s">
        <v>1430</v>
      </c>
      <c r="C31" s="937">
        <v>1563.81</v>
      </c>
      <c r="D31" s="937">
        <v>22624.09</v>
      </c>
      <c r="E31" s="937">
        <v>114.08499999999999</v>
      </c>
      <c r="F31" s="937">
        <v>1196.1012969999999</v>
      </c>
      <c r="G31" s="938">
        <v>15.538512816853583</v>
      </c>
      <c r="H31" s="731">
        <v>151.52009222999988</v>
      </c>
      <c r="I31" s="731">
        <v>0</v>
      </c>
      <c r="L31" s="945"/>
      <c r="N31" s="946"/>
      <c r="O31" s="775"/>
      <c r="P31" s="775"/>
      <c r="Q31" s="775"/>
      <c r="R31" s="775"/>
      <c r="S31" s="775"/>
    </row>
    <row r="32" spans="1:19" ht="15" customHeight="1">
      <c r="A32" s="2604" t="s">
        <v>1432</v>
      </c>
      <c r="B32" s="776" t="s">
        <v>1431</v>
      </c>
      <c r="C32" s="939">
        <v>1229.6300000000001</v>
      </c>
      <c r="D32" s="939">
        <v>2695.12</v>
      </c>
      <c r="E32" s="940">
        <v>1674.1669999999999</v>
      </c>
      <c r="F32" s="940">
        <v>2200.535907</v>
      </c>
      <c r="G32" s="941">
        <v>16.638357576411408</v>
      </c>
      <c r="H32" s="708">
        <v>3258.6915328799987</v>
      </c>
      <c r="I32" s="708">
        <v>0</v>
      </c>
      <c r="O32" s="769"/>
      <c r="P32" s="769"/>
      <c r="Q32" s="769"/>
      <c r="R32" s="769"/>
      <c r="S32" s="769"/>
    </row>
    <row r="33" spans="1:10">
      <c r="A33" s="8"/>
      <c r="B33" s="8"/>
      <c r="C33" s="694"/>
      <c r="D33" s="694"/>
      <c r="E33" s="694"/>
      <c r="F33" s="694"/>
      <c r="G33" s="694"/>
      <c r="H33" s="1"/>
      <c r="I33" s="4"/>
    </row>
    <row r="34" spans="1:10">
      <c r="A34" s="1" t="s">
        <v>1117</v>
      </c>
      <c r="B34" s="8" t="s">
        <v>1433</v>
      </c>
      <c r="C34" s="694"/>
      <c r="D34" s="694"/>
      <c r="G34" s="25" t="s">
        <v>1434</v>
      </c>
      <c r="H34" s="1"/>
      <c r="I34" s="4"/>
    </row>
    <row r="35" spans="1:10" ht="12.75" customHeight="1">
      <c r="A35" s="2601" t="s">
        <v>1850</v>
      </c>
      <c r="B35" s="2601"/>
      <c r="C35" s="2601"/>
      <c r="D35" s="2601"/>
      <c r="E35" s="2601"/>
      <c r="F35" s="2601"/>
      <c r="G35" s="2601"/>
      <c r="H35" s="2601"/>
      <c r="I35" s="2601"/>
      <c r="J35" s="1707"/>
    </row>
    <row r="36" spans="1:10" ht="12.75" customHeight="1">
      <c r="A36" s="2601"/>
      <c r="B36" s="2601"/>
      <c r="C36" s="2601"/>
      <c r="D36" s="2601"/>
      <c r="E36" s="2601"/>
      <c r="F36" s="2601"/>
      <c r="G36" s="2601"/>
      <c r="H36" s="2601"/>
      <c r="I36" s="2601"/>
      <c r="J36" s="1707"/>
    </row>
    <row r="37" spans="1:10">
      <c r="A37" s="1"/>
      <c r="B37" s="8" t="s">
        <v>1849</v>
      </c>
      <c r="C37" s="694"/>
      <c r="D37" s="694"/>
      <c r="G37" s="25"/>
      <c r="H37" s="1"/>
      <c r="I37" s="4"/>
    </row>
    <row r="38" spans="1:10" ht="13.5" customHeight="1">
      <c r="A38" s="777" t="s">
        <v>261</v>
      </c>
      <c r="B38" s="1052" t="s">
        <v>1435</v>
      </c>
      <c r="C38" s="1053"/>
      <c r="D38" s="1053"/>
      <c r="E38" s="1053"/>
      <c r="F38" s="1053"/>
      <c r="G38" s="1053"/>
      <c r="H38" s="783"/>
      <c r="I38" s="4"/>
    </row>
    <row r="39" spans="1:10">
      <c r="A39" s="8"/>
      <c r="B39" s="255" t="s">
        <v>1801</v>
      </c>
      <c r="C39" s="25"/>
      <c r="D39" s="25"/>
      <c r="E39" s="25"/>
      <c r="F39" s="25"/>
      <c r="G39" s="25"/>
      <c r="H39" s="784"/>
      <c r="I39" s="785"/>
    </row>
    <row r="40" spans="1:10">
      <c r="B40" s="1055" t="s">
        <v>1800</v>
      </c>
      <c r="C40" s="25"/>
      <c r="G40" s="694" t="s">
        <v>2260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A35:I36"/>
    <mergeCell ref="H2:I2"/>
    <mergeCell ref="A19:A25"/>
    <mergeCell ref="A26:A32"/>
    <mergeCell ref="A1:H1"/>
    <mergeCell ref="A4:B4"/>
    <mergeCell ref="A5:A11"/>
    <mergeCell ref="A12:A1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topLeftCell="A31" zoomScale="140" zoomScaleNormal="140" workbookViewId="0">
      <selection activeCell="G2" sqref="G2:I2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614" t="s">
        <v>1522</v>
      </c>
      <c r="B1" s="2614"/>
      <c r="C1" s="2614"/>
      <c r="D1" s="2614"/>
      <c r="E1" s="2614"/>
      <c r="F1" s="2614"/>
      <c r="G1" s="2614"/>
      <c r="H1" s="704"/>
      <c r="I1" s="862" t="s">
        <v>1521</v>
      </c>
    </row>
    <row r="2" spans="1:21" ht="12.75" customHeight="1">
      <c r="A2" s="695"/>
      <c r="B2" s="695"/>
      <c r="C2" s="696"/>
      <c r="D2" s="696"/>
      <c r="E2" s="696"/>
      <c r="F2" s="696"/>
      <c r="G2" s="2615" t="s">
        <v>1545</v>
      </c>
      <c r="H2" s="2615"/>
      <c r="I2" s="2615"/>
    </row>
    <row r="3" spans="1:21" ht="32.25" customHeight="1">
      <c r="A3" s="2617" t="s">
        <v>481</v>
      </c>
      <c r="B3" s="2618"/>
      <c r="C3" s="698" t="s">
        <v>1438</v>
      </c>
      <c r="D3" s="698" t="s">
        <v>1439</v>
      </c>
      <c r="E3" s="698" t="s">
        <v>1440</v>
      </c>
      <c r="F3" s="698" t="s">
        <v>1844</v>
      </c>
      <c r="G3" s="705" t="s">
        <v>1441</v>
      </c>
      <c r="H3" s="705" t="s">
        <v>1442</v>
      </c>
      <c r="I3" s="705" t="s">
        <v>1443</v>
      </c>
    </row>
    <row r="4" spans="1:21" ht="12.75" customHeight="1">
      <c r="A4" s="947" t="s">
        <v>1836</v>
      </c>
      <c r="B4" s="947"/>
      <c r="C4" s="697"/>
      <c r="D4" s="697"/>
      <c r="E4" s="697"/>
      <c r="F4" s="697"/>
      <c r="G4" s="2616"/>
      <c r="H4" s="2616"/>
      <c r="I4" s="697"/>
    </row>
    <row r="5" spans="1:21" ht="10.35" customHeight="1">
      <c r="A5" s="2613" t="s">
        <v>1174</v>
      </c>
      <c r="B5" s="699" t="s">
        <v>1444</v>
      </c>
      <c r="C5" s="702" t="s">
        <v>292</v>
      </c>
      <c r="D5" s="702" t="s">
        <v>292</v>
      </c>
      <c r="E5" s="702" t="s">
        <v>292</v>
      </c>
      <c r="F5" s="702" t="s">
        <v>292</v>
      </c>
      <c r="G5" s="706" t="s">
        <v>292</v>
      </c>
      <c r="H5" s="706" t="s">
        <v>292</v>
      </c>
      <c r="I5" s="706" t="s">
        <v>292</v>
      </c>
      <c r="L5" s="591"/>
      <c r="N5" s="591"/>
      <c r="O5" s="591"/>
      <c r="P5" s="591"/>
      <c r="Q5" s="591"/>
      <c r="R5" s="591"/>
      <c r="S5" s="591"/>
      <c r="T5" s="591"/>
      <c r="U5" s="591"/>
    </row>
    <row r="6" spans="1:21" ht="10.35" customHeight="1">
      <c r="A6" s="2613"/>
      <c r="B6" s="700" t="s">
        <v>1445</v>
      </c>
      <c r="C6" s="701">
        <v>11022</v>
      </c>
      <c r="D6" s="701">
        <v>16351.3</v>
      </c>
      <c r="E6" s="701">
        <v>129174.92948538013</v>
      </c>
      <c r="F6" s="701">
        <v>671.5</v>
      </c>
      <c r="G6" s="710">
        <v>46199.8</v>
      </c>
      <c r="H6" s="701">
        <v>5.52</v>
      </c>
      <c r="I6" s="701">
        <v>85.004221000000001</v>
      </c>
      <c r="L6" s="591"/>
      <c r="N6" s="591"/>
      <c r="O6" s="591"/>
      <c r="P6" s="591"/>
      <c r="Q6" s="591"/>
      <c r="R6" s="591"/>
      <c r="S6" s="591"/>
      <c r="T6" s="591"/>
      <c r="U6" s="591"/>
    </row>
    <row r="7" spans="1:21" ht="10.35" customHeight="1">
      <c r="A7" s="2613"/>
      <c r="B7" s="699" t="s">
        <v>1426</v>
      </c>
      <c r="C7" s="702">
        <v>269.54196286652802</v>
      </c>
      <c r="D7" s="702">
        <v>319.318330239131</v>
      </c>
      <c r="E7" s="702">
        <v>2129.8143048055899</v>
      </c>
      <c r="F7" s="702">
        <v>0.02</v>
      </c>
      <c r="G7" s="702">
        <v>1296.7866705890301</v>
      </c>
      <c r="H7" s="702">
        <v>4.9707565320558302</v>
      </c>
      <c r="I7" s="702">
        <v>74.117643034055703</v>
      </c>
      <c r="L7" s="591"/>
      <c r="N7" s="591"/>
      <c r="O7" s="591"/>
      <c r="P7" s="591"/>
      <c r="Q7" s="591"/>
      <c r="R7" s="591"/>
      <c r="S7" s="591"/>
      <c r="T7" s="591"/>
      <c r="U7" s="591"/>
    </row>
    <row r="8" spans="1:21" ht="10.35" customHeight="1">
      <c r="A8" s="2613"/>
      <c r="B8" s="700" t="s">
        <v>1427</v>
      </c>
      <c r="C8" s="701">
        <v>102719.68796516581</v>
      </c>
      <c r="D8" s="701">
        <v>147455.649471262</v>
      </c>
      <c r="E8" s="701">
        <v>1475564.2211780699</v>
      </c>
      <c r="F8" s="701">
        <v>8697.2643559999997</v>
      </c>
      <c r="G8" s="701">
        <v>635362.77</v>
      </c>
      <c r="H8" s="701">
        <v>5.0752688170000004</v>
      </c>
      <c r="I8" s="701">
        <v>74.090156451612899</v>
      </c>
      <c r="L8" s="591"/>
      <c r="N8" s="591"/>
      <c r="O8" s="591"/>
      <c r="P8" s="591"/>
      <c r="Q8" s="591"/>
      <c r="R8" s="591"/>
      <c r="S8" s="591"/>
      <c r="T8" s="591"/>
      <c r="U8" s="591"/>
    </row>
    <row r="9" spans="1:21" ht="10.35" customHeight="1">
      <c r="A9" s="2613"/>
      <c r="B9" s="699" t="s">
        <v>1428</v>
      </c>
      <c r="C9" s="702">
        <v>63.01</v>
      </c>
      <c r="D9" s="702">
        <v>616.85</v>
      </c>
      <c r="E9" s="702">
        <v>205.05</v>
      </c>
      <c r="F9" s="702" t="s">
        <v>292</v>
      </c>
      <c r="G9" s="702">
        <v>1016.75</v>
      </c>
      <c r="H9" s="702">
        <v>0.23</v>
      </c>
      <c r="I9" s="702">
        <v>15.41</v>
      </c>
      <c r="L9" s="591"/>
      <c r="N9" s="591"/>
      <c r="O9" s="591"/>
      <c r="P9" s="591"/>
      <c r="Q9" s="591"/>
      <c r="R9" s="591"/>
      <c r="S9" s="591"/>
      <c r="T9" s="591"/>
      <c r="U9" s="591"/>
    </row>
    <row r="10" spans="1:21" ht="10.35" customHeight="1">
      <c r="A10" s="2613"/>
      <c r="B10" s="700" t="s">
        <v>1429</v>
      </c>
      <c r="C10" s="701">
        <v>548.53939400000002</v>
      </c>
      <c r="D10" s="701">
        <v>4034.4954950000001</v>
      </c>
      <c r="E10" s="701">
        <v>6832.7091540000001</v>
      </c>
      <c r="F10" s="701" t="s">
        <v>292</v>
      </c>
      <c r="G10" s="701">
        <v>9768.5806730000004</v>
      </c>
      <c r="H10" s="701" t="s">
        <v>292</v>
      </c>
      <c r="I10" s="701">
        <v>117.59</v>
      </c>
      <c r="L10" s="591"/>
      <c r="N10" s="591"/>
      <c r="O10" s="591"/>
      <c r="P10" s="591"/>
      <c r="Q10" s="591"/>
      <c r="R10" s="591"/>
      <c r="S10" s="591"/>
      <c r="T10" s="591"/>
      <c r="U10" s="591"/>
    </row>
    <row r="11" spans="1:21" ht="10.35" customHeight="1">
      <c r="A11" s="2613"/>
      <c r="B11" s="699" t="s">
        <v>1430</v>
      </c>
      <c r="C11" s="702" t="s">
        <v>292</v>
      </c>
      <c r="D11" s="702" t="s">
        <v>292</v>
      </c>
      <c r="E11" s="702" t="s">
        <v>292</v>
      </c>
      <c r="F11" s="702" t="s">
        <v>292</v>
      </c>
      <c r="G11" s="702" t="s">
        <v>292</v>
      </c>
      <c r="H11" s="702" t="s">
        <v>292</v>
      </c>
      <c r="I11" s="702" t="s">
        <v>292</v>
      </c>
      <c r="L11" s="591"/>
      <c r="N11" s="591"/>
      <c r="O11" s="591"/>
      <c r="P11" s="591"/>
      <c r="Q11" s="591"/>
      <c r="R11" s="591"/>
      <c r="S11" s="591"/>
      <c r="T11" s="591"/>
      <c r="U11" s="591"/>
    </row>
    <row r="12" spans="1:21" ht="10.35" customHeight="1">
      <c r="A12" s="2613"/>
      <c r="B12" s="918" t="s">
        <v>1431</v>
      </c>
      <c r="C12" s="919" t="s">
        <v>292</v>
      </c>
      <c r="D12" s="919" t="s">
        <v>292</v>
      </c>
      <c r="E12" s="919" t="s">
        <v>292</v>
      </c>
      <c r="F12" s="919" t="s">
        <v>292</v>
      </c>
      <c r="G12" s="919" t="s">
        <v>292</v>
      </c>
      <c r="H12" s="919" t="s">
        <v>292</v>
      </c>
      <c r="I12" s="919" t="s">
        <v>292</v>
      </c>
      <c r="L12" s="591"/>
      <c r="N12" s="591"/>
      <c r="O12" s="591"/>
      <c r="P12" s="591"/>
      <c r="Q12" s="591"/>
      <c r="R12" s="591"/>
      <c r="S12" s="591"/>
      <c r="T12" s="591"/>
      <c r="U12" s="591"/>
    </row>
    <row r="13" spans="1:21" ht="10.35" customHeight="1">
      <c r="A13" s="2612" t="s">
        <v>1289</v>
      </c>
      <c r="B13" s="699" t="s">
        <v>1444</v>
      </c>
      <c r="C13" s="702" t="s">
        <v>292</v>
      </c>
      <c r="D13" s="702" t="s">
        <v>292</v>
      </c>
      <c r="E13" s="702" t="s">
        <v>292</v>
      </c>
      <c r="F13" s="702" t="s">
        <v>292</v>
      </c>
      <c r="G13" s="702" t="s">
        <v>292</v>
      </c>
      <c r="H13" s="702" t="s">
        <v>292</v>
      </c>
      <c r="I13" s="702" t="s">
        <v>292</v>
      </c>
      <c r="L13" s="591"/>
      <c r="N13" s="591"/>
      <c r="O13" s="591"/>
      <c r="P13" s="591"/>
      <c r="Q13" s="591"/>
      <c r="R13" s="591"/>
      <c r="S13" s="591"/>
      <c r="T13" s="591"/>
      <c r="U13" s="591"/>
    </row>
    <row r="14" spans="1:21" ht="10.35" customHeight="1">
      <c r="A14" s="2613"/>
      <c r="B14" s="700" t="s">
        <v>1445</v>
      </c>
      <c r="C14" s="701">
        <v>13676.6</v>
      </c>
      <c r="D14" s="701">
        <v>20690</v>
      </c>
      <c r="E14" s="701">
        <v>134467.74379336645</v>
      </c>
      <c r="F14" s="701">
        <v>1092.17</v>
      </c>
      <c r="G14" s="710">
        <v>46153.9</v>
      </c>
      <c r="H14" s="701">
        <v>5.49</v>
      </c>
      <c r="I14" s="701">
        <v>85.729936708860706</v>
      </c>
      <c r="L14" s="591"/>
      <c r="N14" s="591"/>
      <c r="O14" s="591"/>
      <c r="P14" s="591"/>
      <c r="Q14" s="591"/>
      <c r="R14" s="591"/>
      <c r="S14" s="591"/>
      <c r="T14" s="591"/>
      <c r="U14" s="591"/>
    </row>
    <row r="15" spans="1:21" ht="10.35" customHeight="1">
      <c r="A15" s="2613"/>
      <c r="B15" s="699" t="s">
        <v>1426</v>
      </c>
      <c r="C15" s="702">
        <v>192.90185856036001</v>
      </c>
      <c r="D15" s="702">
        <v>340.27337576626297</v>
      </c>
      <c r="E15" s="702">
        <v>2114.7479595678601</v>
      </c>
      <c r="F15" s="702">
        <v>1.9771225385058301E-2</v>
      </c>
      <c r="G15" s="702">
        <v>975.24754940315302</v>
      </c>
      <c r="H15" s="702">
        <v>6.8675233383951104</v>
      </c>
      <c r="I15" s="702">
        <v>74.975264901960799</v>
      </c>
      <c r="L15" s="591"/>
      <c r="N15" s="591"/>
      <c r="O15" s="591"/>
      <c r="P15" s="591"/>
      <c r="Q15" s="591"/>
      <c r="R15" s="591"/>
      <c r="S15" s="591"/>
      <c r="T15" s="591"/>
      <c r="U15" s="591"/>
    </row>
    <row r="16" spans="1:21" ht="10.35" customHeight="1">
      <c r="A16" s="2613"/>
      <c r="B16" s="700" t="s">
        <v>1427</v>
      </c>
      <c r="C16" s="701">
        <v>106795.09837421859</v>
      </c>
      <c r="D16" s="701">
        <v>166971.3563209069</v>
      </c>
      <c r="E16" s="701">
        <v>1558774.89309243</v>
      </c>
      <c r="F16" s="701">
        <v>4558.644663</v>
      </c>
      <c r="G16" s="701">
        <v>633614.31000000006</v>
      </c>
      <c r="H16" s="701">
        <v>5.0147492629999997</v>
      </c>
      <c r="I16" s="701">
        <v>74.957247540983602</v>
      </c>
      <c r="L16" s="591"/>
      <c r="N16" s="591"/>
      <c r="O16" s="591"/>
      <c r="P16" s="591"/>
      <c r="Q16" s="591"/>
      <c r="R16" s="591"/>
      <c r="S16" s="591"/>
      <c r="T16" s="591"/>
      <c r="U16" s="591"/>
    </row>
    <row r="17" spans="1:21" ht="10.35" customHeight="1">
      <c r="A17" s="2613"/>
      <c r="B17" s="699" t="s">
        <v>1428</v>
      </c>
      <c r="C17" s="702">
        <v>85.77</v>
      </c>
      <c r="D17" s="702">
        <v>800.83</v>
      </c>
      <c r="E17" s="702">
        <v>199.62</v>
      </c>
      <c r="F17" s="702" t="s">
        <v>292</v>
      </c>
      <c r="G17" s="702">
        <v>805.81</v>
      </c>
      <c r="H17" s="702">
        <v>0.54</v>
      </c>
      <c r="I17" s="702">
        <v>15.4</v>
      </c>
      <c r="L17" s="591"/>
      <c r="N17" s="591"/>
      <c r="O17" s="591"/>
      <c r="P17" s="591"/>
      <c r="Q17" s="591"/>
      <c r="R17" s="591"/>
      <c r="S17" s="591"/>
      <c r="T17" s="591"/>
      <c r="U17" s="591"/>
    </row>
    <row r="18" spans="1:21" ht="10.35" customHeight="1">
      <c r="A18" s="2613"/>
      <c r="B18" s="700" t="s">
        <v>1429</v>
      </c>
      <c r="C18" s="701">
        <v>449.12096700000001</v>
      </c>
      <c r="D18" s="701">
        <v>4348.2076829999996</v>
      </c>
      <c r="E18" s="701">
        <v>6960.1545260000003</v>
      </c>
      <c r="F18" s="701" t="s">
        <v>292</v>
      </c>
      <c r="G18" s="701">
        <v>8935.1370740000002</v>
      </c>
      <c r="H18" s="701" t="s">
        <v>292</v>
      </c>
      <c r="I18" s="701">
        <v>121.39</v>
      </c>
      <c r="L18" s="591"/>
      <c r="N18" s="591"/>
      <c r="O18" s="591"/>
      <c r="P18" s="591"/>
      <c r="Q18" s="591"/>
      <c r="R18" s="591"/>
      <c r="S18" s="591"/>
      <c r="T18" s="591"/>
      <c r="U18" s="591"/>
    </row>
    <row r="19" spans="1:21" ht="10.35" customHeight="1">
      <c r="A19" s="2613"/>
      <c r="B19" s="699" t="s">
        <v>1430</v>
      </c>
      <c r="C19" s="702" t="s">
        <v>292</v>
      </c>
      <c r="D19" s="702" t="s">
        <v>292</v>
      </c>
      <c r="E19" s="702" t="s">
        <v>292</v>
      </c>
      <c r="F19" s="702" t="s">
        <v>292</v>
      </c>
      <c r="G19" s="702" t="s">
        <v>292</v>
      </c>
      <c r="H19" s="702" t="s">
        <v>292</v>
      </c>
      <c r="I19" s="702" t="s">
        <v>292</v>
      </c>
      <c r="L19" s="591"/>
      <c r="N19" s="591"/>
      <c r="O19" s="591"/>
      <c r="P19" s="591"/>
      <c r="Q19" s="591"/>
      <c r="R19" s="591"/>
      <c r="S19" s="591"/>
      <c r="T19" s="591"/>
      <c r="U19" s="591"/>
    </row>
    <row r="20" spans="1:21" ht="10.35" customHeight="1">
      <c r="A20" s="2613"/>
      <c r="B20" s="700" t="s">
        <v>1431</v>
      </c>
      <c r="C20" s="701" t="s">
        <v>292</v>
      </c>
      <c r="D20" s="701" t="s">
        <v>292</v>
      </c>
      <c r="E20" s="701" t="s">
        <v>292</v>
      </c>
      <c r="F20" s="701" t="s">
        <v>292</v>
      </c>
      <c r="G20" s="701" t="s">
        <v>292</v>
      </c>
      <c r="H20" s="701" t="s">
        <v>292</v>
      </c>
      <c r="I20" s="701" t="s">
        <v>292</v>
      </c>
      <c r="L20" s="591"/>
      <c r="N20" s="591"/>
      <c r="O20" s="591"/>
      <c r="P20" s="591"/>
      <c r="Q20" s="591"/>
      <c r="R20" s="591"/>
      <c r="S20" s="591"/>
      <c r="T20" s="591"/>
      <c r="U20" s="591"/>
    </row>
    <row r="21" spans="1:21" ht="10.35" customHeight="1">
      <c r="A21" s="2613" t="s">
        <v>1172</v>
      </c>
      <c r="B21" s="699" t="s">
        <v>1444</v>
      </c>
      <c r="C21" s="702" t="s">
        <v>292</v>
      </c>
      <c r="D21" s="702" t="s">
        <v>292</v>
      </c>
      <c r="E21" s="702" t="s">
        <v>292</v>
      </c>
      <c r="F21" s="702" t="s">
        <v>292</v>
      </c>
      <c r="G21" s="702" t="s">
        <v>292</v>
      </c>
      <c r="H21" s="702" t="s">
        <v>292</v>
      </c>
      <c r="I21" s="702" t="s">
        <v>292</v>
      </c>
      <c r="L21" s="591"/>
      <c r="N21" s="591"/>
      <c r="O21" s="591"/>
      <c r="P21" s="591"/>
      <c r="Q21" s="591"/>
      <c r="R21" s="591"/>
      <c r="S21" s="591"/>
      <c r="T21" s="591"/>
      <c r="U21" s="591"/>
    </row>
    <row r="22" spans="1:21" ht="10.35" customHeight="1">
      <c r="A22" s="2613"/>
      <c r="B22" s="700" t="s">
        <v>1445</v>
      </c>
      <c r="C22" s="701">
        <v>13907.12</v>
      </c>
      <c r="D22" s="701">
        <v>20985.53</v>
      </c>
      <c r="E22" s="701">
        <v>136683.128096</v>
      </c>
      <c r="F22" s="701">
        <v>888.48</v>
      </c>
      <c r="G22" s="710">
        <v>44146.8</v>
      </c>
      <c r="H22" s="701">
        <v>5.6866666666666674</v>
      </c>
      <c r="I22" s="701">
        <v>86.005195000000001</v>
      </c>
      <c r="L22" s="591"/>
      <c r="N22" s="591"/>
      <c r="O22" s="591"/>
      <c r="P22" s="591"/>
      <c r="Q22" s="591"/>
      <c r="R22" s="591"/>
      <c r="S22" s="591"/>
      <c r="T22" s="591"/>
      <c r="U22" s="591"/>
    </row>
    <row r="23" spans="1:21" ht="10.35" customHeight="1">
      <c r="A23" s="2613"/>
      <c r="B23" s="699" t="s">
        <v>1426</v>
      </c>
      <c r="C23" s="702" t="s">
        <v>292</v>
      </c>
      <c r="D23" s="702" t="s">
        <v>292</v>
      </c>
      <c r="E23" s="702" t="s">
        <v>292</v>
      </c>
      <c r="F23" s="702" t="s">
        <v>292</v>
      </c>
      <c r="G23" s="702" t="s">
        <v>292</v>
      </c>
      <c r="H23" s="702" t="s">
        <v>292</v>
      </c>
      <c r="I23" s="702">
        <v>75.241674784182706</v>
      </c>
      <c r="L23" s="591"/>
      <c r="N23" s="591"/>
      <c r="O23" s="591"/>
      <c r="P23" s="591"/>
      <c r="Q23" s="591"/>
      <c r="R23" s="591"/>
      <c r="S23" s="591"/>
      <c r="T23" s="591"/>
      <c r="U23" s="591"/>
    </row>
    <row r="24" spans="1:21" ht="10.35" customHeight="1">
      <c r="A24" s="2613"/>
      <c r="B24" s="700" t="s">
        <v>1427</v>
      </c>
      <c r="C24" s="701">
        <v>117048.7230758153</v>
      </c>
      <c r="D24" s="701">
        <v>171640.4361853741</v>
      </c>
      <c r="E24" s="701">
        <v>1568628.04011761</v>
      </c>
      <c r="F24" s="701">
        <v>13776.501501999999</v>
      </c>
      <c r="G24" s="701">
        <v>607309.13</v>
      </c>
      <c r="H24" s="701">
        <v>6.34</v>
      </c>
      <c r="I24" s="701">
        <v>75.250421666666668</v>
      </c>
      <c r="L24" s="591"/>
      <c r="N24" s="591"/>
      <c r="O24" s="591"/>
      <c r="P24" s="591"/>
      <c r="Q24" s="591"/>
      <c r="R24" s="591"/>
      <c r="S24" s="591"/>
      <c r="T24" s="591"/>
      <c r="U24" s="591"/>
    </row>
    <row r="25" spans="1:21" ht="10.35" customHeight="1">
      <c r="A25" s="2613"/>
      <c r="B25" s="699" t="s">
        <v>1428</v>
      </c>
      <c r="C25" s="702">
        <v>114.64</v>
      </c>
      <c r="D25" s="702">
        <v>769.19</v>
      </c>
      <c r="E25" s="702">
        <v>204.17</v>
      </c>
      <c r="F25" s="702" t="s">
        <v>292</v>
      </c>
      <c r="G25" s="702">
        <v>865.19</v>
      </c>
      <c r="H25" s="702">
        <v>0.87</v>
      </c>
      <c r="I25" s="702">
        <v>15.4</v>
      </c>
      <c r="L25" s="591"/>
      <c r="N25" s="591"/>
      <c r="O25" s="591"/>
      <c r="P25" s="591"/>
      <c r="Q25" s="591"/>
      <c r="R25" s="591"/>
      <c r="S25" s="591"/>
      <c r="T25" s="591"/>
      <c r="U25" s="591"/>
    </row>
    <row r="26" spans="1:21" ht="10.35" customHeight="1">
      <c r="A26" s="2613"/>
      <c r="B26" s="700" t="s">
        <v>1429</v>
      </c>
      <c r="C26" s="701">
        <v>345.63761699999998</v>
      </c>
      <c r="D26" s="701">
        <v>3871.3336199999999</v>
      </c>
      <c r="E26" s="701">
        <v>7154.3862220000001</v>
      </c>
      <c r="F26" s="701" t="s">
        <v>292</v>
      </c>
      <c r="G26" s="701">
        <v>8307.2269269999997</v>
      </c>
      <c r="H26" s="701" t="s">
        <v>292</v>
      </c>
      <c r="I26" s="701">
        <v>122.55</v>
      </c>
      <c r="L26" s="591"/>
      <c r="N26" s="591"/>
      <c r="O26" s="591"/>
      <c r="P26" s="591"/>
      <c r="Q26" s="591"/>
      <c r="R26" s="591"/>
      <c r="S26" s="591"/>
      <c r="T26" s="591"/>
      <c r="U26" s="591"/>
    </row>
    <row r="27" spans="1:21" ht="10.35" customHeight="1">
      <c r="A27" s="2613"/>
      <c r="B27" s="699" t="s">
        <v>1430</v>
      </c>
      <c r="C27" s="702" t="s">
        <v>292</v>
      </c>
      <c r="D27" s="702" t="s">
        <v>292</v>
      </c>
      <c r="E27" s="702" t="s">
        <v>292</v>
      </c>
      <c r="F27" s="702" t="s">
        <v>292</v>
      </c>
      <c r="G27" s="702" t="s">
        <v>292</v>
      </c>
      <c r="H27" s="702" t="s">
        <v>292</v>
      </c>
      <c r="I27" s="702" t="s">
        <v>292</v>
      </c>
      <c r="L27" s="591"/>
      <c r="N27" s="591"/>
      <c r="O27" s="591"/>
      <c r="P27" s="591"/>
      <c r="Q27" s="591"/>
      <c r="R27" s="591"/>
      <c r="S27" s="591"/>
      <c r="T27" s="591"/>
      <c r="U27" s="591"/>
    </row>
    <row r="28" spans="1:21" ht="10.35" customHeight="1">
      <c r="A28" s="2613"/>
      <c r="B28" s="700" t="s">
        <v>1431</v>
      </c>
      <c r="C28" s="701" t="s">
        <v>292</v>
      </c>
      <c r="D28" s="701" t="s">
        <v>292</v>
      </c>
      <c r="E28" s="701" t="s">
        <v>292</v>
      </c>
      <c r="F28" s="701" t="s">
        <v>292</v>
      </c>
      <c r="G28" s="701" t="s">
        <v>292</v>
      </c>
      <c r="H28" s="701" t="s">
        <v>292</v>
      </c>
      <c r="I28" s="701" t="s">
        <v>292</v>
      </c>
      <c r="L28" s="591"/>
      <c r="N28" s="591"/>
      <c r="O28" s="591"/>
      <c r="P28" s="591"/>
      <c r="Q28" s="591"/>
      <c r="R28" s="591"/>
      <c r="S28" s="591"/>
      <c r="T28" s="591"/>
      <c r="U28" s="591"/>
    </row>
    <row r="29" spans="1:21" ht="10.35" customHeight="1">
      <c r="A29" s="2613" t="s">
        <v>1173</v>
      </c>
      <c r="B29" s="699" t="s">
        <v>1444</v>
      </c>
      <c r="C29" s="702" t="s">
        <v>292</v>
      </c>
      <c r="D29" s="702" t="s">
        <v>292</v>
      </c>
      <c r="E29" s="702" t="s">
        <v>292</v>
      </c>
      <c r="F29" s="702" t="s">
        <v>292</v>
      </c>
      <c r="G29" s="702" t="s">
        <v>292</v>
      </c>
      <c r="H29" s="702" t="s">
        <v>292</v>
      </c>
      <c r="I29" s="702" t="s">
        <v>292</v>
      </c>
      <c r="L29" s="591"/>
      <c r="N29" s="591"/>
      <c r="O29" s="591"/>
      <c r="P29" s="591"/>
      <c r="Q29" s="591"/>
      <c r="R29" s="591"/>
      <c r="S29" s="591"/>
      <c r="T29" s="591"/>
      <c r="U29" s="591"/>
    </row>
    <row r="30" spans="1:21" ht="10.35" customHeight="1">
      <c r="A30" s="2613"/>
      <c r="B30" s="700" t="s">
        <v>1445</v>
      </c>
      <c r="C30" s="701">
        <v>13476.99</v>
      </c>
      <c r="D30" s="701">
        <v>21546.7</v>
      </c>
      <c r="E30" s="701">
        <v>132251.76129900001</v>
      </c>
      <c r="F30" s="701">
        <v>787.48</v>
      </c>
      <c r="G30" s="710">
        <v>41826.700000000004</v>
      </c>
      <c r="H30" s="701">
        <v>5.9833333333333334</v>
      </c>
      <c r="I30" s="701">
        <v>88.511646999999996</v>
      </c>
      <c r="L30" s="703"/>
      <c r="M30" s="703"/>
      <c r="N30" s="1080"/>
      <c r="O30" s="254"/>
      <c r="P30" s="703"/>
      <c r="Q30" s="591"/>
      <c r="R30" s="591"/>
      <c r="S30" s="591"/>
      <c r="T30" s="591"/>
      <c r="U30" s="591"/>
    </row>
    <row r="31" spans="1:21" ht="10.35" customHeight="1">
      <c r="A31" s="2613"/>
      <c r="B31" s="699" t="s">
        <v>1426</v>
      </c>
      <c r="C31" s="702" t="s">
        <v>292</v>
      </c>
      <c r="D31" s="702" t="s">
        <v>292</v>
      </c>
      <c r="E31" s="702" t="s">
        <v>292</v>
      </c>
      <c r="F31" s="702" t="s">
        <v>292</v>
      </c>
      <c r="G31" s="702" t="s">
        <v>292</v>
      </c>
      <c r="H31" s="702" t="s">
        <v>292</v>
      </c>
      <c r="I31" s="702">
        <v>51.163637816764094</v>
      </c>
      <c r="L31" s="1080"/>
      <c r="M31" s="1080"/>
      <c r="N31" s="1080"/>
      <c r="O31" s="1080"/>
      <c r="P31" s="703"/>
      <c r="Q31" s="591"/>
      <c r="R31" s="591"/>
      <c r="S31" s="591"/>
      <c r="T31" s="591"/>
      <c r="U31" s="591"/>
    </row>
    <row r="32" spans="1:21" ht="10.35" customHeight="1">
      <c r="A32" s="2613"/>
      <c r="B32" s="700" t="s">
        <v>1427</v>
      </c>
      <c r="C32" s="701">
        <v>120921.1206651789</v>
      </c>
      <c r="D32" s="701">
        <v>183558.0091525281</v>
      </c>
      <c r="E32" s="701">
        <v>1539147.47663921</v>
      </c>
      <c r="F32" s="701">
        <v>13582.065572</v>
      </c>
      <c r="G32" s="701">
        <v>589154.57000000007</v>
      </c>
      <c r="H32" s="701">
        <v>7.28</v>
      </c>
      <c r="I32" s="701">
        <v>77.250786666666656</v>
      </c>
      <c r="L32" s="591"/>
      <c r="N32" s="591"/>
      <c r="O32" s="591"/>
      <c r="P32" s="591"/>
      <c r="Q32" s="591"/>
      <c r="R32" s="591"/>
      <c r="S32" s="591"/>
      <c r="T32" s="591"/>
      <c r="U32" s="591"/>
    </row>
    <row r="33" spans="1:21" ht="10.35" customHeight="1">
      <c r="A33" s="2613"/>
      <c r="B33" s="699" t="s">
        <v>1428</v>
      </c>
      <c r="C33" s="702">
        <v>89.53</v>
      </c>
      <c r="D33" s="702">
        <v>931.74</v>
      </c>
      <c r="E33" s="702">
        <v>212.53</v>
      </c>
      <c r="F33" s="702" t="s">
        <v>292</v>
      </c>
      <c r="G33" s="702">
        <v>750.44</v>
      </c>
      <c r="H33" s="702">
        <v>1.03</v>
      </c>
      <c r="I33" s="702">
        <v>15.4</v>
      </c>
      <c r="L33" s="591"/>
      <c r="N33" s="591"/>
      <c r="O33" s="591"/>
      <c r="P33" s="591"/>
      <c r="Q33" s="591"/>
      <c r="R33" s="591"/>
      <c r="S33" s="591"/>
      <c r="T33" s="591"/>
      <c r="U33" s="591"/>
    </row>
    <row r="34" spans="1:21" ht="10.35" customHeight="1">
      <c r="A34" s="2613"/>
      <c r="B34" s="700" t="s">
        <v>1429</v>
      </c>
      <c r="C34" s="701">
        <v>317.38042300000001</v>
      </c>
      <c r="D34" s="701">
        <v>3649.7753929999999</v>
      </c>
      <c r="E34" s="701">
        <v>7014.7818799999995</v>
      </c>
      <c r="F34" s="701" t="s">
        <v>292</v>
      </c>
      <c r="G34" s="701">
        <v>8264.3849379999992</v>
      </c>
      <c r="H34" s="701" t="s">
        <v>292</v>
      </c>
      <c r="I34" s="701">
        <v>124.86</v>
      </c>
      <c r="L34" s="591"/>
      <c r="N34" s="591"/>
      <c r="O34" s="591"/>
      <c r="P34" s="591"/>
      <c r="Q34" s="591"/>
      <c r="R34" s="591"/>
      <c r="S34" s="591"/>
      <c r="T34" s="591"/>
      <c r="U34" s="591"/>
    </row>
    <row r="35" spans="1:21" ht="10.35" customHeight="1">
      <c r="A35" s="2613"/>
      <c r="B35" s="699" t="s">
        <v>1430</v>
      </c>
      <c r="C35" s="702" t="s">
        <v>292</v>
      </c>
      <c r="D35" s="702" t="s">
        <v>292</v>
      </c>
      <c r="E35" s="702" t="s">
        <v>292</v>
      </c>
      <c r="F35" s="702" t="s">
        <v>292</v>
      </c>
      <c r="G35" s="702" t="s">
        <v>292</v>
      </c>
      <c r="H35" s="702" t="s">
        <v>292</v>
      </c>
      <c r="I35" s="702" t="s">
        <v>292</v>
      </c>
      <c r="L35" s="591"/>
      <c r="N35" s="591"/>
      <c r="O35" s="591"/>
      <c r="P35" s="591"/>
      <c r="Q35" s="591"/>
      <c r="R35" s="591"/>
      <c r="S35" s="591"/>
      <c r="T35" s="591"/>
      <c r="U35" s="591"/>
    </row>
    <row r="36" spans="1:21" ht="10.35" customHeight="1">
      <c r="A36" s="2613"/>
      <c r="B36" s="700" t="s">
        <v>1431</v>
      </c>
      <c r="C36" s="701" t="s">
        <v>292</v>
      </c>
      <c r="D36" s="701" t="s">
        <v>292</v>
      </c>
      <c r="E36" s="701" t="s">
        <v>292</v>
      </c>
      <c r="F36" s="701" t="s">
        <v>292</v>
      </c>
      <c r="G36" s="701" t="s">
        <v>292</v>
      </c>
      <c r="H36" s="701" t="s">
        <v>292</v>
      </c>
      <c r="I36" s="701" t="s">
        <v>292</v>
      </c>
      <c r="L36" s="591"/>
      <c r="N36" s="591"/>
      <c r="O36" s="591"/>
      <c r="P36" s="591"/>
      <c r="Q36" s="591"/>
      <c r="R36" s="591"/>
      <c r="S36" s="591"/>
      <c r="T36" s="591"/>
      <c r="U36" s="591"/>
    </row>
    <row r="37" spans="1:21" ht="12.75" customHeight="1">
      <c r="A37" s="1193" t="s">
        <v>2127</v>
      </c>
      <c r="B37" s="1193"/>
      <c r="C37" s="1194"/>
      <c r="D37" s="1194"/>
      <c r="E37" s="1194"/>
      <c r="F37" s="1194"/>
      <c r="G37" s="1194"/>
      <c r="H37" s="1194"/>
      <c r="I37" s="1195"/>
    </row>
    <row r="38" spans="1:21" ht="10.35" customHeight="1">
      <c r="A38" s="2612" t="s">
        <v>1174</v>
      </c>
      <c r="B38" s="699" t="s">
        <v>1444</v>
      </c>
      <c r="C38" s="706" t="s">
        <v>292</v>
      </c>
      <c r="D38" s="706" t="s">
        <v>292</v>
      </c>
      <c r="E38" s="706" t="s">
        <v>292</v>
      </c>
      <c r="F38" s="706" t="s">
        <v>292</v>
      </c>
      <c r="G38" s="706" t="s">
        <v>292</v>
      </c>
      <c r="H38" s="706" t="s">
        <v>292</v>
      </c>
      <c r="I38" s="706" t="s">
        <v>292</v>
      </c>
      <c r="J38" s="672"/>
    </row>
    <row r="39" spans="1:21" ht="10.35" customHeight="1">
      <c r="A39" s="2613"/>
      <c r="B39" s="700" t="s">
        <v>1445</v>
      </c>
      <c r="C39" s="710">
        <v>12496.9</v>
      </c>
      <c r="D39" s="710">
        <v>20849</v>
      </c>
      <c r="E39" s="710">
        <v>132040.66145799999</v>
      </c>
      <c r="F39" s="710">
        <v>1100.1600000000001</v>
      </c>
      <c r="G39" s="710">
        <v>36476.400000000001</v>
      </c>
      <c r="H39" s="710">
        <v>6.6500000000000012</v>
      </c>
      <c r="I39" s="710">
        <v>94.8</v>
      </c>
    </row>
    <row r="40" spans="1:21" ht="10.35" customHeight="1">
      <c r="A40" s="2613"/>
      <c r="B40" s="699" t="s">
        <v>1426</v>
      </c>
      <c r="C40" s="706" t="s">
        <v>292</v>
      </c>
      <c r="D40" s="706" t="s">
        <v>292</v>
      </c>
      <c r="E40" s="706" t="s">
        <v>292</v>
      </c>
      <c r="F40" s="706" t="s">
        <v>292</v>
      </c>
      <c r="G40" s="706" t="s">
        <v>292</v>
      </c>
      <c r="H40" s="706" t="s">
        <v>292</v>
      </c>
      <c r="I40" s="702" t="s">
        <v>292</v>
      </c>
    </row>
    <row r="41" spans="1:21" ht="10.35" customHeight="1">
      <c r="A41" s="2613"/>
      <c r="B41" s="700" t="s">
        <v>1427</v>
      </c>
      <c r="C41" s="710">
        <v>110765.8365873812</v>
      </c>
      <c r="D41" s="710">
        <v>189086.35345946072</v>
      </c>
      <c r="E41" s="710">
        <v>1548685.9687292301</v>
      </c>
      <c r="F41" s="710">
        <v>6437.0842389999998</v>
      </c>
      <c r="G41" s="710">
        <v>532663.72</v>
      </c>
      <c r="H41" s="710">
        <v>7.04</v>
      </c>
      <c r="I41" s="710">
        <v>79.810850000000002</v>
      </c>
    </row>
    <row r="42" spans="1:21" ht="10.35" customHeight="1">
      <c r="A42" s="2613"/>
      <c r="B42" s="699" t="s">
        <v>1428</v>
      </c>
      <c r="C42" s="706">
        <v>79.05</v>
      </c>
      <c r="D42" s="706">
        <v>876.14</v>
      </c>
      <c r="E42" s="706">
        <v>211.64</v>
      </c>
      <c r="F42" s="706" t="s">
        <v>292</v>
      </c>
      <c r="G42" s="702">
        <v>540.28</v>
      </c>
      <c r="H42" s="702">
        <v>1.59</v>
      </c>
      <c r="I42" s="706">
        <v>15.39</v>
      </c>
    </row>
    <row r="43" spans="1:21" ht="10.35" customHeight="1">
      <c r="A43" s="2613"/>
      <c r="B43" s="700" t="s">
        <v>1429</v>
      </c>
      <c r="C43" s="701">
        <v>325.92813699999999</v>
      </c>
      <c r="D43" s="701">
        <v>3124.8529239999998</v>
      </c>
      <c r="E43" s="701">
        <v>6887.5999629999997</v>
      </c>
      <c r="F43" s="701" t="s">
        <v>292</v>
      </c>
      <c r="G43" s="701">
        <v>8245.9790379999995</v>
      </c>
      <c r="H43" s="701" t="s">
        <v>292</v>
      </c>
      <c r="I43" s="701">
        <v>127.52</v>
      </c>
    </row>
    <row r="44" spans="1:21" ht="10.35" customHeight="1">
      <c r="A44" s="2613"/>
      <c r="B44" s="699" t="s">
        <v>1430</v>
      </c>
      <c r="C44" s="706" t="s">
        <v>292</v>
      </c>
      <c r="D44" s="706" t="s">
        <v>292</v>
      </c>
      <c r="E44" s="706" t="s">
        <v>292</v>
      </c>
      <c r="F44" s="706" t="s">
        <v>292</v>
      </c>
      <c r="G44" s="706" t="s">
        <v>292</v>
      </c>
      <c r="H44" s="706" t="s">
        <v>292</v>
      </c>
      <c r="I44" s="702" t="s">
        <v>292</v>
      </c>
    </row>
    <row r="45" spans="1:21" ht="10.35" customHeight="1">
      <c r="A45" s="2613"/>
      <c r="B45" s="700" t="s">
        <v>1431</v>
      </c>
      <c r="C45" s="701" t="s">
        <v>292</v>
      </c>
      <c r="D45" s="701" t="s">
        <v>292</v>
      </c>
      <c r="E45" s="701" t="s">
        <v>292</v>
      </c>
      <c r="F45" s="701" t="s">
        <v>292</v>
      </c>
      <c r="G45" s="701" t="s">
        <v>292</v>
      </c>
      <c r="H45" s="701" t="s">
        <v>292</v>
      </c>
      <c r="I45" s="701" t="s">
        <v>292</v>
      </c>
    </row>
    <row r="46" spans="1:21" ht="10.35" customHeight="1">
      <c r="A46" s="2613" t="s">
        <v>1289</v>
      </c>
      <c r="B46" s="699" t="s">
        <v>1444</v>
      </c>
      <c r="C46" s="706" t="s">
        <v>292</v>
      </c>
      <c r="D46" s="706" t="s">
        <v>292</v>
      </c>
      <c r="E46" s="706" t="s">
        <v>292</v>
      </c>
      <c r="F46" s="706" t="s">
        <v>292</v>
      </c>
      <c r="G46" s="706" t="s">
        <v>292</v>
      </c>
      <c r="H46" s="706" t="s">
        <v>292</v>
      </c>
      <c r="I46" s="706" t="s">
        <v>292</v>
      </c>
    </row>
    <row r="47" spans="1:21" ht="10.35" customHeight="1">
      <c r="A47" s="2613"/>
      <c r="B47" s="700" t="s">
        <v>1445</v>
      </c>
      <c r="C47" s="710">
        <v>14814.37</v>
      </c>
      <c r="D47" s="710">
        <v>17462.2</v>
      </c>
      <c r="E47" s="710">
        <v>133407.76</v>
      </c>
      <c r="F47" s="710">
        <v>703.83</v>
      </c>
      <c r="G47" s="710">
        <v>33747.699999999997</v>
      </c>
      <c r="H47" s="710">
        <v>7.47</v>
      </c>
      <c r="I47" s="710">
        <v>97.69</v>
      </c>
    </row>
    <row r="48" spans="1:21" ht="10.35" customHeight="1">
      <c r="A48" s="2613"/>
      <c r="B48" s="699" t="s">
        <v>1426</v>
      </c>
      <c r="C48" s="706" t="s">
        <v>292</v>
      </c>
      <c r="D48" s="706" t="s">
        <v>292</v>
      </c>
      <c r="E48" s="706" t="s">
        <v>292</v>
      </c>
      <c r="F48" s="706" t="s">
        <v>292</v>
      </c>
      <c r="G48" s="706" t="s">
        <v>292</v>
      </c>
      <c r="H48" s="706" t="s">
        <v>292</v>
      </c>
      <c r="I48" s="702" t="s">
        <v>292</v>
      </c>
    </row>
    <row r="49" spans="1:9" ht="10.35" customHeight="1">
      <c r="A49" s="2613"/>
      <c r="B49" s="700" t="s">
        <v>1427</v>
      </c>
      <c r="C49" s="710">
        <v>104574.57138194841</v>
      </c>
      <c r="D49" s="710">
        <v>177373.09883756709</v>
      </c>
      <c r="E49" s="710">
        <v>1607078.6181754901</v>
      </c>
      <c r="F49" s="710">
        <v>2321.669261</v>
      </c>
      <c r="G49" s="710">
        <v>562720.56000000006</v>
      </c>
      <c r="H49" s="710">
        <v>6.12</v>
      </c>
      <c r="I49" s="710">
        <v>82.19944666666666</v>
      </c>
    </row>
    <row r="50" spans="1:9" ht="10.35" customHeight="1">
      <c r="A50" s="2613"/>
      <c r="B50" s="699" t="s">
        <v>1428</v>
      </c>
      <c r="C50" s="706">
        <v>116.53</v>
      </c>
      <c r="D50" s="706">
        <v>938.6</v>
      </c>
      <c r="E50" s="706">
        <v>218.01</v>
      </c>
      <c r="F50" s="706" t="s">
        <v>292</v>
      </c>
      <c r="G50" s="702">
        <v>832.09</v>
      </c>
      <c r="H50" s="702">
        <v>2.33</v>
      </c>
      <c r="I50" s="706">
        <v>15.39</v>
      </c>
    </row>
    <row r="51" spans="1:9" ht="10.35" customHeight="1">
      <c r="A51" s="2613"/>
      <c r="B51" s="700" t="s">
        <v>1429</v>
      </c>
      <c r="C51" s="701">
        <v>296.28419400000001</v>
      </c>
      <c r="D51" s="701">
        <v>2976.9653039999998</v>
      </c>
      <c r="E51" s="701">
        <v>6711.4568730000001</v>
      </c>
      <c r="F51" s="701" t="s">
        <v>292</v>
      </c>
      <c r="G51" s="701">
        <v>8634.3435150000005</v>
      </c>
      <c r="H51" s="701" t="s">
        <v>292</v>
      </c>
      <c r="I51" s="701">
        <v>131.94</v>
      </c>
    </row>
    <row r="52" spans="1:9" ht="10.35" customHeight="1">
      <c r="A52" s="2613"/>
      <c r="B52" s="699" t="s">
        <v>1430</v>
      </c>
      <c r="C52" s="706" t="s">
        <v>292</v>
      </c>
      <c r="D52" s="706" t="s">
        <v>292</v>
      </c>
      <c r="E52" s="706" t="s">
        <v>292</v>
      </c>
      <c r="F52" s="706" t="s">
        <v>292</v>
      </c>
      <c r="G52" s="706" t="s">
        <v>292</v>
      </c>
      <c r="H52" s="706" t="s">
        <v>292</v>
      </c>
      <c r="I52" s="706" t="s">
        <v>292</v>
      </c>
    </row>
    <row r="53" spans="1:9" ht="10.35" customHeight="1">
      <c r="A53" s="2613"/>
      <c r="B53" s="700" t="s">
        <v>1431</v>
      </c>
      <c r="C53" s="701" t="s">
        <v>292</v>
      </c>
      <c r="D53" s="701" t="s">
        <v>292</v>
      </c>
      <c r="E53" s="701" t="s">
        <v>292</v>
      </c>
      <c r="F53" s="701" t="s">
        <v>292</v>
      </c>
      <c r="G53" s="701" t="s">
        <v>292</v>
      </c>
      <c r="H53" s="701" t="s">
        <v>292</v>
      </c>
      <c r="I53" s="701" t="s">
        <v>292</v>
      </c>
    </row>
    <row r="54" spans="1:9" ht="7.5" customHeight="1">
      <c r="A54" s="1196"/>
      <c r="B54" s="1196"/>
      <c r="C54" s="1197"/>
      <c r="D54" s="1197"/>
      <c r="E54" s="1197"/>
      <c r="F54" s="1197"/>
      <c r="G54" s="1197"/>
      <c r="H54" s="1197"/>
      <c r="I54" s="1197"/>
    </row>
    <row r="55" spans="1:9">
      <c r="A55" s="703" t="s">
        <v>16</v>
      </c>
      <c r="B55" s="703" t="s">
        <v>1219</v>
      </c>
      <c r="C55" s="1080"/>
      <c r="D55" s="254"/>
      <c r="E55" s="703"/>
      <c r="F55" s="1080"/>
      <c r="G55" s="703" t="s">
        <v>1309</v>
      </c>
      <c r="H55" s="1080"/>
      <c r="I55" s="1080"/>
    </row>
    <row r="56" spans="1:9">
      <c r="A56" s="1080"/>
      <c r="B56" s="1080"/>
      <c r="C56" s="1080"/>
      <c r="D56" s="1080"/>
      <c r="E56" s="703" t="s">
        <v>366</v>
      </c>
      <c r="F56" s="1080"/>
      <c r="G56" s="1080"/>
      <c r="H56" s="1080"/>
      <c r="I56" s="1080"/>
    </row>
    <row r="57" spans="1:9">
      <c r="G57" s="1080"/>
    </row>
    <row r="66" spans="1:7">
      <c r="A66" s="703"/>
      <c r="B66" s="703"/>
      <c r="C66" s="1080"/>
      <c r="D66" s="254"/>
      <c r="E66" s="703"/>
      <c r="F66" s="1080"/>
      <c r="G66" s="703"/>
    </row>
    <row r="67" spans="1:7">
      <c r="A67" s="1080"/>
      <c r="B67" s="1080"/>
      <c r="C67" s="1080"/>
      <c r="D67" s="1080"/>
      <c r="E67" s="703"/>
      <c r="F67" s="1080"/>
      <c r="G67" s="1080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CM53"/>
  <sheetViews>
    <sheetView topLeftCell="A31" zoomScale="130" zoomScaleNormal="130" zoomScaleSheetLayoutView="110" workbookViewId="0">
      <selection activeCell="H56" sqref="H56"/>
    </sheetView>
  </sheetViews>
  <sheetFormatPr defaultRowHeight="12.75"/>
  <cols>
    <col min="1" max="1" width="8.140625" style="1667" customWidth="1"/>
    <col min="2" max="2" width="8.5703125" style="1667" customWidth="1"/>
    <col min="3" max="3" width="10.42578125" style="1667" bestFit="1" customWidth="1"/>
    <col min="4" max="4" width="9" style="1667" customWidth="1"/>
    <col min="5" max="5" width="7.5703125" style="1667" customWidth="1"/>
    <col min="6" max="7" width="7.85546875" style="1667" customWidth="1"/>
    <col min="8" max="8" width="8.42578125" style="1667" customWidth="1"/>
    <col min="9" max="9" width="8.7109375" style="1667" customWidth="1"/>
    <col min="10" max="10" width="7.140625" style="1667" customWidth="1"/>
    <col min="11" max="11" width="7" style="1667" customWidth="1"/>
    <col min="12" max="13" width="6.28515625" style="1667" customWidth="1"/>
    <col min="14" max="14" width="5.42578125" style="1667" customWidth="1"/>
    <col min="15" max="15" width="8" style="1667" customWidth="1"/>
    <col min="16" max="16" width="7.5703125" style="1667" customWidth="1"/>
    <col min="17" max="17" width="7" style="1667" customWidth="1"/>
    <col min="18" max="18" width="7.5703125" style="1667" customWidth="1"/>
    <col min="19" max="19" width="8.140625" style="1667" customWidth="1"/>
    <col min="20" max="20" width="7.5703125" style="1667" customWidth="1"/>
    <col min="21" max="16384" width="9.140625" style="1667"/>
  </cols>
  <sheetData>
    <row r="1" spans="1:20" ht="13.5" customHeight="1">
      <c r="F1" s="2625" t="s">
        <v>1883</v>
      </c>
      <c r="G1" s="2625"/>
      <c r="H1" s="2625"/>
      <c r="I1" s="2625"/>
      <c r="J1" s="2630" t="s">
        <v>1884</v>
      </c>
      <c r="K1" s="2630"/>
      <c r="L1" s="2630"/>
      <c r="M1" s="2630"/>
      <c r="N1" s="2630"/>
      <c r="O1" s="2630"/>
      <c r="P1" s="2630"/>
    </row>
    <row r="2" spans="1:20" ht="12" customHeight="1">
      <c r="A2" s="669"/>
      <c r="B2" s="670"/>
      <c r="C2" s="670"/>
      <c r="D2" s="676"/>
      <c r="E2" s="676"/>
      <c r="F2" s="676"/>
      <c r="G2" s="676"/>
      <c r="H2" s="676"/>
      <c r="I2" s="671"/>
      <c r="J2" s="685"/>
      <c r="K2" s="685"/>
      <c r="L2" s="685"/>
      <c r="M2" s="671"/>
      <c r="N2" s="671"/>
      <c r="O2" s="671"/>
      <c r="P2" s="670"/>
      <c r="Q2" s="670"/>
      <c r="R2" s="2626" t="s">
        <v>2020</v>
      </c>
      <c r="S2" s="2627"/>
      <c r="T2" s="2627"/>
    </row>
    <row r="3" spans="1:20" ht="10.5" customHeight="1">
      <c r="A3" s="672"/>
      <c r="B3" s="672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2628" t="s">
        <v>24</v>
      </c>
      <c r="S3" s="2629"/>
      <c r="T3" s="2629"/>
    </row>
    <row r="4" spans="1:20" ht="14.25" customHeight="1">
      <c r="A4" s="2596" t="s">
        <v>481</v>
      </c>
      <c r="B4" s="2631" t="s">
        <v>1913</v>
      </c>
      <c r="C4" s="2632"/>
      <c r="D4" s="2632"/>
      <c r="E4" s="2632"/>
      <c r="F4" s="2633"/>
      <c r="G4" s="2634" t="s">
        <v>1885</v>
      </c>
      <c r="H4" s="2635"/>
      <c r="I4" s="2636"/>
      <c r="J4" s="2637" t="s">
        <v>1886</v>
      </c>
      <c r="K4" s="2632"/>
      <c r="L4" s="2632"/>
      <c r="M4" s="2633"/>
      <c r="N4" s="2638" t="s">
        <v>1929</v>
      </c>
      <c r="O4" s="2619" t="s">
        <v>1917</v>
      </c>
      <c r="P4" s="2619" t="s">
        <v>1916</v>
      </c>
      <c r="Q4" s="2619" t="s">
        <v>1887</v>
      </c>
      <c r="R4" s="2585" t="s">
        <v>1935</v>
      </c>
      <c r="S4" s="2619" t="s">
        <v>1918</v>
      </c>
      <c r="T4" s="2622" t="s">
        <v>481</v>
      </c>
    </row>
    <row r="5" spans="1:20" ht="39" customHeight="1">
      <c r="A5" s="2597"/>
      <c r="B5" s="1607" t="s">
        <v>1888</v>
      </c>
      <c r="C5" s="1607" t="s">
        <v>1889</v>
      </c>
      <c r="D5" s="1670" t="s">
        <v>1890</v>
      </c>
      <c r="E5" s="976" t="s">
        <v>1914</v>
      </c>
      <c r="F5" s="964" t="s">
        <v>1891</v>
      </c>
      <c r="G5" s="1668" t="s">
        <v>1892</v>
      </c>
      <c r="H5" s="1668" t="s">
        <v>1893</v>
      </c>
      <c r="I5" s="1668" t="s">
        <v>1894</v>
      </c>
      <c r="J5" s="1536" t="s">
        <v>1895</v>
      </c>
      <c r="K5" s="1536" t="s">
        <v>1915</v>
      </c>
      <c r="L5" s="1536" t="s">
        <v>1896</v>
      </c>
      <c r="M5" s="1673" t="s">
        <v>1934</v>
      </c>
      <c r="N5" s="2620"/>
      <c r="O5" s="2620"/>
      <c r="P5" s="2620"/>
      <c r="Q5" s="2620"/>
      <c r="R5" s="2586"/>
      <c r="S5" s="2621"/>
      <c r="T5" s="2623"/>
    </row>
    <row r="6" spans="1:20" ht="9.75" customHeight="1">
      <c r="A6" s="2598"/>
      <c r="B6" s="1370">
        <v>1</v>
      </c>
      <c r="C6" s="965">
        <v>2</v>
      </c>
      <c r="D6" s="965">
        <v>3</v>
      </c>
      <c r="E6" s="965">
        <v>4</v>
      </c>
      <c r="F6" s="965">
        <v>5</v>
      </c>
      <c r="G6" s="965">
        <v>6</v>
      </c>
      <c r="H6" s="965">
        <v>7</v>
      </c>
      <c r="I6" s="965">
        <v>8</v>
      </c>
      <c r="J6" s="965">
        <v>9</v>
      </c>
      <c r="K6" s="965">
        <v>10</v>
      </c>
      <c r="L6" s="965">
        <v>11</v>
      </c>
      <c r="M6" s="965">
        <v>12</v>
      </c>
      <c r="N6" s="965">
        <v>13</v>
      </c>
      <c r="O6" s="965">
        <v>14</v>
      </c>
      <c r="P6" s="965">
        <v>15</v>
      </c>
      <c r="Q6" s="965">
        <v>16</v>
      </c>
      <c r="R6" s="965">
        <v>17</v>
      </c>
      <c r="S6" s="965">
        <v>18</v>
      </c>
      <c r="T6" s="2624"/>
    </row>
    <row r="7" spans="1:20" ht="12.95" customHeight="1">
      <c r="A7" s="1155" t="s">
        <v>1311</v>
      </c>
      <c r="B7" s="1156">
        <v>5778.93</v>
      </c>
      <c r="C7" s="1156">
        <v>25743.57</v>
      </c>
      <c r="D7" s="1156">
        <v>23651.01</v>
      </c>
      <c r="E7" s="1156">
        <v>5900.44</v>
      </c>
      <c r="F7" s="1156">
        <f>E7+D7+C7+B7</f>
        <v>61073.95</v>
      </c>
      <c r="G7" s="1156">
        <v>3372.6</v>
      </c>
      <c r="H7" s="1156">
        <v>11661.04</v>
      </c>
      <c r="I7" s="1156">
        <f>H7+G7</f>
        <v>15033.640000000001</v>
      </c>
      <c r="J7" s="1156">
        <v>1902.61</v>
      </c>
      <c r="K7" s="1156">
        <v>23.77</v>
      </c>
      <c r="L7" s="1156">
        <v>344.05</v>
      </c>
      <c r="M7" s="1156">
        <f>J7+K7+L7</f>
        <v>2270.4299999999998</v>
      </c>
      <c r="N7" s="1156">
        <f>86.61+71.78+248.27</f>
        <v>406.65999999999997</v>
      </c>
      <c r="O7" s="1156">
        <f>N7+M7+I7+F7</f>
        <v>78784.679999999993</v>
      </c>
      <c r="P7" s="1156">
        <v>32254.38</v>
      </c>
      <c r="Q7" s="1156">
        <v>20001.87</v>
      </c>
      <c r="R7" s="1156">
        <v>46530.3</v>
      </c>
      <c r="S7" s="1156">
        <v>287704.5</v>
      </c>
      <c r="T7" s="1154" t="s">
        <v>1311</v>
      </c>
    </row>
    <row r="8" spans="1:20" ht="12.95" customHeight="1">
      <c r="A8" s="1185" t="s">
        <v>1420</v>
      </c>
      <c r="B8" s="967">
        <v>10372.989999999998</v>
      </c>
      <c r="C8" s="967">
        <v>26930.83</v>
      </c>
      <c r="D8" s="967">
        <v>27234.410000000003</v>
      </c>
      <c r="E8" s="967">
        <v>5043.63</v>
      </c>
      <c r="F8" s="967">
        <v>69581.86</v>
      </c>
      <c r="G8" s="967">
        <v>3202.32</v>
      </c>
      <c r="H8" s="967">
        <v>15495.210000000001</v>
      </c>
      <c r="I8" s="967">
        <v>18697.530000000002</v>
      </c>
      <c r="J8" s="967">
        <v>1366.67</v>
      </c>
      <c r="K8" s="967">
        <v>47.739999999999995</v>
      </c>
      <c r="L8" s="967">
        <v>471.64</v>
      </c>
      <c r="M8" s="967">
        <v>1886.05</v>
      </c>
      <c r="N8" s="967">
        <v>176.94</v>
      </c>
      <c r="O8" s="967">
        <v>90342.38</v>
      </c>
      <c r="P8" s="967">
        <v>40402.92</v>
      </c>
      <c r="Q8" s="967">
        <v>24896.420000000002</v>
      </c>
      <c r="R8" s="967">
        <v>49939.46</v>
      </c>
      <c r="S8" s="967">
        <v>287704.45</v>
      </c>
      <c r="T8" s="1186" t="s">
        <v>1420</v>
      </c>
    </row>
    <row r="9" spans="1:20" ht="12.95" customHeight="1">
      <c r="A9" s="1164" t="s">
        <v>1502</v>
      </c>
      <c r="B9" s="966">
        <v>8491.06</v>
      </c>
      <c r="C9" s="966">
        <v>16756.449999999997</v>
      </c>
      <c r="D9" s="966">
        <v>13843.539999999999</v>
      </c>
      <c r="E9" s="966">
        <v>4590.7800000000007</v>
      </c>
      <c r="F9" s="966">
        <v>43681.829999999994</v>
      </c>
      <c r="G9" s="966">
        <v>3009.92</v>
      </c>
      <c r="H9" s="966">
        <v>18637.46</v>
      </c>
      <c r="I9" s="966">
        <v>21647.38</v>
      </c>
      <c r="J9" s="966">
        <v>1341.26</v>
      </c>
      <c r="K9" s="966">
        <v>29.64</v>
      </c>
      <c r="L9" s="966">
        <v>249.21999999999997</v>
      </c>
      <c r="M9" s="966">
        <v>1620.1200000000001</v>
      </c>
      <c r="N9" s="966">
        <v>178.43</v>
      </c>
      <c r="O9" s="966">
        <v>67127.759999999995</v>
      </c>
      <c r="P9" s="966">
        <v>52699.41</v>
      </c>
      <c r="Q9" s="966">
        <v>28105.119999999999</v>
      </c>
      <c r="R9" s="966">
        <v>14428.349999999999</v>
      </c>
      <c r="S9" s="966">
        <v>302132.96999999997</v>
      </c>
      <c r="T9" s="1316" t="s">
        <v>1502</v>
      </c>
    </row>
    <row r="10" spans="1:20" s="735" customFormat="1" ht="12.95" customHeight="1">
      <c r="A10" s="970" t="s">
        <v>1555</v>
      </c>
      <c r="B10" s="967">
        <v>9550.2400000000016</v>
      </c>
      <c r="C10" s="967">
        <v>42794.799999999988</v>
      </c>
      <c r="D10" s="967">
        <v>31518.37999999999</v>
      </c>
      <c r="E10" s="967">
        <v>7403.1</v>
      </c>
      <c r="F10" s="967">
        <v>91266.52</v>
      </c>
      <c r="G10" s="967">
        <v>1963.54</v>
      </c>
      <c r="H10" s="967">
        <v>16981.04</v>
      </c>
      <c r="I10" s="967">
        <v>18944.579999999998</v>
      </c>
      <c r="J10" s="967">
        <v>1566</v>
      </c>
      <c r="K10" s="967">
        <v>22.839999999999996</v>
      </c>
      <c r="L10" s="967">
        <v>180.29999999999998</v>
      </c>
      <c r="M10" s="967">
        <v>1769.1399999999999</v>
      </c>
      <c r="N10" s="967">
        <v>208.04</v>
      </c>
      <c r="O10" s="967">
        <v>112188.27999999997</v>
      </c>
      <c r="P10" s="967">
        <v>70174.210000000006</v>
      </c>
      <c r="Q10" s="967">
        <v>35087.29</v>
      </c>
      <c r="R10" s="967">
        <v>42014.069999999992</v>
      </c>
      <c r="S10" s="967">
        <v>344143.94</v>
      </c>
      <c r="T10" s="973" t="s">
        <v>1555</v>
      </c>
    </row>
    <row r="11" spans="1:20" s="735" customFormat="1" ht="12.95" customHeight="1">
      <c r="A11" s="969" t="s">
        <v>1836</v>
      </c>
      <c r="B11" s="526">
        <v>9366.43</v>
      </c>
      <c r="C11" s="526">
        <v>53146.05</v>
      </c>
      <c r="D11" s="526">
        <v>32999.51</v>
      </c>
      <c r="E11" s="526">
        <v>8140.11</v>
      </c>
      <c r="F11" s="526">
        <v>103652.1</v>
      </c>
      <c r="G11" s="526">
        <v>476.28000000000003</v>
      </c>
      <c r="H11" s="526">
        <v>2742.31</v>
      </c>
      <c r="I11" s="526">
        <v>3218.59</v>
      </c>
      <c r="J11" s="526">
        <v>866.29000000000008</v>
      </c>
      <c r="K11" s="526">
        <v>15.03</v>
      </c>
      <c r="L11" s="526">
        <v>101.71</v>
      </c>
      <c r="M11" s="526">
        <v>983.03000000000009</v>
      </c>
      <c r="N11" s="526">
        <v>208.49</v>
      </c>
      <c r="O11" s="526">
        <v>108062.20999999999</v>
      </c>
      <c r="P11" s="526">
        <v>88155.1</v>
      </c>
      <c r="Q11" s="526">
        <v>40008.300000000003</v>
      </c>
      <c r="R11" s="526">
        <v>19907.11</v>
      </c>
      <c r="S11" s="526">
        <v>364051.04999999993</v>
      </c>
      <c r="T11" s="972" t="s">
        <v>1836</v>
      </c>
    </row>
    <row r="12" spans="1:20" ht="12.95" customHeight="1">
      <c r="A12" s="968" t="s">
        <v>2088</v>
      </c>
      <c r="B12" s="1442">
        <v>4398.8500000000004</v>
      </c>
      <c r="C12" s="1442">
        <v>38117.1</v>
      </c>
      <c r="D12" s="1442">
        <v>24674.29</v>
      </c>
      <c r="E12" s="1442">
        <v>7424.8499999999995</v>
      </c>
      <c r="F12" s="1442">
        <v>74615.090000000011</v>
      </c>
      <c r="G12" s="1442">
        <v>514.68999999999994</v>
      </c>
      <c r="H12" s="1442">
        <v>4324.3</v>
      </c>
      <c r="I12" s="1442">
        <v>4838.99</v>
      </c>
      <c r="J12" s="1442">
        <v>707.97</v>
      </c>
      <c r="K12" s="1442">
        <v>91.539999999999978</v>
      </c>
      <c r="L12" s="1442">
        <v>373</v>
      </c>
      <c r="M12" s="1442">
        <v>1172.5100000000002</v>
      </c>
      <c r="N12" s="1442">
        <v>232.01999999999998</v>
      </c>
      <c r="O12" s="1442">
        <v>80858.61</v>
      </c>
      <c r="P12" s="1442">
        <v>84154.565099999993</v>
      </c>
      <c r="Q12" s="1442">
        <v>44799.746200000001</v>
      </c>
      <c r="R12" s="1442">
        <v>-3295.9550999999992</v>
      </c>
      <c r="S12" s="1442">
        <v>360755.09489999997</v>
      </c>
      <c r="T12" s="971" t="s">
        <v>2088</v>
      </c>
    </row>
    <row r="13" spans="1:20" s="180" customFormat="1" ht="12.95" customHeight="1">
      <c r="A13" s="974" t="s">
        <v>2234</v>
      </c>
      <c r="B13" s="1441">
        <f>SUM(B14:B25)</f>
        <v>3358.3900000000003</v>
      </c>
      <c r="C13" s="1441">
        <f t="shared" ref="C13:R13" si="0">SUM(C14:C25)</f>
        <v>34663.94</v>
      </c>
      <c r="D13" s="1441">
        <f t="shared" si="0"/>
        <v>28057.190000000002</v>
      </c>
      <c r="E13" s="1441">
        <f t="shared" si="0"/>
        <v>6662.5099999999993</v>
      </c>
      <c r="F13" s="1441">
        <f t="shared" si="0"/>
        <v>72742.029999999984</v>
      </c>
      <c r="G13" s="1441">
        <f t="shared" si="0"/>
        <v>474.17000000000007</v>
      </c>
      <c r="H13" s="1441">
        <f t="shared" si="0"/>
        <v>4286.53</v>
      </c>
      <c r="I13" s="1441">
        <f t="shared" si="0"/>
        <v>4760.7</v>
      </c>
      <c r="J13" s="1441">
        <f t="shared" si="0"/>
        <v>713.14</v>
      </c>
      <c r="K13" s="1441">
        <f t="shared" si="0"/>
        <v>59.61</v>
      </c>
      <c r="L13" s="1441">
        <f t="shared" si="0"/>
        <v>334.13000000000005</v>
      </c>
      <c r="M13" s="1441">
        <f t="shared" si="0"/>
        <v>1106.8800000000001</v>
      </c>
      <c r="N13" s="1441">
        <f t="shared" si="0"/>
        <v>238.34</v>
      </c>
      <c r="O13" s="1441">
        <f t="shared" si="0"/>
        <v>78847.95</v>
      </c>
      <c r="P13" s="1441">
        <f t="shared" si="0"/>
        <v>99972.32</v>
      </c>
      <c r="Q13" s="1441">
        <f t="shared" si="0"/>
        <v>46258.990000000005</v>
      </c>
      <c r="R13" s="1441">
        <f t="shared" si="0"/>
        <v>-21124.370000000003</v>
      </c>
      <c r="S13" s="1441">
        <f>S25</f>
        <v>339630.72000000003</v>
      </c>
      <c r="T13" s="975" t="s">
        <v>2234</v>
      </c>
    </row>
    <row r="14" spans="1:20" ht="12.95" customHeight="1">
      <c r="A14" s="970" t="s">
        <v>559</v>
      </c>
      <c r="B14" s="967">
        <v>358.31</v>
      </c>
      <c r="C14" s="967">
        <v>3449.09</v>
      </c>
      <c r="D14" s="967">
        <v>2754.65</v>
      </c>
      <c r="E14" s="967">
        <v>623.54999999999995</v>
      </c>
      <c r="F14" s="967">
        <f t="shared" ref="F14:F44" si="1">E14+D14+C14+B14</f>
        <v>7185.6</v>
      </c>
      <c r="G14" s="967">
        <v>60.96</v>
      </c>
      <c r="H14" s="967">
        <v>478.23</v>
      </c>
      <c r="I14" s="967">
        <f t="shared" ref="I14:I44" si="2">G14+H14</f>
        <v>539.19000000000005</v>
      </c>
      <c r="J14" s="967">
        <v>84.83</v>
      </c>
      <c r="K14" s="967">
        <v>6.34</v>
      </c>
      <c r="L14" s="967">
        <v>21.44</v>
      </c>
      <c r="M14" s="967">
        <f t="shared" ref="M14:M44" si="3">J14+K14+L14</f>
        <v>112.61</v>
      </c>
      <c r="N14" s="967">
        <f>13.45+9.81</f>
        <v>23.259999999999998</v>
      </c>
      <c r="O14" s="967">
        <f t="shared" ref="O14:O44" si="4">F14+I14+N14+M14</f>
        <v>7860.6600000000008</v>
      </c>
      <c r="P14" s="967">
        <v>8208.24</v>
      </c>
      <c r="Q14" s="967">
        <v>3996.7</v>
      </c>
      <c r="R14" s="967">
        <f t="shared" ref="R14:R15" si="5">O14-P14</f>
        <v>-347.57999999999902</v>
      </c>
      <c r="S14" s="967">
        <f>R14+360755.09</f>
        <v>360407.51</v>
      </c>
      <c r="T14" s="973" t="s">
        <v>559</v>
      </c>
    </row>
    <row r="15" spans="1:20" ht="12.95" customHeight="1">
      <c r="A15" s="969" t="s">
        <v>560</v>
      </c>
      <c r="B15" s="966">
        <v>292.5</v>
      </c>
      <c r="C15" s="966">
        <v>3101.37</v>
      </c>
      <c r="D15" s="966">
        <v>2482.63</v>
      </c>
      <c r="E15" s="966">
        <v>585.36</v>
      </c>
      <c r="F15" s="966">
        <f t="shared" si="1"/>
        <v>6461.8600000000006</v>
      </c>
      <c r="G15" s="966">
        <v>47.04</v>
      </c>
      <c r="H15" s="966">
        <v>393.87</v>
      </c>
      <c r="I15" s="966">
        <f t="shared" si="2"/>
        <v>440.91</v>
      </c>
      <c r="J15" s="966">
        <v>70.14</v>
      </c>
      <c r="K15" s="966">
        <v>6.27</v>
      </c>
      <c r="L15" s="966">
        <v>38.869999999999997</v>
      </c>
      <c r="M15" s="966">
        <f t="shared" si="3"/>
        <v>115.28</v>
      </c>
      <c r="N15" s="966">
        <f>13.27+18.28</f>
        <v>31.55</v>
      </c>
      <c r="O15" s="966">
        <f t="shared" si="4"/>
        <v>7049.6</v>
      </c>
      <c r="P15" s="966">
        <v>7819.11</v>
      </c>
      <c r="Q15" s="966">
        <v>3496.48</v>
      </c>
      <c r="R15" s="966">
        <f t="shared" si="5"/>
        <v>-769.50999999999931</v>
      </c>
      <c r="S15" s="966">
        <f>R15+S14</f>
        <v>359638</v>
      </c>
      <c r="T15" s="972" t="s">
        <v>560</v>
      </c>
    </row>
    <row r="16" spans="1:20" ht="12.95" customHeight="1">
      <c r="A16" s="970" t="s">
        <v>554</v>
      </c>
      <c r="B16" s="967">
        <v>250.49</v>
      </c>
      <c r="C16" s="967">
        <v>3019.57</v>
      </c>
      <c r="D16" s="967">
        <v>2408.44</v>
      </c>
      <c r="E16" s="967">
        <v>553.4</v>
      </c>
      <c r="F16" s="967">
        <f t="shared" si="1"/>
        <v>6231.9</v>
      </c>
      <c r="G16" s="967">
        <v>38.9</v>
      </c>
      <c r="H16" s="967">
        <v>360.96</v>
      </c>
      <c r="I16" s="967">
        <f t="shared" si="2"/>
        <v>399.85999999999996</v>
      </c>
      <c r="J16" s="967">
        <v>51.35</v>
      </c>
      <c r="K16" s="967">
        <v>0.64</v>
      </c>
      <c r="L16" s="967">
        <v>49.14</v>
      </c>
      <c r="M16" s="967">
        <f t="shared" si="3"/>
        <v>101.13</v>
      </c>
      <c r="N16" s="967">
        <f>9.6+3.3</f>
        <v>12.899999999999999</v>
      </c>
      <c r="O16" s="967">
        <f t="shared" si="4"/>
        <v>6745.7899999999991</v>
      </c>
      <c r="P16" s="967">
        <v>6893.64</v>
      </c>
      <c r="Q16" s="967">
        <v>3340.18</v>
      </c>
      <c r="R16" s="967">
        <f>O16-P16</f>
        <v>-147.85000000000127</v>
      </c>
      <c r="S16" s="967">
        <f t="shared" ref="S16:S20" si="6">R16+S15</f>
        <v>359490.15</v>
      </c>
      <c r="T16" s="973" t="s">
        <v>554</v>
      </c>
    </row>
    <row r="17" spans="1:20" ht="12.95" customHeight="1">
      <c r="A17" s="969" t="s">
        <v>561</v>
      </c>
      <c r="B17" s="966">
        <v>263.41000000000003</v>
      </c>
      <c r="C17" s="966">
        <v>3316.35</v>
      </c>
      <c r="D17" s="966">
        <v>2672.5</v>
      </c>
      <c r="E17" s="966">
        <v>610.37</v>
      </c>
      <c r="F17" s="966">
        <f t="shared" si="1"/>
        <v>6862.6299999999992</v>
      </c>
      <c r="G17" s="966">
        <v>50.93</v>
      </c>
      <c r="H17" s="966">
        <v>378.86</v>
      </c>
      <c r="I17" s="966">
        <f t="shared" si="2"/>
        <v>429.79</v>
      </c>
      <c r="J17" s="966">
        <v>68.290000000000006</v>
      </c>
      <c r="K17" s="966">
        <v>4.82</v>
      </c>
      <c r="L17" s="966">
        <v>34.67</v>
      </c>
      <c r="M17" s="966">
        <f t="shared" si="3"/>
        <v>107.78000000000002</v>
      </c>
      <c r="N17" s="966">
        <f>13.44+6.38</f>
        <v>19.82</v>
      </c>
      <c r="O17" s="966">
        <f t="shared" si="4"/>
        <v>7420.0199999999986</v>
      </c>
      <c r="P17" s="966">
        <v>8460.18</v>
      </c>
      <c r="Q17" s="966">
        <v>3952.95</v>
      </c>
      <c r="R17" s="966">
        <f t="shared" ref="R17:R25" si="7">O17-P17</f>
        <v>-1040.1600000000017</v>
      </c>
      <c r="S17" s="966">
        <f t="shared" si="6"/>
        <v>358449.99000000005</v>
      </c>
      <c r="T17" s="972" t="s">
        <v>561</v>
      </c>
    </row>
    <row r="18" spans="1:20" ht="12.95" customHeight="1">
      <c r="A18" s="970" t="s">
        <v>562</v>
      </c>
      <c r="B18" s="967">
        <v>244.8</v>
      </c>
      <c r="C18" s="967">
        <v>3060.36</v>
      </c>
      <c r="D18" s="967">
        <v>2405.65</v>
      </c>
      <c r="E18" s="967">
        <v>587.04</v>
      </c>
      <c r="F18" s="967">
        <f t="shared" si="1"/>
        <v>6297.85</v>
      </c>
      <c r="G18" s="967">
        <v>36.090000000000003</v>
      </c>
      <c r="H18" s="967">
        <v>342.53</v>
      </c>
      <c r="I18" s="967">
        <f t="shared" si="2"/>
        <v>378.62</v>
      </c>
      <c r="J18" s="967">
        <v>56.17</v>
      </c>
      <c r="K18" s="967">
        <v>1.04</v>
      </c>
      <c r="L18" s="967">
        <v>36.409999999999997</v>
      </c>
      <c r="M18" s="967">
        <f t="shared" si="3"/>
        <v>93.62</v>
      </c>
      <c r="N18" s="967">
        <f>9.17+15.14</f>
        <v>24.310000000000002</v>
      </c>
      <c r="O18" s="967">
        <f t="shared" si="4"/>
        <v>6794.4000000000005</v>
      </c>
      <c r="P18" s="967">
        <v>8348.2000000000007</v>
      </c>
      <c r="Q18" s="967">
        <v>3841.48</v>
      </c>
      <c r="R18" s="967">
        <f t="shared" si="7"/>
        <v>-1553.8000000000002</v>
      </c>
      <c r="S18" s="967">
        <f t="shared" si="6"/>
        <v>356896.19000000006</v>
      </c>
      <c r="T18" s="973" t="s">
        <v>562</v>
      </c>
    </row>
    <row r="19" spans="1:20" ht="12.95" customHeight="1">
      <c r="A19" s="969" t="s">
        <v>555</v>
      </c>
      <c r="B19" s="966">
        <v>226.75</v>
      </c>
      <c r="C19" s="966">
        <v>2429.56</v>
      </c>
      <c r="D19" s="966">
        <v>1894.73</v>
      </c>
      <c r="E19" s="966">
        <v>419.66</v>
      </c>
      <c r="F19" s="966">
        <f t="shared" si="1"/>
        <v>4970.7</v>
      </c>
      <c r="G19" s="966">
        <v>39.07</v>
      </c>
      <c r="H19" s="966">
        <v>327.3</v>
      </c>
      <c r="I19" s="966">
        <f t="shared" si="2"/>
        <v>366.37</v>
      </c>
      <c r="J19" s="966">
        <v>47.77</v>
      </c>
      <c r="K19" s="966">
        <v>1.62</v>
      </c>
      <c r="L19" s="966">
        <v>20</v>
      </c>
      <c r="M19" s="966">
        <f t="shared" si="3"/>
        <v>69.39</v>
      </c>
      <c r="N19" s="966">
        <f>9.72+3.91</f>
        <v>13.63</v>
      </c>
      <c r="O19" s="966">
        <f t="shared" si="4"/>
        <v>5420.09</v>
      </c>
      <c r="P19" s="966">
        <v>7624.41</v>
      </c>
      <c r="Q19" s="966">
        <v>3839.63</v>
      </c>
      <c r="R19" s="966">
        <f t="shared" si="7"/>
        <v>-2204.3199999999997</v>
      </c>
      <c r="S19" s="966">
        <f t="shared" si="6"/>
        <v>354691.87000000005</v>
      </c>
      <c r="T19" s="972" t="s">
        <v>555</v>
      </c>
    </row>
    <row r="20" spans="1:20" s="1371" customFormat="1" ht="12.95" customHeight="1">
      <c r="A20" s="970" t="s">
        <v>563</v>
      </c>
      <c r="B20" s="967">
        <v>297.42</v>
      </c>
      <c r="C20" s="967">
        <v>3546.06</v>
      </c>
      <c r="D20" s="967">
        <v>2789.87</v>
      </c>
      <c r="E20" s="967">
        <v>746.49</v>
      </c>
      <c r="F20" s="967">
        <f t="shared" si="1"/>
        <v>7379.84</v>
      </c>
      <c r="G20" s="967">
        <v>42.5</v>
      </c>
      <c r="H20" s="967">
        <v>419.77</v>
      </c>
      <c r="I20" s="967">
        <f t="shared" si="2"/>
        <v>462.27</v>
      </c>
      <c r="J20" s="967">
        <v>71.3</v>
      </c>
      <c r="K20" s="967">
        <v>5.37</v>
      </c>
      <c r="L20" s="967">
        <v>24.93</v>
      </c>
      <c r="M20" s="967">
        <f t="shared" si="3"/>
        <v>101.6</v>
      </c>
      <c r="N20" s="967">
        <v>20.190000000000001</v>
      </c>
      <c r="O20" s="967">
        <f t="shared" si="4"/>
        <v>7963.9000000000005</v>
      </c>
      <c r="P20" s="967">
        <v>9251</v>
      </c>
      <c r="Q20" s="967">
        <v>4047.53</v>
      </c>
      <c r="R20" s="967">
        <f t="shared" si="7"/>
        <v>-1287.0999999999995</v>
      </c>
      <c r="S20" s="967">
        <f t="shared" si="6"/>
        <v>353404.77000000008</v>
      </c>
      <c r="T20" s="973" t="s">
        <v>563</v>
      </c>
    </row>
    <row r="21" spans="1:20" ht="12.95" customHeight="1">
      <c r="A21" s="969" t="s">
        <v>564</v>
      </c>
      <c r="B21" s="966">
        <v>226.55</v>
      </c>
      <c r="C21" s="966">
        <v>2949.43</v>
      </c>
      <c r="D21" s="966">
        <v>2385.8200000000002</v>
      </c>
      <c r="E21" s="966">
        <v>643.37</v>
      </c>
      <c r="F21" s="966">
        <f t="shared" si="1"/>
        <v>6205.17</v>
      </c>
      <c r="G21" s="966">
        <v>34.369999999999997</v>
      </c>
      <c r="H21" s="966">
        <v>359.59</v>
      </c>
      <c r="I21" s="966">
        <f t="shared" si="2"/>
        <v>393.96</v>
      </c>
      <c r="J21" s="966">
        <v>46.52</v>
      </c>
      <c r="K21" s="966">
        <v>5.25</v>
      </c>
      <c r="L21" s="966">
        <v>14.9</v>
      </c>
      <c r="M21" s="966">
        <f t="shared" si="3"/>
        <v>66.67</v>
      </c>
      <c r="N21" s="966">
        <f>9.92+16.04</f>
        <v>25.96</v>
      </c>
      <c r="O21" s="966">
        <f t="shared" si="4"/>
        <v>6691.76</v>
      </c>
      <c r="P21" s="966">
        <v>8233.2000000000007</v>
      </c>
      <c r="Q21" s="966">
        <v>3830.29</v>
      </c>
      <c r="R21" s="966">
        <f t="shared" si="7"/>
        <v>-1541.4400000000005</v>
      </c>
      <c r="S21" s="966">
        <f>R21+S20</f>
        <v>351863.33000000007</v>
      </c>
      <c r="T21" s="972" t="s">
        <v>564</v>
      </c>
    </row>
    <row r="22" spans="1:20" ht="12.95" customHeight="1">
      <c r="A22" s="970" t="s">
        <v>556</v>
      </c>
      <c r="B22" s="967">
        <v>223.49</v>
      </c>
      <c r="C22" s="967">
        <v>2831.71</v>
      </c>
      <c r="D22" s="967">
        <v>2215.6</v>
      </c>
      <c r="E22" s="967">
        <v>552.85</v>
      </c>
      <c r="F22" s="967">
        <f t="shared" si="1"/>
        <v>5823.65</v>
      </c>
      <c r="G22" s="967">
        <v>31.12</v>
      </c>
      <c r="H22" s="967">
        <v>321.60000000000002</v>
      </c>
      <c r="I22" s="967">
        <f t="shared" si="2"/>
        <v>352.72</v>
      </c>
      <c r="J22" s="967">
        <v>63.79</v>
      </c>
      <c r="K22" s="967">
        <v>12.4</v>
      </c>
      <c r="L22" s="967">
        <v>25.13</v>
      </c>
      <c r="M22" s="967">
        <f t="shared" si="3"/>
        <v>101.32</v>
      </c>
      <c r="N22" s="967">
        <f>10.38+3.13</f>
        <v>13.510000000000002</v>
      </c>
      <c r="O22" s="967">
        <f t="shared" si="4"/>
        <v>6291.2</v>
      </c>
      <c r="P22" s="967">
        <v>9944.4699999999993</v>
      </c>
      <c r="Q22" s="967">
        <v>3868.82</v>
      </c>
      <c r="R22" s="967">
        <f t="shared" si="7"/>
        <v>-3653.2699999999995</v>
      </c>
      <c r="S22" s="967">
        <f>R22+S21</f>
        <v>348210.06000000006</v>
      </c>
      <c r="T22" s="973" t="s">
        <v>556</v>
      </c>
    </row>
    <row r="23" spans="1:20" ht="12.95" customHeight="1">
      <c r="A23" s="969" t="s">
        <v>565</v>
      </c>
      <c r="B23" s="966">
        <v>199.16</v>
      </c>
      <c r="C23" s="966">
        <v>2339.5500000000002</v>
      </c>
      <c r="D23" s="966">
        <v>1830.57</v>
      </c>
      <c r="E23" s="966">
        <v>469.94</v>
      </c>
      <c r="F23" s="966">
        <f t="shared" si="1"/>
        <v>4839.2199999999993</v>
      </c>
      <c r="G23" s="966">
        <v>34.479999999999997</v>
      </c>
      <c r="H23" s="966">
        <v>329.82</v>
      </c>
      <c r="I23" s="966">
        <f t="shared" si="2"/>
        <v>364.3</v>
      </c>
      <c r="J23" s="966">
        <v>44.58</v>
      </c>
      <c r="K23" s="966">
        <v>3.48</v>
      </c>
      <c r="L23" s="966">
        <v>29.5</v>
      </c>
      <c r="M23" s="966">
        <f t="shared" si="3"/>
        <v>77.56</v>
      </c>
      <c r="N23" s="966">
        <f>10.21+3.84</f>
        <v>14.05</v>
      </c>
      <c r="O23" s="966">
        <f t="shared" si="4"/>
        <v>5295.13</v>
      </c>
      <c r="P23" s="966">
        <v>7398.33</v>
      </c>
      <c r="Q23" s="966">
        <v>3914.98</v>
      </c>
      <c r="R23" s="966">
        <f t="shared" si="7"/>
        <v>-2103.1999999999998</v>
      </c>
      <c r="S23" s="966">
        <f>R23+S22</f>
        <v>346106.86000000004</v>
      </c>
      <c r="T23" s="972" t="s">
        <v>565</v>
      </c>
    </row>
    <row r="24" spans="1:20" ht="12.95" customHeight="1">
      <c r="A24" s="970" t="s">
        <v>566</v>
      </c>
      <c r="B24" s="967">
        <v>269.13</v>
      </c>
      <c r="C24" s="967">
        <v>2545.5300000000002</v>
      </c>
      <c r="D24" s="967">
        <v>1884.49</v>
      </c>
      <c r="E24" s="967">
        <v>470.29</v>
      </c>
      <c r="F24" s="967">
        <f t="shared" si="1"/>
        <v>5169.4400000000005</v>
      </c>
      <c r="G24" s="967">
        <v>32.6</v>
      </c>
      <c r="H24" s="967">
        <v>308.81</v>
      </c>
      <c r="I24" s="967">
        <f t="shared" si="2"/>
        <v>341.41</v>
      </c>
      <c r="J24" s="967">
        <v>65.099999999999994</v>
      </c>
      <c r="K24" s="967">
        <v>10.3</v>
      </c>
      <c r="L24" s="967">
        <v>19.54</v>
      </c>
      <c r="M24" s="967">
        <f t="shared" si="3"/>
        <v>94.94</v>
      </c>
      <c r="N24" s="967">
        <f>16.98+10.52</f>
        <v>27.5</v>
      </c>
      <c r="O24" s="967">
        <f t="shared" si="4"/>
        <v>5633.29</v>
      </c>
      <c r="P24" s="967">
        <v>8728</v>
      </c>
      <c r="Q24" s="967">
        <v>4021.93</v>
      </c>
      <c r="R24" s="967">
        <f t="shared" si="7"/>
        <v>-3094.71</v>
      </c>
      <c r="S24" s="967">
        <f>R24+S23</f>
        <v>343012.15</v>
      </c>
      <c r="T24" s="973" t="s">
        <v>566</v>
      </c>
    </row>
    <row r="25" spans="1:20" ht="12.95" customHeight="1">
      <c r="A25" s="969" t="s">
        <v>557</v>
      </c>
      <c r="B25" s="966">
        <v>506.38</v>
      </c>
      <c r="C25" s="966">
        <v>2075.36</v>
      </c>
      <c r="D25" s="966">
        <v>2332.2399999999998</v>
      </c>
      <c r="E25" s="966">
        <v>400.19</v>
      </c>
      <c r="F25" s="966">
        <f t="shared" si="1"/>
        <v>5314.17</v>
      </c>
      <c r="G25" s="966">
        <v>26.11</v>
      </c>
      <c r="H25" s="966">
        <v>265.19</v>
      </c>
      <c r="I25" s="966">
        <f t="shared" si="2"/>
        <v>291.3</v>
      </c>
      <c r="J25" s="966">
        <v>43.3</v>
      </c>
      <c r="K25" s="966">
        <v>2.08</v>
      </c>
      <c r="L25" s="966">
        <v>19.600000000000001</v>
      </c>
      <c r="M25" s="966">
        <f t="shared" si="3"/>
        <v>64.97999999999999</v>
      </c>
      <c r="N25" s="966">
        <f>9.66+2</f>
        <v>11.66</v>
      </c>
      <c r="O25" s="966">
        <f t="shared" si="4"/>
        <v>5682.11</v>
      </c>
      <c r="P25" s="966">
        <v>9063.5400000000009</v>
      </c>
      <c r="Q25" s="966">
        <v>4108.0200000000004</v>
      </c>
      <c r="R25" s="966">
        <f t="shared" si="7"/>
        <v>-3381.4300000000012</v>
      </c>
      <c r="S25" s="966">
        <f>R25+S24</f>
        <v>339630.72000000003</v>
      </c>
      <c r="T25" s="972" t="s">
        <v>557</v>
      </c>
    </row>
    <row r="26" spans="1:20" ht="12.95" customHeight="1">
      <c r="A26" s="968" t="s">
        <v>2535</v>
      </c>
      <c r="B26" s="1442">
        <f>SUM(B27:B38)</f>
        <v>2777.3799999999997</v>
      </c>
      <c r="C26" s="1442">
        <f t="shared" ref="C26:N26" si="8">SUM(C27:C38)</f>
        <v>28795.529999999995</v>
      </c>
      <c r="D26" s="1442">
        <f t="shared" si="8"/>
        <v>25057.58</v>
      </c>
      <c r="E26" s="1442">
        <f t="shared" si="8"/>
        <v>7030.2400000000007</v>
      </c>
      <c r="F26" s="1442">
        <f t="shared" si="8"/>
        <v>63660.729999999996</v>
      </c>
      <c r="G26" s="1442">
        <f t="shared" si="8"/>
        <v>351.95999999999992</v>
      </c>
      <c r="H26" s="1442">
        <f t="shared" si="8"/>
        <v>2930.74</v>
      </c>
      <c r="I26" s="1442">
        <f t="shared" si="8"/>
        <v>3282.7000000000007</v>
      </c>
      <c r="J26" s="1442">
        <f t="shared" si="8"/>
        <v>950.00999999999988</v>
      </c>
      <c r="K26" s="1442">
        <f t="shared" si="8"/>
        <v>72.75</v>
      </c>
      <c r="L26" s="1442">
        <f t="shared" si="8"/>
        <v>228.10000000000002</v>
      </c>
      <c r="M26" s="1442">
        <f t="shared" si="8"/>
        <v>1250.8599999999999</v>
      </c>
      <c r="N26" s="1442">
        <f t="shared" si="8"/>
        <v>244.91</v>
      </c>
      <c r="O26" s="1442">
        <f>SUM(O27:O38)</f>
        <v>68439.200000000012</v>
      </c>
      <c r="P26" s="1442">
        <f t="shared" ref="P26" si="9">SUM(P27:P38)</f>
        <v>74502.540000000008</v>
      </c>
      <c r="Q26" s="1442">
        <f>SUM(Q27:Q38)</f>
        <v>22108.725000000002</v>
      </c>
      <c r="R26" s="1442">
        <f t="shared" ref="R26" si="10">SUM(R27:R38)</f>
        <v>-6063.3399999999992</v>
      </c>
      <c r="S26" s="1442">
        <f>S38</f>
        <v>333567.38</v>
      </c>
      <c r="T26" s="971" t="s">
        <v>2535</v>
      </c>
    </row>
    <row r="27" spans="1:20" ht="12.95" customHeight="1">
      <c r="A27" s="969" t="s">
        <v>559</v>
      </c>
      <c r="B27" s="966">
        <v>200.56</v>
      </c>
      <c r="C27" s="966">
        <v>2071.6999999999998</v>
      </c>
      <c r="D27" s="966">
        <v>1710.27</v>
      </c>
      <c r="E27" s="966">
        <v>424.92</v>
      </c>
      <c r="F27" s="966">
        <f t="shared" si="1"/>
        <v>4407.45</v>
      </c>
      <c r="G27" s="966">
        <v>37.799999999999997</v>
      </c>
      <c r="H27" s="966">
        <v>347.24</v>
      </c>
      <c r="I27" s="966">
        <f t="shared" si="2"/>
        <v>385.04</v>
      </c>
      <c r="J27" s="966">
        <v>76.739999999999995</v>
      </c>
      <c r="K27" s="966">
        <v>6.62</v>
      </c>
      <c r="L27" s="966">
        <v>19.079999999999998</v>
      </c>
      <c r="M27" s="966">
        <f t="shared" si="3"/>
        <v>102.44</v>
      </c>
      <c r="N27" s="966">
        <f>11.84+4.8</f>
        <v>16.64</v>
      </c>
      <c r="O27" s="966">
        <f t="shared" si="4"/>
        <v>4911.57</v>
      </c>
      <c r="P27" s="966">
        <v>2724.01</v>
      </c>
      <c r="Q27" s="966">
        <v>1234.8599999999999</v>
      </c>
      <c r="R27" s="966">
        <f t="shared" ref="R27:R36" si="11">O27-P27</f>
        <v>2187.5599999999995</v>
      </c>
      <c r="S27" s="966">
        <f>R27+339630.72</f>
        <v>341818.27999999997</v>
      </c>
      <c r="T27" s="972" t="s">
        <v>559</v>
      </c>
    </row>
    <row r="28" spans="1:20" ht="12.95" customHeight="1">
      <c r="A28" s="970" t="s">
        <v>560</v>
      </c>
      <c r="B28" s="967">
        <v>134.33000000000001</v>
      </c>
      <c r="C28" s="967">
        <v>1709.39</v>
      </c>
      <c r="D28" s="967">
        <v>1510.27</v>
      </c>
      <c r="E28" s="967">
        <v>426.05</v>
      </c>
      <c r="F28" s="967">
        <f t="shared" si="1"/>
        <v>3780.04</v>
      </c>
      <c r="G28" s="967">
        <v>28.13</v>
      </c>
      <c r="H28" s="967">
        <v>198.9</v>
      </c>
      <c r="I28" s="967">
        <f t="shared" si="2"/>
        <v>227.03</v>
      </c>
      <c r="J28" s="967">
        <v>48.26</v>
      </c>
      <c r="K28" s="967">
        <v>15.25</v>
      </c>
      <c r="L28" s="967">
        <v>14.46</v>
      </c>
      <c r="M28" s="967">
        <f t="shared" si="3"/>
        <v>77.97</v>
      </c>
      <c r="N28" s="967">
        <f>11.88+15.57</f>
        <v>27.450000000000003</v>
      </c>
      <c r="O28" s="967">
        <f t="shared" si="4"/>
        <v>4112.49</v>
      </c>
      <c r="P28" s="967">
        <v>2076.34</v>
      </c>
      <c r="Q28" s="967">
        <v>900.06</v>
      </c>
      <c r="R28" s="967">
        <f t="shared" si="11"/>
        <v>2036.1499999999996</v>
      </c>
      <c r="S28" s="967">
        <f>R28+S27</f>
        <v>343854.43</v>
      </c>
      <c r="T28" s="973" t="s">
        <v>560</v>
      </c>
    </row>
    <row r="29" spans="1:20" ht="12.95" customHeight="1">
      <c r="A29" s="969" t="s">
        <v>554</v>
      </c>
      <c r="B29" s="966">
        <v>189.29</v>
      </c>
      <c r="C29" s="966">
        <v>2536.94</v>
      </c>
      <c r="D29" s="966">
        <v>2261.84</v>
      </c>
      <c r="E29" s="966">
        <v>548.47</v>
      </c>
      <c r="F29" s="966">
        <f t="shared" si="1"/>
        <v>5536.54</v>
      </c>
      <c r="G29" s="966">
        <v>37.659999999999997</v>
      </c>
      <c r="H29" s="966">
        <v>292.37</v>
      </c>
      <c r="I29" s="966">
        <f t="shared" si="2"/>
        <v>330.03</v>
      </c>
      <c r="J29" s="966">
        <v>71.010000000000005</v>
      </c>
      <c r="K29" s="966">
        <v>5.27</v>
      </c>
      <c r="L29" s="966">
        <v>6.04</v>
      </c>
      <c r="M29" s="966">
        <f t="shared" si="3"/>
        <v>82.320000000000007</v>
      </c>
      <c r="N29" s="966">
        <f>14.71+4.29</f>
        <v>19</v>
      </c>
      <c r="O29" s="966">
        <f t="shared" si="4"/>
        <v>5967.8899999999994</v>
      </c>
      <c r="P29" s="966">
        <v>1858.8</v>
      </c>
      <c r="Q29" s="966">
        <v>1113.5899999999999</v>
      </c>
      <c r="R29" s="966">
        <f t="shared" si="11"/>
        <v>4109.0899999999992</v>
      </c>
      <c r="S29" s="966">
        <f>R29+S28</f>
        <v>347963.52</v>
      </c>
      <c r="T29" s="972" t="s">
        <v>554</v>
      </c>
    </row>
    <row r="30" spans="1:20" ht="12.95" customHeight="1">
      <c r="A30" s="970" t="s">
        <v>561</v>
      </c>
      <c r="B30" s="967">
        <v>173.77</v>
      </c>
      <c r="C30" s="967">
        <v>2539.63</v>
      </c>
      <c r="D30" s="967">
        <v>2175.54</v>
      </c>
      <c r="E30" s="967">
        <v>574.24</v>
      </c>
      <c r="F30" s="967">
        <f t="shared" si="1"/>
        <v>5463.18</v>
      </c>
      <c r="G30" s="967">
        <v>33.58</v>
      </c>
      <c r="H30" s="967">
        <v>276.56</v>
      </c>
      <c r="I30" s="967">
        <f t="shared" si="2"/>
        <v>310.14</v>
      </c>
      <c r="J30" s="967">
        <v>48.58</v>
      </c>
      <c r="K30" s="967">
        <v>1.95</v>
      </c>
      <c r="L30" s="967">
        <v>16.38</v>
      </c>
      <c r="M30" s="967">
        <f t="shared" si="3"/>
        <v>66.91</v>
      </c>
      <c r="N30" s="967">
        <f>12.99+5.35</f>
        <v>18.34</v>
      </c>
      <c r="O30" s="967">
        <f t="shared" si="4"/>
        <v>5858.5700000000006</v>
      </c>
      <c r="P30" s="967">
        <v>9083.5499999999993</v>
      </c>
      <c r="Q30" s="967">
        <v>893.34</v>
      </c>
      <c r="R30" s="967">
        <f t="shared" si="11"/>
        <v>-3224.9799999999987</v>
      </c>
      <c r="S30" s="967">
        <f>R30+S29</f>
        <v>344738.54000000004</v>
      </c>
      <c r="T30" s="973" t="s">
        <v>561</v>
      </c>
    </row>
    <row r="31" spans="1:20" ht="12.95" customHeight="1">
      <c r="A31" s="969" t="s">
        <v>562</v>
      </c>
      <c r="B31" s="966">
        <v>151.75</v>
      </c>
      <c r="C31" s="966">
        <v>2022.62</v>
      </c>
      <c r="D31" s="966">
        <v>1728.81</v>
      </c>
      <c r="E31" s="966">
        <v>457.66</v>
      </c>
      <c r="F31" s="966">
        <f t="shared" si="1"/>
        <v>4360.84</v>
      </c>
      <c r="G31" s="966">
        <v>28.6</v>
      </c>
      <c r="H31" s="966">
        <v>222.8</v>
      </c>
      <c r="I31" s="966">
        <f t="shared" si="2"/>
        <v>251.4</v>
      </c>
      <c r="J31" s="966">
        <v>65.56</v>
      </c>
      <c r="K31" s="966">
        <v>1.25</v>
      </c>
      <c r="L31" s="966">
        <v>12.7</v>
      </c>
      <c r="M31" s="966">
        <f t="shared" si="3"/>
        <v>79.510000000000005</v>
      </c>
      <c r="N31" s="966">
        <f>11.22+16.51</f>
        <v>27.730000000000004</v>
      </c>
      <c r="O31" s="966">
        <f t="shared" si="4"/>
        <v>4719.4799999999996</v>
      </c>
      <c r="P31" s="966">
        <v>8150.38</v>
      </c>
      <c r="Q31" s="966">
        <v>898.24</v>
      </c>
      <c r="R31" s="966">
        <f t="shared" si="11"/>
        <v>-3430.9000000000005</v>
      </c>
      <c r="S31" s="966">
        <f t="shared" ref="S31:S38" si="12">R31+S30</f>
        <v>341307.64</v>
      </c>
      <c r="T31" s="972" t="s">
        <v>562</v>
      </c>
    </row>
    <row r="32" spans="1:20" ht="12.95" customHeight="1">
      <c r="A32" s="970" t="s">
        <v>555</v>
      </c>
      <c r="B32" s="967">
        <v>144.32</v>
      </c>
      <c r="C32" s="967">
        <v>1913.72</v>
      </c>
      <c r="D32" s="967">
        <v>1595.29</v>
      </c>
      <c r="E32" s="967">
        <v>518.30999999999995</v>
      </c>
      <c r="F32" s="967">
        <f t="shared" si="1"/>
        <v>4171.6399999999994</v>
      </c>
      <c r="G32" s="967">
        <v>28.51</v>
      </c>
      <c r="H32" s="967">
        <v>222.52</v>
      </c>
      <c r="I32" s="967">
        <f t="shared" si="2"/>
        <v>251.03</v>
      </c>
      <c r="J32" s="967">
        <v>76.44</v>
      </c>
      <c r="K32" s="967">
        <v>5.49</v>
      </c>
      <c r="L32" s="967">
        <v>20.46</v>
      </c>
      <c r="M32" s="967">
        <f t="shared" si="3"/>
        <v>102.38999999999999</v>
      </c>
      <c r="N32" s="967">
        <f>11.39+3.39</f>
        <v>14.780000000000001</v>
      </c>
      <c r="O32" s="967">
        <f t="shared" si="4"/>
        <v>4539.8399999999992</v>
      </c>
      <c r="P32" s="967">
        <v>8461.1299999999992</v>
      </c>
      <c r="Q32" s="967">
        <v>963.19</v>
      </c>
      <c r="R32" s="967">
        <f t="shared" si="11"/>
        <v>-3921.29</v>
      </c>
      <c r="S32" s="967">
        <f t="shared" si="12"/>
        <v>337386.35000000003</v>
      </c>
      <c r="T32" s="973" t="s">
        <v>555</v>
      </c>
    </row>
    <row r="33" spans="1:91" ht="12.95" customHeight="1">
      <c r="A33" s="969" t="s">
        <v>563</v>
      </c>
      <c r="B33" s="966">
        <v>219.31</v>
      </c>
      <c r="C33" s="966">
        <v>2683.38</v>
      </c>
      <c r="D33" s="966">
        <v>2202.7399999999998</v>
      </c>
      <c r="E33" s="966">
        <v>781.5</v>
      </c>
      <c r="F33" s="966">
        <f t="shared" si="1"/>
        <v>5886.93</v>
      </c>
      <c r="G33" s="966">
        <v>27.64</v>
      </c>
      <c r="H33" s="966">
        <v>258.3</v>
      </c>
      <c r="I33" s="966">
        <f t="shared" si="2"/>
        <v>285.94</v>
      </c>
      <c r="J33" s="966">
        <v>125.07</v>
      </c>
      <c r="K33" s="966">
        <v>3.72</v>
      </c>
      <c r="L33" s="966">
        <v>31.99</v>
      </c>
      <c r="M33" s="966">
        <f t="shared" si="3"/>
        <v>160.78</v>
      </c>
      <c r="N33" s="966">
        <f>14.57+5.02</f>
        <v>19.59</v>
      </c>
      <c r="O33" s="966">
        <f t="shared" si="4"/>
        <v>6353.24</v>
      </c>
      <c r="P33" s="966">
        <v>11122.13</v>
      </c>
      <c r="Q33" s="966">
        <v>1066.92</v>
      </c>
      <c r="R33" s="966">
        <f t="shared" si="11"/>
        <v>-4768.8899999999994</v>
      </c>
      <c r="S33" s="966">
        <f t="shared" si="12"/>
        <v>332617.46000000002</v>
      </c>
      <c r="T33" s="972" t="s">
        <v>563</v>
      </c>
    </row>
    <row r="34" spans="1:91" ht="12.95" customHeight="1">
      <c r="A34" s="970" t="s">
        <v>564</v>
      </c>
      <c r="B34" s="967">
        <v>279.70999999999998</v>
      </c>
      <c r="C34" s="967">
        <v>3274.83</v>
      </c>
      <c r="D34" s="967">
        <v>2656.02</v>
      </c>
      <c r="E34" s="967">
        <v>892.66</v>
      </c>
      <c r="F34" s="967">
        <f t="shared" si="1"/>
        <v>7103.22</v>
      </c>
      <c r="G34" s="967">
        <v>27.59</v>
      </c>
      <c r="H34" s="967">
        <v>257.72000000000003</v>
      </c>
      <c r="I34" s="967">
        <f t="shared" si="2"/>
        <v>285.31</v>
      </c>
      <c r="J34" s="967">
        <v>109.88</v>
      </c>
      <c r="K34" s="967">
        <v>9.1</v>
      </c>
      <c r="L34" s="967">
        <v>21.94</v>
      </c>
      <c r="M34" s="967">
        <f t="shared" si="3"/>
        <v>140.91999999999999</v>
      </c>
      <c r="N34" s="967">
        <f>11.5+18.98</f>
        <v>30.48</v>
      </c>
      <c r="O34" s="967">
        <f t="shared" si="4"/>
        <v>7559.93</v>
      </c>
      <c r="P34" s="967">
        <v>9318.25</v>
      </c>
      <c r="Q34" s="967">
        <v>886.42</v>
      </c>
      <c r="R34" s="967">
        <f t="shared" si="11"/>
        <v>-1758.3199999999997</v>
      </c>
      <c r="S34" s="967">
        <f t="shared" si="12"/>
        <v>330859.14</v>
      </c>
      <c r="T34" s="973" t="s">
        <v>564</v>
      </c>
    </row>
    <row r="35" spans="1:91" ht="12.95" customHeight="1">
      <c r="A35" s="969" t="s">
        <v>556</v>
      </c>
      <c r="B35" s="966">
        <v>245.24</v>
      </c>
      <c r="C35" s="966">
        <v>2787.24</v>
      </c>
      <c r="D35" s="966">
        <v>2140.36</v>
      </c>
      <c r="E35" s="966">
        <v>666.83</v>
      </c>
      <c r="F35" s="966">
        <f t="shared" si="1"/>
        <v>5839.67</v>
      </c>
      <c r="G35" s="966">
        <v>26.05</v>
      </c>
      <c r="H35" s="966">
        <v>209.96</v>
      </c>
      <c r="I35" s="966">
        <f t="shared" si="2"/>
        <v>236.01000000000002</v>
      </c>
      <c r="J35" s="966">
        <v>89.76</v>
      </c>
      <c r="K35" s="966">
        <v>3.88</v>
      </c>
      <c r="L35" s="966">
        <v>17.170000000000002</v>
      </c>
      <c r="M35" s="966">
        <f t="shared" si="3"/>
        <v>110.81</v>
      </c>
      <c r="N35" s="966">
        <f>10.49+1.62</f>
        <v>12.11</v>
      </c>
      <c r="O35" s="966">
        <f t="shared" si="4"/>
        <v>6198.6</v>
      </c>
      <c r="P35" s="966">
        <v>6118.05</v>
      </c>
      <c r="Q35" s="966">
        <v>3398.15</v>
      </c>
      <c r="R35" s="966">
        <f t="shared" si="11"/>
        <v>80.550000000000182</v>
      </c>
      <c r="S35" s="966">
        <f t="shared" si="12"/>
        <v>330939.69</v>
      </c>
      <c r="T35" s="972" t="s">
        <v>556</v>
      </c>
    </row>
    <row r="36" spans="1:91" ht="12.95" customHeight="1">
      <c r="A36" s="970" t="s">
        <v>565</v>
      </c>
      <c r="B36" s="967">
        <v>209.7</v>
      </c>
      <c r="C36" s="967">
        <v>2322.9299999999998</v>
      </c>
      <c r="D36" s="967">
        <v>2286.4299999999998</v>
      </c>
      <c r="E36" s="967">
        <v>556.36</v>
      </c>
      <c r="F36" s="967">
        <f t="shared" si="1"/>
        <v>5375.4199999999992</v>
      </c>
      <c r="G36" s="967">
        <v>26.7</v>
      </c>
      <c r="H36" s="967">
        <v>240.37</v>
      </c>
      <c r="I36" s="967">
        <f t="shared" si="2"/>
        <v>267.07</v>
      </c>
      <c r="J36" s="967">
        <v>89.3</v>
      </c>
      <c r="K36" s="967">
        <v>3.85</v>
      </c>
      <c r="L36" s="967">
        <v>19.87</v>
      </c>
      <c r="M36" s="967">
        <f t="shared" si="3"/>
        <v>113.02</v>
      </c>
      <c r="N36" s="967">
        <f>11.44+3.35</f>
        <v>14.79</v>
      </c>
      <c r="O36" s="967">
        <f t="shared" si="4"/>
        <v>5770.2999999999993</v>
      </c>
      <c r="P36" s="967">
        <v>4510.55</v>
      </c>
      <c r="Q36" s="967">
        <v>4429.88</v>
      </c>
      <c r="R36" s="967">
        <f t="shared" si="11"/>
        <v>1259.7499999999991</v>
      </c>
      <c r="S36" s="967">
        <f t="shared" si="12"/>
        <v>332199.44</v>
      </c>
      <c r="T36" s="973" t="s">
        <v>565</v>
      </c>
    </row>
    <row r="37" spans="1:91" ht="12.95" customHeight="1">
      <c r="A37" s="969" t="s">
        <v>566</v>
      </c>
      <c r="B37" s="966">
        <v>245.72</v>
      </c>
      <c r="C37" s="966">
        <v>2348.5500000000002</v>
      </c>
      <c r="D37" s="966">
        <v>2150</v>
      </c>
      <c r="E37" s="966">
        <v>563.27</v>
      </c>
      <c r="F37" s="966">
        <f t="shared" si="1"/>
        <v>5307.54</v>
      </c>
      <c r="G37" s="966">
        <v>25.07</v>
      </c>
      <c r="H37" s="966">
        <v>205</v>
      </c>
      <c r="I37" s="966">
        <f t="shared" si="2"/>
        <v>230.07</v>
      </c>
      <c r="J37" s="966">
        <v>86.54</v>
      </c>
      <c r="K37" s="966">
        <v>10.199999999999999</v>
      </c>
      <c r="L37" s="966">
        <v>23.76</v>
      </c>
      <c r="M37" s="966">
        <f t="shared" si="3"/>
        <v>120.50000000000001</v>
      </c>
      <c r="N37" s="966">
        <f>12.93+19.22</f>
        <v>32.15</v>
      </c>
      <c r="O37" s="966">
        <f t="shared" si="4"/>
        <v>5690.2599999999993</v>
      </c>
      <c r="P37" s="966">
        <v>4152.91</v>
      </c>
      <c r="Q37" s="966">
        <v>3223.45</v>
      </c>
      <c r="R37" s="966">
        <f>O37-P37</f>
        <v>1537.3499999999995</v>
      </c>
      <c r="S37" s="966">
        <f t="shared" si="12"/>
        <v>333736.78999999998</v>
      </c>
      <c r="T37" s="972" t="s">
        <v>566</v>
      </c>
    </row>
    <row r="38" spans="1:91" ht="12.95" customHeight="1">
      <c r="A38" s="970" t="s">
        <v>557</v>
      </c>
      <c r="B38" s="967">
        <v>583.67999999999995</v>
      </c>
      <c r="C38" s="967">
        <v>2584.6</v>
      </c>
      <c r="D38" s="967">
        <v>2640.01</v>
      </c>
      <c r="E38" s="967">
        <v>619.97</v>
      </c>
      <c r="F38" s="967">
        <f t="shared" si="1"/>
        <v>6428.26</v>
      </c>
      <c r="G38" s="967">
        <v>24.63</v>
      </c>
      <c r="H38" s="967">
        <v>199</v>
      </c>
      <c r="I38" s="967">
        <f t="shared" si="2"/>
        <v>223.63</v>
      </c>
      <c r="J38" s="967">
        <v>62.87</v>
      </c>
      <c r="K38" s="967">
        <v>6.17</v>
      </c>
      <c r="L38" s="967">
        <v>24.25</v>
      </c>
      <c r="M38" s="967">
        <f t="shared" si="3"/>
        <v>93.289999999999992</v>
      </c>
      <c r="N38" s="967">
        <f>10.7+1.15</f>
        <v>11.85</v>
      </c>
      <c r="O38" s="967">
        <f t="shared" si="4"/>
        <v>6757.0300000000007</v>
      </c>
      <c r="P38" s="967">
        <v>6926.44</v>
      </c>
      <c r="Q38" s="967">
        <v>3100.625</v>
      </c>
      <c r="R38" s="967">
        <f>O38-P38</f>
        <v>-169.40999999999894</v>
      </c>
      <c r="S38" s="967">
        <f t="shared" si="12"/>
        <v>333567.38</v>
      </c>
      <c r="T38" s="973" t="s">
        <v>557</v>
      </c>
    </row>
    <row r="39" spans="1:91" s="181" customFormat="1" ht="12.95" customHeight="1">
      <c r="A39" s="974" t="s">
        <v>2834</v>
      </c>
      <c r="B39" s="966"/>
      <c r="C39" s="966"/>
      <c r="D39" s="966"/>
      <c r="E39" s="966"/>
      <c r="F39" s="966"/>
      <c r="G39" s="966"/>
      <c r="H39" s="966"/>
      <c r="I39" s="966"/>
      <c r="J39" s="966"/>
      <c r="K39" s="966"/>
      <c r="L39" s="966"/>
      <c r="M39" s="966"/>
      <c r="N39" s="966"/>
      <c r="O39" s="966"/>
      <c r="P39" s="966"/>
      <c r="Q39" s="966"/>
      <c r="R39" s="966"/>
      <c r="S39" s="966"/>
      <c r="T39" s="975" t="s">
        <v>2234</v>
      </c>
    </row>
    <row r="40" spans="1:91" ht="12.95" customHeight="1">
      <c r="A40" s="970" t="s">
        <v>559</v>
      </c>
      <c r="B40" s="967">
        <v>262.08</v>
      </c>
      <c r="C40" s="967">
        <v>3715.3</v>
      </c>
      <c r="D40" s="967">
        <v>2589.5300000000002</v>
      </c>
      <c r="E40" s="967">
        <v>851.05</v>
      </c>
      <c r="F40" s="967">
        <f t="shared" si="1"/>
        <v>7417.96</v>
      </c>
      <c r="G40" s="967">
        <v>39.880000000000003</v>
      </c>
      <c r="H40" s="967">
        <v>319.82</v>
      </c>
      <c r="I40" s="967">
        <f t="shared" si="2"/>
        <v>359.7</v>
      </c>
      <c r="J40" s="967">
        <v>77.239999999999995</v>
      </c>
      <c r="K40" s="967">
        <v>17.809999999999999</v>
      </c>
      <c r="L40" s="967">
        <v>25.88</v>
      </c>
      <c r="M40" s="967">
        <f t="shared" si="3"/>
        <v>120.92999999999999</v>
      </c>
      <c r="N40" s="967">
        <f>12.7+4.21</f>
        <v>16.91</v>
      </c>
      <c r="O40" s="967">
        <f t="shared" si="4"/>
        <v>7915.5</v>
      </c>
      <c r="P40" s="967">
        <v>6622.02</v>
      </c>
      <c r="Q40" s="967">
        <v>3730.26</v>
      </c>
      <c r="R40" s="967">
        <f>O40-P40</f>
        <v>1293.4799999999996</v>
      </c>
      <c r="S40" s="967">
        <f>R40+S38</f>
        <v>334860.86</v>
      </c>
      <c r="T40" s="973" t="s">
        <v>559</v>
      </c>
    </row>
    <row r="41" spans="1:91" s="191" customFormat="1" ht="12.95" customHeight="1">
      <c r="A41" s="969" t="s">
        <v>560</v>
      </c>
      <c r="B41" s="966">
        <v>251.63</v>
      </c>
      <c r="C41" s="966">
        <v>3847.54</v>
      </c>
      <c r="D41" s="966">
        <v>2508.44</v>
      </c>
      <c r="E41" s="966">
        <v>815.51</v>
      </c>
      <c r="F41" s="966">
        <f t="shared" si="1"/>
        <v>7423.12</v>
      </c>
      <c r="G41" s="966">
        <v>32.770000000000003</v>
      </c>
      <c r="H41" s="966">
        <v>280.18</v>
      </c>
      <c r="I41" s="966">
        <f t="shared" si="2"/>
        <v>312.95</v>
      </c>
      <c r="J41" s="966">
        <v>88.15</v>
      </c>
      <c r="K41" s="966">
        <v>0.97</v>
      </c>
      <c r="L41" s="966">
        <v>5.17</v>
      </c>
      <c r="M41" s="966">
        <f t="shared" si="3"/>
        <v>94.29</v>
      </c>
      <c r="N41" s="966">
        <f>10.7+19.52</f>
        <v>30.22</v>
      </c>
      <c r="O41" s="966">
        <f t="shared" si="4"/>
        <v>7860.58</v>
      </c>
      <c r="P41" s="966">
        <v>7581.77</v>
      </c>
      <c r="Q41" s="966">
        <v>4398.9799999999996</v>
      </c>
      <c r="R41" s="966">
        <f>O41-P41</f>
        <v>278.80999999999949</v>
      </c>
      <c r="S41" s="966">
        <f>R41+S40</f>
        <v>335139.67</v>
      </c>
      <c r="T41" s="972" t="s">
        <v>560</v>
      </c>
    </row>
    <row r="42" spans="1:91" s="191" customFormat="1" ht="12.95" customHeight="1">
      <c r="A42" s="970" t="s">
        <v>554</v>
      </c>
      <c r="B42" s="967">
        <v>285.2</v>
      </c>
      <c r="C42" s="967">
        <v>4379.58</v>
      </c>
      <c r="D42" s="967">
        <v>2625.77</v>
      </c>
      <c r="E42" s="967">
        <v>911.14</v>
      </c>
      <c r="F42" s="967">
        <f t="shared" si="1"/>
        <v>8201.69</v>
      </c>
      <c r="G42" s="967">
        <v>32.86</v>
      </c>
      <c r="H42" s="967">
        <v>291.52</v>
      </c>
      <c r="I42" s="967">
        <f t="shared" si="2"/>
        <v>324.38</v>
      </c>
      <c r="J42" s="967">
        <v>80.7</v>
      </c>
      <c r="K42" s="967">
        <v>3.99</v>
      </c>
      <c r="L42" s="967">
        <v>7.07</v>
      </c>
      <c r="M42" s="967">
        <f t="shared" si="3"/>
        <v>91.759999999999991</v>
      </c>
      <c r="N42" s="967">
        <f>11.04+4.16</f>
        <v>15.2</v>
      </c>
      <c r="O42" s="967">
        <f t="shared" si="4"/>
        <v>8633.0300000000007</v>
      </c>
      <c r="P42" s="967">
        <v>8259.73</v>
      </c>
      <c r="Q42" s="967">
        <v>3816.56</v>
      </c>
      <c r="R42" s="967">
        <f>O42-P42</f>
        <v>373.30000000000109</v>
      </c>
      <c r="S42" s="967">
        <f>R42+S41</f>
        <v>335512.96999999997</v>
      </c>
      <c r="T42" s="973" t="s">
        <v>554</v>
      </c>
    </row>
    <row r="43" spans="1:91" s="1647" customFormat="1" ht="12.95" customHeight="1">
      <c r="A43" s="1723" t="s">
        <v>561</v>
      </c>
      <c r="B43" s="1724">
        <v>304.02</v>
      </c>
      <c r="C43" s="1724">
        <v>4236.32</v>
      </c>
      <c r="D43" s="1724">
        <v>2461.33</v>
      </c>
      <c r="E43" s="1724">
        <v>782.91</v>
      </c>
      <c r="F43" s="1724">
        <f t="shared" si="1"/>
        <v>7784.58</v>
      </c>
      <c r="G43" s="1724">
        <v>29.84</v>
      </c>
      <c r="H43" s="1724">
        <v>265.5</v>
      </c>
      <c r="I43" s="1724">
        <f t="shared" si="2"/>
        <v>295.33999999999997</v>
      </c>
      <c r="J43" s="1724">
        <v>74.47</v>
      </c>
      <c r="K43" s="1724">
        <v>4.95</v>
      </c>
      <c r="L43" s="1724">
        <v>4.04</v>
      </c>
      <c r="M43" s="1724">
        <f t="shared" si="3"/>
        <v>83.460000000000008</v>
      </c>
      <c r="N43" s="1724">
        <f>10.83+4.57</f>
        <v>15.4</v>
      </c>
      <c r="O43" s="1724">
        <f t="shared" si="4"/>
        <v>8178.78</v>
      </c>
      <c r="P43" s="1724">
        <v>7754.7</v>
      </c>
      <c r="Q43" s="1724">
        <v>3843.02</v>
      </c>
      <c r="R43" s="1724">
        <f>O43-P43</f>
        <v>424.07999999999993</v>
      </c>
      <c r="S43" s="1724">
        <f>R43+S42</f>
        <v>335937.05</v>
      </c>
      <c r="T43" s="1725" t="s">
        <v>561</v>
      </c>
    </row>
    <row r="44" spans="1:91" ht="14.25" customHeight="1">
      <c r="A44" s="970" t="s">
        <v>562</v>
      </c>
      <c r="B44" s="967">
        <v>256.52999999999997</v>
      </c>
      <c r="C44" s="967">
        <v>4113.47</v>
      </c>
      <c r="D44" s="967">
        <v>2428.63</v>
      </c>
      <c r="E44" s="967">
        <v>794.02</v>
      </c>
      <c r="F44" s="967">
        <f t="shared" si="1"/>
        <v>7592.6500000000005</v>
      </c>
      <c r="G44" s="967">
        <v>28.76</v>
      </c>
      <c r="H44" s="967">
        <v>244.42</v>
      </c>
      <c r="I44" s="967">
        <f t="shared" si="2"/>
        <v>273.18</v>
      </c>
      <c r="J44" s="967">
        <v>57.25</v>
      </c>
      <c r="K44" s="967">
        <v>3.95</v>
      </c>
      <c r="L44" s="967">
        <v>13.09</v>
      </c>
      <c r="M44" s="967">
        <f t="shared" si="3"/>
        <v>74.290000000000006</v>
      </c>
      <c r="N44" s="967">
        <f>10.25+17.19</f>
        <v>27.44</v>
      </c>
      <c r="O44" s="967">
        <f t="shared" si="4"/>
        <v>7967.56</v>
      </c>
      <c r="P44" s="967">
        <v>8262.0400000000009</v>
      </c>
      <c r="Q44" s="967">
        <v>4278.18</v>
      </c>
      <c r="R44" s="967">
        <f>O44-P44</f>
        <v>-294.48000000000047</v>
      </c>
      <c r="S44" s="967">
        <f>R44+S43</f>
        <v>335642.57</v>
      </c>
      <c r="T44" s="973" t="s">
        <v>562</v>
      </c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</row>
    <row r="45" spans="1:91">
      <c r="A45" s="969" t="s">
        <v>555</v>
      </c>
      <c r="B45" s="966">
        <v>378.83</v>
      </c>
      <c r="C45" s="966">
        <v>3620.65</v>
      </c>
      <c r="D45" s="966">
        <v>2142.62</v>
      </c>
      <c r="E45" s="966">
        <v>653.92999999999995</v>
      </c>
      <c r="F45" s="966">
        <f>E45+D45+C45+B45</f>
        <v>6796.03</v>
      </c>
      <c r="G45" s="966">
        <v>27.18</v>
      </c>
      <c r="H45" s="966">
        <v>244.06</v>
      </c>
      <c r="I45" s="966">
        <f>G45+H45</f>
        <v>271.24</v>
      </c>
      <c r="J45" s="966">
        <v>75.510000000000005</v>
      </c>
      <c r="K45" s="966">
        <v>4.75</v>
      </c>
      <c r="L45" s="966">
        <v>31.28</v>
      </c>
      <c r="M45" s="966">
        <f>J45+K45+L45</f>
        <v>111.54</v>
      </c>
      <c r="N45" s="966">
        <f>10.37+0.97</f>
        <v>11.34</v>
      </c>
      <c r="O45" s="966">
        <f>F45+I45+N45+M45</f>
        <v>7190.15</v>
      </c>
      <c r="P45" s="966">
        <v>6805.39</v>
      </c>
      <c r="Q45" s="966">
        <v>2803.18</v>
      </c>
      <c r="R45" s="966">
        <f t="shared" ref="R45" si="13">O45-P45</f>
        <v>384.75999999999931</v>
      </c>
      <c r="S45" s="966">
        <f>R45+S44</f>
        <v>336027.33</v>
      </c>
      <c r="T45" s="972" t="s">
        <v>555</v>
      </c>
    </row>
    <row r="46" spans="1:91">
      <c r="A46" s="970" t="s">
        <v>563</v>
      </c>
      <c r="B46" s="967">
        <v>348.43</v>
      </c>
      <c r="C46" s="967">
        <v>3385.88</v>
      </c>
      <c r="D46" s="967">
        <v>2168.1799999999998</v>
      </c>
      <c r="E46" s="967">
        <v>866.99</v>
      </c>
      <c r="F46" s="967">
        <v>6769.4800000000005</v>
      </c>
      <c r="G46" s="967">
        <v>30.43</v>
      </c>
      <c r="H46" s="967">
        <v>267.7</v>
      </c>
      <c r="I46" s="967">
        <v>298.13</v>
      </c>
      <c r="J46" s="967">
        <v>79.09</v>
      </c>
      <c r="K46" s="967">
        <v>0</v>
      </c>
      <c r="L46" s="967">
        <v>0</v>
      </c>
      <c r="M46" s="967">
        <v>79.09</v>
      </c>
      <c r="N46" s="967">
        <v>14.459999999999999</v>
      </c>
      <c r="O46" s="967">
        <v>7161.1600000000008</v>
      </c>
      <c r="P46" s="967">
        <v>9012.19</v>
      </c>
      <c r="Q46" s="967">
        <v>4159.9799999999996</v>
      </c>
      <c r="R46" s="967">
        <v>-1851.0299999999997</v>
      </c>
      <c r="S46" s="967">
        <v>334176.3</v>
      </c>
      <c r="T46" s="973" t="s">
        <v>563</v>
      </c>
    </row>
    <row r="47" spans="1:91" ht="13.5" thickBot="1">
      <c r="A47" s="1848" t="s">
        <v>564</v>
      </c>
      <c r="B47" s="1849">
        <v>244.64</v>
      </c>
      <c r="C47" s="1849">
        <v>3268.63</v>
      </c>
      <c r="D47" s="1849">
        <v>1886.07</v>
      </c>
      <c r="E47" s="1849">
        <v>704.48</v>
      </c>
      <c r="F47" s="1849">
        <v>6103.82</v>
      </c>
      <c r="G47" s="1849">
        <v>2.83</v>
      </c>
      <c r="H47" s="1849">
        <v>133.99</v>
      </c>
      <c r="I47" s="1849">
        <v>136.82000000000002</v>
      </c>
      <c r="J47" s="1849">
        <v>71.55</v>
      </c>
      <c r="K47" s="1849">
        <v>0</v>
      </c>
      <c r="L47" s="1849">
        <v>0</v>
      </c>
      <c r="M47" s="1849">
        <v>71.55</v>
      </c>
      <c r="N47" s="1849">
        <v>16.84</v>
      </c>
      <c r="O47" s="1849">
        <v>6329.03</v>
      </c>
      <c r="P47" s="1849">
        <v>7571.34</v>
      </c>
      <c r="Q47" s="1849">
        <v>3725.65</v>
      </c>
      <c r="R47" s="1849">
        <v>-1164.7</v>
      </c>
      <c r="S47" s="1849">
        <v>333011.59999999998</v>
      </c>
      <c r="T47" s="1850" t="s">
        <v>564</v>
      </c>
    </row>
    <row r="48" spans="1:91" ht="15">
      <c r="A48" s="1646" t="s">
        <v>1897</v>
      </c>
      <c r="B48" s="1419"/>
      <c r="C48" s="1419"/>
      <c r="D48" s="1419"/>
      <c r="E48" s="1419"/>
      <c r="F48" s="1419"/>
      <c r="G48" s="1419"/>
      <c r="H48" s="1419"/>
      <c r="I48" s="1419"/>
      <c r="J48" s="1419"/>
      <c r="K48" s="1419"/>
      <c r="L48" s="1419"/>
      <c r="M48" s="1419"/>
      <c r="N48" s="1419"/>
      <c r="O48" s="1419"/>
      <c r="P48" s="1419"/>
      <c r="Q48" s="1419"/>
      <c r="R48" s="1419"/>
      <c r="S48" s="1419"/>
      <c r="T48" s="1647"/>
    </row>
    <row r="49" spans="1:20" ht="15">
      <c r="A49" s="988" t="s">
        <v>1346</v>
      </c>
      <c r="B49" s="675" t="s">
        <v>1936</v>
      </c>
      <c r="C49" s="672"/>
      <c r="D49" s="672"/>
      <c r="E49" s="672"/>
      <c r="F49" s="678"/>
      <c r="G49" s="672"/>
      <c r="H49" s="678" t="s">
        <v>1309</v>
      </c>
      <c r="I49" s="672"/>
      <c r="J49" s="672"/>
      <c r="K49" s="672"/>
      <c r="N49" s="672"/>
      <c r="O49" s="672"/>
      <c r="P49" s="672"/>
      <c r="Q49" s="1124"/>
      <c r="R49" s="672"/>
      <c r="S49" s="526"/>
      <c r="T49" s="591"/>
    </row>
    <row r="51" spans="1:20">
      <c r="S51" s="591"/>
    </row>
    <row r="53" spans="1:20">
      <c r="H53" s="1674" t="s">
        <v>629</v>
      </c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5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J1:P1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7"/>
  <sheetViews>
    <sheetView showWhiteSpace="0" zoomScale="150" zoomScaleNormal="150" workbookViewId="0">
      <pane ySplit="6" topLeftCell="A31" activePane="bottomLeft" state="frozen"/>
      <selection activeCell="X47" sqref="X47:X50"/>
      <selection pane="bottomLeft" activeCell="V37" sqref="V37"/>
    </sheetView>
  </sheetViews>
  <sheetFormatPr defaultRowHeight="12.75"/>
  <cols>
    <col min="1" max="1" width="7.140625" style="1080" customWidth="1"/>
    <col min="2" max="3" width="6.140625" style="1080" customWidth="1"/>
    <col min="4" max="4" width="6.28515625" style="1080" customWidth="1"/>
    <col min="5" max="5" width="5.28515625" style="1080" customWidth="1"/>
    <col min="6" max="6" width="6.5703125" style="1080" customWidth="1"/>
    <col min="7" max="7" width="7.7109375" style="1080" customWidth="1"/>
    <col min="8" max="8" width="5.28515625" style="1080" customWidth="1"/>
    <col min="9" max="9" width="8.28515625" style="1080" customWidth="1"/>
    <col min="10" max="10" width="6.140625" style="1080" customWidth="1"/>
    <col min="11" max="11" width="5.5703125" style="1080" customWidth="1"/>
    <col min="12" max="13" width="6.140625" style="1080" customWidth="1"/>
    <col min="14" max="14" width="7.28515625" style="1080" customWidth="1"/>
    <col min="15" max="15" width="4.85546875" style="1080" customWidth="1"/>
    <col min="16" max="16" width="6.7109375" style="1080" customWidth="1"/>
    <col min="17" max="17" width="4.5703125" style="1080" customWidth="1"/>
    <col min="18" max="18" width="7.140625" style="1080" customWidth="1"/>
    <col min="19" max="19" width="6.140625" style="1080" customWidth="1"/>
    <col min="20" max="20" width="5.85546875" style="1080" customWidth="1"/>
    <col min="21" max="21" width="7.140625" style="1080" customWidth="1"/>
    <col min="22" max="22" width="9.5703125" style="1080" customWidth="1"/>
    <col min="23" max="23" width="7.28515625" style="1080" customWidth="1"/>
    <col min="24" max="16384" width="9.140625" style="1080"/>
  </cols>
  <sheetData>
    <row r="1" spans="1:26" s="1366" customFormat="1" ht="18.75" customHeight="1">
      <c r="A1" s="914"/>
      <c r="B1" s="914"/>
      <c r="C1" s="914"/>
      <c r="D1" s="914"/>
      <c r="E1" s="914"/>
      <c r="F1" s="914"/>
      <c r="G1" s="914"/>
      <c r="H1" s="914"/>
      <c r="I1" s="2639" t="s">
        <v>2101</v>
      </c>
      <c r="J1" s="2639"/>
      <c r="K1" s="2639"/>
      <c r="L1" s="2639"/>
      <c r="M1" s="2640" t="s">
        <v>2873</v>
      </c>
      <c r="N1" s="2640"/>
      <c r="O1" s="2640"/>
      <c r="P1" s="2640"/>
      <c r="Q1" s="2640"/>
      <c r="R1" s="2640"/>
      <c r="S1" s="914"/>
      <c r="T1" s="914"/>
      <c r="U1" s="914"/>
      <c r="V1" s="914"/>
      <c r="W1" s="914"/>
    </row>
    <row r="2" spans="1:26" s="1366" customFormat="1" ht="18.75">
      <c r="A2" s="669"/>
      <c r="B2" s="670"/>
      <c r="C2" s="670"/>
      <c r="D2" s="676"/>
      <c r="E2" s="676"/>
      <c r="F2" s="676"/>
      <c r="G2" s="676"/>
      <c r="H2" s="676"/>
      <c r="I2" s="1157"/>
      <c r="J2" s="2642" t="s">
        <v>2869</v>
      </c>
      <c r="K2" s="2642"/>
      <c r="L2" s="2642"/>
      <c r="M2" s="2641" t="s">
        <v>2868</v>
      </c>
      <c r="N2" s="2641"/>
      <c r="O2" s="1157"/>
      <c r="P2" s="1157"/>
      <c r="Q2" s="1157"/>
      <c r="R2" s="1157"/>
      <c r="S2" s="670"/>
      <c r="T2" s="670"/>
      <c r="U2" s="670"/>
      <c r="V2" s="1158" t="s">
        <v>2102</v>
      </c>
      <c r="W2" s="914"/>
    </row>
    <row r="3" spans="1:26" s="1366" customFormat="1" ht="15">
      <c r="A3" s="1159"/>
      <c r="B3" s="1159"/>
      <c r="C3" s="1159"/>
      <c r="D3" s="1159"/>
      <c r="E3" s="1159"/>
      <c r="F3" s="1159"/>
      <c r="G3" s="1159"/>
      <c r="H3" s="1159"/>
      <c r="I3" s="1159"/>
      <c r="J3" s="1159"/>
      <c r="K3" s="1159"/>
      <c r="L3" s="1159"/>
      <c r="M3" s="1159"/>
      <c r="N3" s="1159"/>
      <c r="O3" s="1159"/>
      <c r="P3" s="1159"/>
      <c r="Q3" s="1159"/>
      <c r="R3" s="1159"/>
      <c r="S3" s="1159"/>
      <c r="T3" s="1159"/>
      <c r="U3" s="1159"/>
      <c r="V3" s="1160" t="s">
        <v>24</v>
      </c>
      <c r="W3" s="1161"/>
    </row>
    <row r="4" spans="1:26" s="1366" customFormat="1">
      <c r="A4" s="2596" t="s">
        <v>481</v>
      </c>
      <c r="B4" s="2643" t="s">
        <v>2103</v>
      </c>
      <c r="C4" s="2644"/>
      <c r="D4" s="2644"/>
      <c r="E4" s="2644"/>
      <c r="F4" s="2645"/>
      <c r="G4" s="2643" t="s">
        <v>2104</v>
      </c>
      <c r="H4" s="2646"/>
      <c r="I4" s="2646"/>
      <c r="J4" s="2646"/>
      <c r="K4" s="2646"/>
      <c r="L4" s="2646"/>
      <c r="M4" s="2646"/>
      <c r="N4" s="2646"/>
      <c r="O4" s="2646"/>
      <c r="P4" s="2646"/>
      <c r="Q4" s="2646"/>
      <c r="R4" s="2647"/>
      <c r="S4" s="2648" t="s">
        <v>2764</v>
      </c>
      <c r="T4" s="2650" t="s">
        <v>2105</v>
      </c>
      <c r="U4" s="2651"/>
      <c r="V4" s="2652"/>
      <c r="W4" s="2622" t="s">
        <v>481</v>
      </c>
    </row>
    <row r="5" spans="1:26" s="1366" customFormat="1" ht="85.5" customHeight="1">
      <c r="A5" s="2597"/>
      <c r="B5" s="1608" t="s">
        <v>2106</v>
      </c>
      <c r="C5" s="1609" t="s">
        <v>2107</v>
      </c>
      <c r="D5" s="1608" t="s">
        <v>2108</v>
      </c>
      <c r="E5" s="1608" t="s">
        <v>2109</v>
      </c>
      <c r="F5" s="1608" t="s">
        <v>2110</v>
      </c>
      <c r="G5" s="1608" t="s">
        <v>2111</v>
      </c>
      <c r="H5" s="1608" t="s">
        <v>2112</v>
      </c>
      <c r="I5" s="1608" t="s">
        <v>2765</v>
      </c>
      <c r="J5" s="1608" t="s">
        <v>2113</v>
      </c>
      <c r="K5" s="1608" t="s">
        <v>2114</v>
      </c>
      <c r="L5" s="1608" t="s">
        <v>2115</v>
      </c>
      <c r="M5" s="1610" t="s">
        <v>2116</v>
      </c>
      <c r="N5" s="1610" t="s">
        <v>2117</v>
      </c>
      <c r="O5" s="1609" t="s">
        <v>2118</v>
      </c>
      <c r="P5" s="1609" t="s">
        <v>2119</v>
      </c>
      <c r="Q5" s="1609" t="s">
        <v>2120</v>
      </c>
      <c r="R5" s="1609" t="s">
        <v>2121</v>
      </c>
      <c r="S5" s="2649"/>
      <c r="T5" s="1609" t="s">
        <v>2122</v>
      </c>
      <c r="U5" s="1609" t="s">
        <v>2123</v>
      </c>
      <c r="V5" s="1609" t="s">
        <v>2124</v>
      </c>
      <c r="W5" s="2623"/>
    </row>
    <row r="6" spans="1:26" s="1366" customFormat="1">
      <c r="A6" s="2598"/>
      <c r="B6" s="1253">
        <v>1</v>
      </c>
      <c r="C6" s="1162">
        <v>2</v>
      </c>
      <c r="D6" s="1162">
        <v>3</v>
      </c>
      <c r="E6" s="1162">
        <v>4</v>
      </c>
      <c r="F6" s="1162">
        <v>5</v>
      </c>
      <c r="G6" s="1162">
        <v>6</v>
      </c>
      <c r="H6" s="1162">
        <v>7</v>
      </c>
      <c r="I6" s="1162">
        <v>8</v>
      </c>
      <c r="J6" s="1162">
        <v>9</v>
      </c>
      <c r="K6" s="1162">
        <v>10</v>
      </c>
      <c r="L6" s="1162">
        <v>11</v>
      </c>
      <c r="M6" s="1162">
        <v>12</v>
      </c>
      <c r="N6" s="1162">
        <v>13</v>
      </c>
      <c r="O6" s="1162">
        <v>14</v>
      </c>
      <c r="P6" s="1162">
        <v>15</v>
      </c>
      <c r="Q6" s="1162">
        <v>16</v>
      </c>
      <c r="R6" s="1162">
        <v>17</v>
      </c>
      <c r="S6" s="1162">
        <v>18</v>
      </c>
      <c r="T6" s="1162">
        <v>19</v>
      </c>
      <c r="U6" s="1162">
        <v>20</v>
      </c>
      <c r="V6" s="1162">
        <v>21</v>
      </c>
      <c r="W6" s="2624"/>
      <c r="Z6" s="1173"/>
    </row>
    <row r="7" spans="1:26" ht="15" customHeight="1">
      <c r="A7" s="1175" t="s">
        <v>548</v>
      </c>
      <c r="B7" s="1407">
        <v>17096</v>
      </c>
      <c r="C7" s="1407">
        <v>4249</v>
      </c>
      <c r="D7" s="1407">
        <v>21345</v>
      </c>
      <c r="E7" s="1407">
        <v>3609</v>
      </c>
      <c r="F7" s="1407">
        <v>24954</v>
      </c>
      <c r="G7" s="1407">
        <v>17898</v>
      </c>
      <c r="H7" s="1407">
        <v>1109</v>
      </c>
      <c r="I7" s="1407">
        <v>19007</v>
      </c>
      <c r="J7" s="1407">
        <v>16560</v>
      </c>
      <c r="K7" s="1407">
        <v>193</v>
      </c>
      <c r="L7" s="1407">
        <v>0</v>
      </c>
      <c r="M7" s="1407">
        <v>496</v>
      </c>
      <c r="N7" s="1407">
        <v>17249</v>
      </c>
      <c r="O7" s="1407">
        <v>-9</v>
      </c>
      <c r="P7" s="1407">
        <v>-249</v>
      </c>
      <c r="Q7" s="1407">
        <v>0</v>
      </c>
      <c r="R7" s="1407">
        <v>35998</v>
      </c>
      <c r="S7" s="1407">
        <v>-11044</v>
      </c>
      <c r="T7" s="1407">
        <v>3100</v>
      </c>
      <c r="U7" s="1407">
        <v>7944</v>
      </c>
      <c r="V7" s="1407">
        <v>11044</v>
      </c>
      <c r="W7" s="1177" t="s">
        <v>548</v>
      </c>
      <c r="X7" s="1366"/>
      <c r="Y7" s="1366"/>
      <c r="Z7" s="1366"/>
    </row>
    <row r="8" spans="1:26" ht="15" customHeight="1">
      <c r="A8" s="1176" t="s">
        <v>549</v>
      </c>
      <c r="B8" s="1174">
        <v>19490</v>
      </c>
      <c r="C8" s="1174">
        <v>4683</v>
      </c>
      <c r="D8" s="1174">
        <v>24173</v>
      </c>
      <c r="E8" s="1174">
        <v>2929</v>
      </c>
      <c r="F8" s="1174">
        <v>27102</v>
      </c>
      <c r="G8" s="1174">
        <v>20136</v>
      </c>
      <c r="H8" s="1174">
        <v>1411</v>
      </c>
      <c r="I8" s="1174">
        <v>21547</v>
      </c>
      <c r="J8" s="1174">
        <v>17950</v>
      </c>
      <c r="K8" s="1174">
        <v>133</v>
      </c>
      <c r="L8" s="1174">
        <v>0</v>
      </c>
      <c r="M8" s="1174">
        <v>773</v>
      </c>
      <c r="N8" s="1174">
        <v>18856</v>
      </c>
      <c r="O8" s="1174">
        <v>-122</v>
      </c>
      <c r="P8" s="1174">
        <v>-422</v>
      </c>
      <c r="Q8" s="1174">
        <v>0</v>
      </c>
      <c r="R8" s="1174">
        <v>39859</v>
      </c>
      <c r="S8" s="1174">
        <v>-12757</v>
      </c>
      <c r="T8" s="1174">
        <v>3565</v>
      </c>
      <c r="U8" s="1174">
        <v>9192</v>
      </c>
      <c r="V8" s="1174">
        <v>12757</v>
      </c>
      <c r="W8" s="1178" t="s">
        <v>549</v>
      </c>
      <c r="X8" s="1366"/>
      <c r="Y8" s="1366"/>
      <c r="Z8" s="1366"/>
    </row>
    <row r="9" spans="1:26" ht="15" customHeight="1">
      <c r="A9" s="1175" t="s">
        <v>550</v>
      </c>
      <c r="B9" s="1407">
        <v>21930</v>
      </c>
      <c r="C9" s="1407">
        <v>5740</v>
      </c>
      <c r="D9" s="1407">
        <v>27670</v>
      </c>
      <c r="E9" s="1407">
        <v>3482</v>
      </c>
      <c r="F9" s="1407">
        <v>31152</v>
      </c>
      <c r="G9" s="1407">
        <v>21037</v>
      </c>
      <c r="H9" s="1407">
        <v>1218</v>
      </c>
      <c r="I9" s="1407">
        <v>22255</v>
      </c>
      <c r="J9" s="1407">
        <v>15847</v>
      </c>
      <c r="K9" s="1407">
        <v>313</v>
      </c>
      <c r="L9" s="1407">
        <v>0</v>
      </c>
      <c r="M9" s="1407">
        <v>733</v>
      </c>
      <c r="N9" s="1407">
        <v>16893</v>
      </c>
      <c r="O9" s="1407">
        <v>-6</v>
      </c>
      <c r="P9" s="1407">
        <v>-385</v>
      </c>
      <c r="Q9" s="1407">
        <v>0</v>
      </c>
      <c r="R9" s="1407">
        <v>38757</v>
      </c>
      <c r="S9" s="1407">
        <v>-7605</v>
      </c>
      <c r="T9" s="1407">
        <v>2759</v>
      </c>
      <c r="U9" s="1407">
        <v>4846</v>
      </c>
      <c r="V9" s="1407">
        <v>7605</v>
      </c>
      <c r="W9" s="1177" t="s">
        <v>550</v>
      </c>
      <c r="X9" s="1366"/>
      <c r="Y9" s="1366"/>
      <c r="Z9" s="1366"/>
    </row>
    <row r="10" spans="1:26" ht="15" customHeight="1">
      <c r="A10" s="1176" t="s">
        <v>551</v>
      </c>
      <c r="B10" s="1174">
        <v>24950</v>
      </c>
      <c r="C10" s="1174">
        <v>6170</v>
      </c>
      <c r="D10" s="1174">
        <v>31120</v>
      </c>
      <c r="E10" s="1174">
        <v>2447</v>
      </c>
      <c r="F10" s="1174">
        <v>33567</v>
      </c>
      <c r="G10" s="1174">
        <v>24255</v>
      </c>
      <c r="H10" s="1174">
        <v>1351</v>
      </c>
      <c r="I10" s="1174">
        <v>25606</v>
      </c>
      <c r="J10" s="1174">
        <v>17060</v>
      </c>
      <c r="K10" s="1174">
        <v>390</v>
      </c>
      <c r="L10" s="1174">
        <v>0</v>
      </c>
      <c r="M10" s="1174">
        <v>593</v>
      </c>
      <c r="N10" s="1174">
        <v>18043</v>
      </c>
      <c r="O10" s="1174">
        <v>-74</v>
      </c>
      <c r="P10" s="1174">
        <v>-1029</v>
      </c>
      <c r="Q10" s="1174">
        <v>0</v>
      </c>
      <c r="R10" s="1174">
        <v>42546</v>
      </c>
      <c r="S10" s="1174">
        <v>-8979</v>
      </c>
      <c r="T10" s="1174">
        <v>4543</v>
      </c>
      <c r="U10" s="1174">
        <v>4436</v>
      </c>
      <c r="V10" s="1174">
        <v>8979</v>
      </c>
      <c r="W10" s="1178" t="s">
        <v>551</v>
      </c>
      <c r="X10" s="1366"/>
      <c r="Y10" s="1366"/>
      <c r="Z10" s="1366"/>
    </row>
    <row r="11" spans="1:26" ht="15" customHeight="1">
      <c r="A11" s="1175" t="s">
        <v>552</v>
      </c>
      <c r="B11" s="1407">
        <v>28300</v>
      </c>
      <c r="C11" s="1407">
        <v>7100</v>
      </c>
      <c r="D11" s="1407">
        <v>35400</v>
      </c>
      <c r="E11" s="1407">
        <v>2663</v>
      </c>
      <c r="F11" s="1407">
        <v>38063</v>
      </c>
      <c r="G11" s="1407">
        <v>26807</v>
      </c>
      <c r="H11" s="1407">
        <v>1766</v>
      </c>
      <c r="I11" s="1407">
        <v>28573</v>
      </c>
      <c r="J11" s="1407">
        <v>19000</v>
      </c>
      <c r="K11" s="1407">
        <v>419</v>
      </c>
      <c r="L11" s="1407">
        <v>210</v>
      </c>
      <c r="M11" s="1407">
        <v>585</v>
      </c>
      <c r="N11" s="1407">
        <v>20214</v>
      </c>
      <c r="O11" s="1407">
        <v>508</v>
      </c>
      <c r="P11" s="1407">
        <v>-928</v>
      </c>
      <c r="Q11" s="1407">
        <v>1000</v>
      </c>
      <c r="R11" s="1407">
        <v>49367</v>
      </c>
      <c r="S11" s="1407">
        <v>-11304</v>
      </c>
      <c r="T11" s="1407">
        <v>5329</v>
      </c>
      <c r="U11" s="1407">
        <v>5975</v>
      </c>
      <c r="V11" s="1407">
        <v>11304</v>
      </c>
      <c r="W11" s="1177" t="s">
        <v>552</v>
      </c>
      <c r="X11" s="1366"/>
      <c r="Y11" s="1366"/>
      <c r="Z11" s="1366"/>
    </row>
    <row r="12" spans="1:26" ht="15" customHeight="1">
      <c r="A12" s="1176" t="s">
        <v>553</v>
      </c>
      <c r="B12" s="1174">
        <v>31950</v>
      </c>
      <c r="C12" s="1174">
        <v>7250</v>
      </c>
      <c r="D12" s="1174">
        <v>39200</v>
      </c>
      <c r="E12" s="1174">
        <v>2644</v>
      </c>
      <c r="F12" s="1174">
        <v>41844</v>
      </c>
      <c r="G12" s="1174">
        <v>31590</v>
      </c>
      <c r="H12" s="1174">
        <v>2080</v>
      </c>
      <c r="I12" s="1174">
        <v>33670</v>
      </c>
      <c r="J12" s="1174">
        <v>20500</v>
      </c>
      <c r="K12" s="1174">
        <v>595</v>
      </c>
      <c r="L12" s="1174">
        <v>994</v>
      </c>
      <c r="M12" s="1174">
        <v>587</v>
      </c>
      <c r="N12" s="1174">
        <v>22676</v>
      </c>
      <c r="O12" s="1174">
        <v>168</v>
      </c>
      <c r="P12" s="1174">
        <v>-1152</v>
      </c>
      <c r="Q12" s="1174">
        <v>270</v>
      </c>
      <c r="R12" s="1174">
        <v>55632</v>
      </c>
      <c r="S12" s="1174">
        <v>-13788</v>
      </c>
      <c r="T12" s="1174">
        <v>6187</v>
      </c>
      <c r="U12" s="1174">
        <v>7601</v>
      </c>
      <c r="V12" s="1174">
        <v>13788</v>
      </c>
      <c r="W12" s="1178" t="s">
        <v>553</v>
      </c>
      <c r="X12" s="1366"/>
      <c r="Y12" s="1366"/>
      <c r="Z12" s="1366"/>
    </row>
    <row r="13" spans="1:26" ht="15" customHeight="1">
      <c r="A13" s="1175" t="s">
        <v>558</v>
      </c>
      <c r="B13" s="1407">
        <v>36175</v>
      </c>
      <c r="C13" s="1407">
        <v>8693</v>
      </c>
      <c r="D13" s="1407">
        <v>44868</v>
      </c>
      <c r="E13" s="1407">
        <v>2476</v>
      </c>
      <c r="F13" s="1407">
        <v>47344</v>
      </c>
      <c r="G13" s="1407">
        <v>34805</v>
      </c>
      <c r="H13" s="1407">
        <v>2252</v>
      </c>
      <c r="I13" s="1407">
        <v>37057</v>
      </c>
      <c r="J13" s="1407">
        <v>21500</v>
      </c>
      <c r="K13" s="1407">
        <v>0</v>
      </c>
      <c r="L13" s="1407">
        <v>1363</v>
      </c>
      <c r="M13" s="1407">
        <v>763</v>
      </c>
      <c r="N13" s="1407">
        <v>23626</v>
      </c>
      <c r="O13" s="1407">
        <v>207</v>
      </c>
      <c r="P13" s="1407">
        <v>-32</v>
      </c>
      <c r="Q13" s="1407">
        <v>200</v>
      </c>
      <c r="R13" s="1407">
        <v>61058</v>
      </c>
      <c r="S13" s="1407">
        <v>-13714</v>
      </c>
      <c r="T13" s="1407">
        <v>5574</v>
      </c>
      <c r="U13" s="1407">
        <v>8140</v>
      </c>
      <c r="V13" s="1407">
        <v>13714</v>
      </c>
      <c r="W13" s="1177" t="s">
        <v>558</v>
      </c>
      <c r="X13" s="1366"/>
      <c r="Y13" s="1366"/>
      <c r="Z13" s="1366"/>
    </row>
    <row r="14" spans="1:26" ht="15" customHeight="1">
      <c r="A14" s="1176" t="s">
        <v>567</v>
      </c>
      <c r="B14" s="1174">
        <v>39247</v>
      </c>
      <c r="C14" s="1174">
        <v>10225</v>
      </c>
      <c r="D14" s="1174">
        <v>49472</v>
      </c>
      <c r="E14" s="1174">
        <v>2150</v>
      </c>
      <c r="F14" s="1174">
        <v>51622</v>
      </c>
      <c r="G14" s="1174">
        <v>42064</v>
      </c>
      <c r="H14" s="1174">
        <v>2348</v>
      </c>
      <c r="I14" s="1174">
        <v>44412</v>
      </c>
      <c r="J14" s="1174">
        <v>21600</v>
      </c>
      <c r="K14" s="1174">
        <v>0</v>
      </c>
      <c r="L14" s="1174">
        <v>1579</v>
      </c>
      <c r="M14" s="1174">
        <v>283</v>
      </c>
      <c r="N14" s="1174">
        <v>23462</v>
      </c>
      <c r="O14" s="1174">
        <v>388</v>
      </c>
      <c r="P14" s="1174">
        <v>-1455</v>
      </c>
      <c r="Q14" s="1174">
        <v>29</v>
      </c>
      <c r="R14" s="1174">
        <v>66836</v>
      </c>
      <c r="S14" s="1174">
        <v>-15214</v>
      </c>
      <c r="T14" s="1174">
        <v>5183</v>
      </c>
      <c r="U14" s="1174">
        <v>10031</v>
      </c>
      <c r="V14" s="1174">
        <v>15214</v>
      </c>
      <c r="W14" s="1178" t="s">
        <v>567</v>
      </c>
      <c r="X14" s="1366"/>
      <c r="Y14" s="1366"/>
      <c r="Z14" s="1366"/>
    </row>
    <row r="15" spans="1:26" ht="15" customHeight="1">
      <c r="A15" s="1175" t="s">
        <v>330</v>
      </c>
      <c r="B15" s="1407">
        <v>48012</v>
      </c>
      <c r="C15" s="1407">
        <v>12527</v>
      </c>
      <c r="D15" s="1407">
        <v>60539</v>
      </c>
      <c r="E15" s="1407">
        <v>4388</v>
      </c>
      <c r="F15" s="1407">
        <v>64927</v>
      </c>
      <c r="G15" s="1407">
        <v>52255</v>
      </c>
      <c r="H15" s="1407">
        <v>4734</v>
      </c>
      <c r="I15" s="1407">
        <v>56989</v>
      </c>
      <c r="J15" s="1407">
        <v>22500</v>
      </c>
      <c r="K15" s="1407">
        <v>549</v>
      </c>
      <c r="L15" s="1407">
        <v>496</v>
      </c>
      <c r="M15" s="1407">
        <v>804</v>
      </c>
      <c r="N15" s="1407">
        <v>24349</v>
      </c>
      <c r="O15" s="1407">
        <v>809</v>
      </c>
      <c r="P15" s="1407">
        <v>9761</v>
      </c>
      <c r="Q15" s="1407">
        <v>1700</v>
      </c>
      <c r="R15" s="1407">
        <v>93608</v>
      </c>
      <c r="S15" s="1407">
        <v>-28681</v>
      </c>
      <c r="T15" s="1407">
        <v>8756</v>
      </c>
      <c r="U15" s="1407">
        <v>19925</v>
      </c>
      <c r="V15" s="1407">
        <v>28681</v>
      </c>
      <c r="W15" s="1177" t="s">
        <v>330</v>
      </c>
      <c r="X15" s="1366"/>
      <c r="Y15" s="1366"/>
      <c r="Z15" s="1366"/>
    </row>
    <row r="16" spans="1:26" ht="15" customHeight="1">
      <c r="A16" s="1163" t="s">
        <v>85</v>
      </c>
      <c r="B16" s="1174">
        <v>55526</v>
      </c>
      <c r="C16" s="1174">
        <v>13654</v>
      </c>
      <c r="D16" s="1174">
        <v>69180</v>
      </c>
      <c r="E16" s="1174">
        <v>4929</v>
      </c>
      <c r="F16" s="1174">
        <v>74109</v>
      </c>
      <c r="G16" s="1174">
        <v>62676</v>
      </c>
      <c r="H16" s="1174">
        <v>4449</v>
      </c>
      <c r="I16" s="1174">
        <v>67125</v>
      </c>
      <c r="J16" s="1174">
        <v>23000</v>
      </c>
      <c r="K16" s="1174">
        <v>990</v>
      </c>
      <c r="L16" s="1174">
        <v>478</v>
      </c>
      <c r="M16" s="1174">
        <v>1234</v>
      </c>
      <c r="N16" s="1174">
        <v>25702</v>
      </c>
      <c r="O16" s="1174">
        <v>4</v>
      </c>
      <c r="P16" s="1174">
        <v>559</v>
      </c>
      <c r="Q16" s="1174">
        <v>750</v>
      </c>
      <c r="R16" s="1174">
        <v>94140</v>
      </c>
      <c r="S16" s="1174">
        <v>-20031</v>
      </c>
      <c r="T16" s="1174">
        <v>5833</v>
      </c>
      <c r="U16" s="1174">
        <v>14198</v>
      </c>
      <c r="V16" s="1174">
        <v>20031</v>
      </c>
      <c r="W16" s="1179" t="s">
        <v>85</v>
      </c>
      <c r="X16" s="1366"/>
      <c r="Y16" s="1366"/>
      <c r="Z16" s="1366"/>
    </row>
    <row r="17" spans="1:26" ht="15" customHeight="1">
      <c r="A17" s="1164" t="s">
        <v>81</v>
      </c>
      <c r="B17" s="1407">
        <v>63956</v>
      </c>
      <c r="C17" s="1407">
        <v>15528</v>
      </c>
      <c r="D17" s="1407">
        <v>79484</v>
      </c>
      <c r="E17" s="1407">
        <v>3742</v>
      </c>
      <c r="F17" s="1407">
        <v>83226</v>
      </c>
      <c r="G17" s="1407">
        <v>68711</v>
      </c>
      <c r="H17" s="1407">
        <v>8417</v>
      </c>
      <c r="I17" s="1407">
        <v>77128</v>
      </c>
      <c r="J17" s="1407">
        <v>28500</v>
      </c>
      <c r="K17" s="1407">
        <v>1180</v>
      </c>
      <c r="L17" s="1407">
        <v>1009</v>
      </c>
      <c r="M17" s="1407">
        <v>1126</v>
      </c>
      <c r="N17" s="1407">
        <v>31815</v>
      </c>
      <c r="O17" s="1407">
        <v>60</v>
      </c>
      <c r="P17" s="1407">
        <v>1188</v>
      </c>
      <c r="Q17" s="1407">
        <v>332</v>
      </c>
      <c r="R17" s="1407">
        <v>110523</v>
      </c>
      <c r="S17" s="1407">
        <v>-27297</v>
      </c>
      <c r="T17" s="1407">
        <v>9972</v>
      </c>
      <c r="U17" s="1407">
        <v>17325</v>
      </c>
      <c r="V17" s="1407">
        <v>27297</v>
      </c>
      <c r="W17" s="1180" t="s">
        <v>81</v>
      </c>
      <c r="X17" s="1366"/>
      <c r="Y17" s="1366"/>
      <c r="Z17" s="1366"/>
    </row>
    <row r="18" spans="1:26" ht="15" customHeight="1">
      <c r="A18" s="1171" t="s">
        <v>189</v>
      </c>
      <c r="B18" s="1174">
        <v>79052</v>
      </c>
      <c r="C18" s="1174">
        <v>16135</v>
      </c>
      <c r="D18" s="1174">
        <v>95187</v>
      </c>
      <c r="E18" s="1174">
        <v>4224</v>
      </c>
      <c r="F18" s="1174">
        <v>99411</v>
      </c>
      <c r="G18" s="1174">
        <v>77103</v>
      </c>
      <c r="H18" s="1174">
        <v>6074</v>
      </c>
      <c r="I18" s="1174">
        <v>83177</v>
      </c>
      <c r="J18" s="1174">
        <v>35880</v>
      </c>
      <c r="K18" s="1174">
        <v>1430</v>
      </c>
      <c r="L18" s="1174">
        <v>1011</v>
      </c>
      <c r="M18" s="1174">
        <v>1294</v>
      </c>
      <c r="N18" s="1174">
        <v>39615</v>
      </c>
      <c r="O18" s="1174">
        <v>351</v>
      </c>
      <c r="P18" s="1174">
        <v>6718</v>
      </c>
      <c r="Q18" s="1174">
        <v>150</v>
      </c>
      <c r="R18" s="1174">
        <v>130011</v>
      </c>
      <c r="S18" s="1174">
        <v>-30600</v>
      </c>
      <c r="T18" s="1174">
        <v>5783</v>
      </c>
      <c r="U18" s="1174">
        <v>24817</v>
      </c>
      <c r="V18" s="1174">
        <v>30600</v>
      </c>
      <c r="W18" s="1181" t="s">
        <v>189</v>
      </c>
      <c r="X18" s="1366"/>
      <c r="Y18" s="1366"/>
      <c r="Z18" s="1366"/>
    </row>
    <row r="19" spans="1:26" ht="15" customHeight="1">
      <c r="A19" s="1172" t="s">
        <v>705</v>
      </c>
      <c r="B19" s="1407">
        <v>96285</v>
      </c>
      <c r="C19" s="1407">
        <v>18600</v>
      </c>
      <c r="D19" s="1407">
        <v>114885</v>
      </c>
      <c r="E19" s="1407">
        <v>4460</v>
      </c>
      <c r="F19" s="1407">
        <v>119345</v>
      </c>
      <c r="G19" s="1407">
        <v>91823</v>
      </c>
      <c r="H19" s="1407">
        <v>9162</v>
      </c>
      <c r="I19" s="1407">
        <v>100985</v>
      </c>
      <c r="J19" s="1407">
        <v>41080</v>
      </c>
      <c r="K19" s="1407">
        <v>2142</v>
      </c>
      <c r="L19" s="1407">
        <v>1144</v>
      </c>
      <c r="M19" s="1407">
        <v>1285</v>
      </c>
      <c r="N19" s="1407">
        <v>45651</v>
      </c>
      <c r="O19" s="1407">
        <v>384</v>
      </c>
      <c r="P19" s="1407">
        <v>14193</v>
      </c>
      <c r="Q19" s="1407">
        <v>0</v>
      </c>
      <c r="R19" s="1407">
        <v>161213</v>
      </c>
      <c r="S19" s="1407">
        <v>-41868</v>
      </c>
      <c r="T19" s="1407">
        <v>7399</v>
      </c>
      <c r="U19" s="1407">
        <v>34469</v>
      </c>
      <c r="V19" s="1407">
        <v>41868</v>
      </c>
      <c r="W19" s="1182" t="s">
        <v>705</v>
      </c>
      <c r="X19" s="1366"/>
      <c r="Y19" s="1366"/>
      <c r="Z19" s="1366"/>
    </row>
    <row r="20" spans="1:26" ht="15" customHeight="1">
      <c r="A20" s="1171" t="s">
        <v>814</v>
      </c>
      <c r="B20" s="1174">
        <v>116824</v>
      </c>
      <c r="C20" s="1174">
        <v>22846</v>
      </c>
      <c r="D20" s="1174">
        <v>139670</v>
      </c>
      <c r="E20" s="1174">
        <v>5280</v>
      </c>
      <c r="F20" s="1174">
        <v>144950</v>
      </c>
      <c r="G20" s="1174">
        <v>102892</v>
      </c>
      <c r="H20" s="1174">
        <v>7735</v>
      </c>
      <c r="I20" s="1174">
        <v>110627</v>
      </c>
      <c r="J20" s="1174">
        <v>52366</v>
      </c>
      <c r="K20" s="1174">
        <v>3091</v>
      </c>
      <c r="L20" s="1174">
        <v>801</v>
      </c>
      <c r="M20" s="1174">
        <v>1493</v>
      </c>
      <c r="N20" s="1174">
        <v>57751</v>
      </c>
      <c r="O20" s="1174">
        <v>183</v>
      </c>
      <c r="P20" s="1174">
        <v>20765</v>
      </c>
      <c r="Q20" s="1174">
        <v>0</v>
      </c>
      <c r="R20" s="1174">
        <v>189326</v>
      </c>
      <c r="S20" s="1174">
        <v>-44376</v>
      </c>
      <c r="T20" s="1174">
        <v>11903</v>
      </c>
      <c r="U20" s="1174">
        <v>32473</v>
      </c>
      <c r="V20" s="1174">
        <v>44376</v>
      </c>
      <c r="W20" s="1181" t="s">
        <v>814</v>
      </c>
      <c r="X20" s="1366"/>
      <c r="Y20" s="1366"/>
      <c r="Z20" s="1366"/>
    </row>
    <row r="21" spans="1:26" s="180" customFormat="1" ht="15" customHeight="1">
      <c r="A21" s="1172" t="s">
        <v>991</v>
      </c>
      <c r="B21" s="1407">
        <v>130178</v>
      </c>
      <c r="C21" s="1407">
        <v>26493</v>
      </c>
      <c r="D21" s="1407">
        <v>156671</v>
      </c>
      <c r="E21" s="1407">
        <v>5956</v>
      </c>
      <c r="F21" s="1407">
        <v>162627</v>
      </c>
      <c r="G21" s="1407">
        <v>115998</v>
      </c>
      <c r="H21" s="1407">
        <v>18909</v>
      </c>
      <c r="I21" s="1407">
        <v>134907</v>
      </c>
      <c r="J21" s="1407">
        <v>60000</v>
      </c>
      <c r="K21" s="1407">
        <v>3058</v>
      </c>
      <c r="L21" s="1407">
        <v>893</v>
      </c>
      <c r="M21" s="1407">
        <v>1194</v>
      </c>
      <c r="N21" s="1407">
        <v>65145</v>
      </c>
      <c r="O21" s="1407">
        <v>188</v>
      </c>
      <c r="P21" s="1407">
        <v>15982</v>
      </c>
      <c r="Q21" s="1407">
        <v>0</v>
      </c>
      <c r="R21" s="1407">
        <v>216222</v>
      </c>
      <c r="S21" s="1407">
        <v>-53595</v>
      </c>
      <c r="T21" s="1407">
        <v>12613</v>
      </c>
      <c r="U21" s="1407">
        <v>40982</v>
      </c>
      <c r="V21" s="1407">
        <v>53595</v>
      </c>
      <c r="W21" s="1182" t="s">
        <v>991</v>
      </c>
    </row>
    <row r="22" spans="1:26" ht="15" customHeight="1">
      <c r="A22" s="1171" t="s">
        <v>1042</v>
      </c>
      <c r="B22" s="1174">
        <v>140676</v>
      </c>
      <c r="C22" s="1174">
        <v>22695</v>
      </c>
      <c r="D22" s="1174">
        <v>163371</v>
      </c>
      <c r="E22" s="1174">
        <v>5674</v>
      </c>
      <c r="F22" s="1174">
        <v>169045</v>
      </c>
      <c r="G22" s="1174">
        <v>127371</v>
      </c>
      <c r="H22" s="1174">
        <v>22028</v>
      </c>
      <c r="I22" s="1174">
        <v>149399</v>
      </c>
      <c r="J22" s="1174">
        <v>75000</v>
      </c>
      <c r="K22" s="1174">
        <v>3317</v>
      </c>
      <c r="L22" s="1174">
        <v>786</v>
      </c>
      <c r="M22" s="1174">
        <v>1373</v>
      </c>
      <c r="N22" s="1174">
        <v>80476</v>
      </c>
      <c r="O22" s="1174">
        <v>157</v>
      </c>
      <c r="P22" s="1174">
        <v>9636</v>
      </c>
      <c r="Q22" s="1174">
        <v>0</v>
      </c>
      <c r="R22" s="1174">
        <v>239668</v>
      </c>
      <c r="S22" s="1174">
        <v>-70623</v>
      </c>
      <c r="T22" s="1174">
        <v>15909</v>
      </c>
      <c r="U22" s="1174">
        <v>54714</v>
      </c>
      <c r="V22" s="1174">
        <v>70623</v>
      </c>
      <c r="W22" s="1181" t="s">
        <v>1042</v>
      </c>
      <c r="X22" s="1366"/>
      <c r="Y22" s="1366"/>
      <c r="Z22" s="1366"/>
    </row>
    <row r="23" spans="1:26" ht="15" customHeight="1">
      <c r="A23" s="1172" t="s">
        <v>1163</v>
      </c>
      <c r="B23" s="1407">
        <v>155400</v>
      </c>
      <c r="C23" s="1407">
        <v>22000</v>
      </c>
      <c r="D23" s="1407">
        <v>177400</v>
      </c>
      <c r="E23" s="1407">
        <v>5027</v>
      </c>
      <c r="F23" s="1407">
        <v>182427</v>
      </c>
      <c r="G23" s="1407">
        <v>150379</v>
      </c>
      <c r="H23" s="1407">
        <v>13372</v>
      </c>
      <c r="I23" s="1407">
        <v>163751</v>
      </c>
      <c r="J23" s="1407">
        <v>91000</v>
      </c>
      <c r="K23" s="1407">
        <v>2687</v>
      </c>
      <c r="L23" s="1407">
        <v>585</v>
      </c>
      <c r="M23" s="1407">
        <v>1636</v>
      </c>
      <c r="N23" s="1407">
        <v>95908</v>
      </c>
      <c r="O23" s="1407">
        <v>201</v>
      </c>
      <c r="P23" s="1407">
        <v>4705</v>
      </c>
      <c r="Q23" s="1407">
        <v>0</v>
      </c>
      <c r="R23" s="1407">
        <v>264565</v>
      </c>
      <c r="S23" s="1407">
        <v>-82138</v>
      </c>
      <c r="T23" s="1407">
        <v>19963</v>
      </c>
      <c r="U23" s="1407">
        <v>62175</v>
      </c>
      <c r="V23" s="1407">
        <v>82138</v>
      </c>
      <c r="W23" s="1182" t="s">
        <v>1163</v>
      </c>
      <c r="X23" s="1366"/>
      <c r="Y23" s="1366"/>
      <c r="Z23" s="1366"/>
    </row>
    <row r="24" spans="1:26" ht="15" customHeight="1">
      <c r="A24" s="1171" t="s">
        <v>1187</v>
      </c>
      <c r="B24" s="1174">
        <v>192261</v>
      </c>
      <c r="C24" s="1174">
        <v>26239</v>
      </c>
      <c r="D24" s="1174">
        <v>218500</v>
      </c>
      <c r="E24" s="1174">
        <v>4694</v>
      </c>
      <c r="F24" s="1174">
        <v>223194</v>
      </c>
      <c r="G24" s="1174">
        <v>178154</v>
      </c>
      <c r="H24" s="1174">
        <v>14778</v>
      </c>
      <c r="I24" s="1174">
        <v>192932</v>
      </c>
      <c r="J24" s="1174">
        <v>110700</v>
      </c>
      <c r="K24" s="1174">
        <v>2987</v>
      </c>
      <c r="L24" s="1174">
        <v>370</v>
      </c>
      <c r="M24" s="1174">
        <v>1933</v>
      </c>
      <c r="N24" s="1174">
        <v>115990</v>
      </c>
      <c r="O24" s="1174">
        <v>561</v>
      </c>
      <c r="P24" s="1174">
        <v>7691</v>
      </c>
      <c r="Q24" s="1174">
        <v>0</v>
      </c>
      <c r="R24" s="1174">
        <v>317174</v>
      </c>
      <c r="S24" s="1174">
        <v>-93980</v>
      </c>
      <c r="T24" s="1174">
        <v>24077</v>
      </c>
      <c r="U24" s="1174">
        <v>69903</v>
      </c>
      <c r="V24" s="1174">
        <v>93980</v>
      </c>
      <c r="W24" s="1181" t="s">
        <v>1187</v>
      </c>
      <c r="X24" s="1366"/>
      <c r="Y24" s="1366"/>
      <c r="Z24" s="1366"/>
    </row>
    <row r="25" spans="1:26" ht="15" customHeight="1">
      <c r="A25" s="1172" t="s">
        <v>1311</v>
      </c>
      <c r="B25" s="1407">
        <v>232202</v>
      </c>
      <c r="C25" s="1407">
        <v>27252</v>
      </c>
      <c r="D25" s="1407">
        <v>259454</v>
      </c>
      <c r="E25" s="1407">
        <v>4457</v>
      </c>
      <c r="F25" s="1407">
        <v>263911</v>
      </c>
      <c r="G25" s="1407">
        <v>193828</v>
      </c>
      <c r="H25" s="1407">
        <v>16750</v>
      </c>
      <c r="I25" s="1407">
        <v>210578</v>
      </c>
      <c r="J25" s="1407">
        <v>148381</v>
      </c>
      <c r="K25" s="1407">
        <v>3140</v>
      </c>
      <c r="L25" s="1407">
        <v>261</v>
      </c>
      <c r="M25" s="1407">
        <v>1906</v>
      </c>
      <c r="N25" s="1407">
        <v>153688</v>
      </c>
      <c r="O25" s="1407">
        <v>3894</v>
      </c>
      <c r="P25" s="1407">
        <v>3335</v>
      </c>
      <c r="Q25" s="1407">
        <v>0</v>
      </c>
      <c r="R25" s="1407">
        <v>371495</v>
      </c>
      <c r="S25" s="1407">
        <v>-107584</v>
      </c>
      <c r="T25" s="1407">
        <v>41567</v>
      </c>
      <c r="U25" s="1407">
        <v>66017</v>
      </c>
      <c r="V25" s="1407">
        <v>107584</v>
      </c>
      <c r="W25" s="1182" t="s">
        <v>1311</v>
      </c>
      <c r="X25" s="1366"/>
      <c r="Y25" s="1366"/>
      <c r="Z25" s="1366"/>
    </row>
    <row r="26" spans="1:26" ht="15" customHeight="1">
      <c r="A26" s="1171" t="s">
        <v>1420</v>
      </c>
      <c r="B26" s="1174">
        <v>289600</v>
      </c>
      <c r="C26" s="1174">
        <v>27012</v>
      </c>
      <c r="D26" s="1174">
        <v>316612</v>
      </c>
      <c r="E26" s="1174">
        <v>3787</v>
      </c>
      <c r="F26" s="1174">
        <v>320399</v>
      </c>
      <c r="G26" s="1174">
        <v>247747</v>
      </c>
      <c r="H26" s="1174">
        <v>18981</v>
      </c>
      <c r="I26" s="1174">
        <v>266728</v>
      </c>
      <c r="J26" s="1174">
        <v>167000</v>
      </c>
      <c r="K26" s="1174">
        <v>4143</v>
      </c>
      <c r="L26" s="1174">
        <v>299</v>
      </c>
      <c r="M26" s="1174">
        <v>2007</v>
      </c>
      <c r="N26" s="1174">
        <v>173449</v>
      </c>
      <c r="O26" s="1174">
        <v>282</v>
      </c>
      <c r="P26" s="1174">
        <v>2082</v>
      </c>
      <c r="Q26" s="1174">
        <v>0</v>
      </c>
      <c r="R26" s="1174">
        <v>442541</v>
      </c>
      <c r="S26" s="1174">
        <v>-122142</v>
      </c>
      <c r="T26" s="1174">
        <v>43397</v>
      </c>
      <c r="U26" s="1174">
        <v>78745</v>
      </c>
      <c r="V26" s="1174">
        <v>122142</v>
      </c>
      <c r="W26" s="1181" t="s">
        <v>1420</v>
      </c>
      <c r="X26" s="1366"/>
      <c r="Y26" s="1366"/>
      <c r="Z26" s="1366"/>
    </row>
    <row r="27" spans="1:26" ht="15" customHeight="1">
      <c r="A27" s="1172" t="s">
        <v>1502</v>
      </c>
      <c r="B27" s="1407">
        <v>313068</v>
      </c>
      <c r="C27" s="1407">
        <v>35001</v>
      </c>
      <c r="D27" s="1407">
        <v>348069</v>
      </c>
      <c r="E27" s="1407">
        <v>3454</v>
      </c>
      <c r="F27" s="1407">
        <v>351523</v>
      </c>
      <c r="G27" s="1407">
        <v>274907</v>
      </c>
      <c r="H27" s="1407">
        <v>20373</v>
      </c>
      <c r="I27" s="1407">
        <v>295280</v>
      </c>
      <c r="J27" s="1407">
        <v>192921</v>
      </c>
      <c r="K27" s="1407">
        <v>4846</v>
      </c>
      <c r="L27" s="1407">
        <v>1833</v>
      </c>
      <c r="M27" s="1407">
        <v>2749</v>
      </c>
      <c r="N27" s="1407">
        <v>202349</v>
      </c>
      <c r="O27" s="1407">
        <v>654</v>
      </c>
      <c r="P27" s="1407">
        <v>3294</v>
      </c>
      <c r="Q27" s="1407">
        <v>0</v>
      </c>
      <c r="R27" s="1407">
        <v>501577</v>
      </c>
      <c r="S27" s="1407">
        <v>-150054</v>
      </c>
      <c r="T27" s="1407">
        <v>52709</v>
      </c>
      <c r="U27" s="1407">
        <v>97345</v>
      </c>
      <c r="V27" s="1407">
        <v>150054</v>
      </c>
      <c r="W27" s="1182" t="s">
        <v>1502</v>
      </c>
      <c r="X27" s="1366"/>
      <c r="Y27" s="1366"/>
      <c r="Z27" s="1366"/>
    </row>
    <row r="28" spans="1:26" ht="15" customHeight="1">
      <c r="A28" s="1171" t="s">
        <v>1555</v>
      </c>
      <c r="B28" s="1174">
        <v>316000</v>
      </c>
      <c r="C28" s="1174">
        <v>35532</v>
      </c>
      <c r="D28" s="1174">
        <v>351532</v>
      </c>
      <c r="E28" s="1174">
        <v>3985</v>
      </c>
      <c r="F28" s="1174">
        <v>355517</v>
      </c>
      <c r="G28" s="1174">
        <v>302547</v>
      </c>
      <c r="H28" s="1174">
        <v>21141</v>
      </c>
      <c r="I28" s="1174">
        <v>323688</v>
      </c>
      <c r="J28" s="1174">
        <v>197643</v>
      </c>
      <c r="K28" s="1174">
        <v>4610</v>
      </c>
      <c r="L28" s="1174">
        <v>3239</v>
      </c>
      <c r="M28" s="1174">
        <v>2532</v>
      </c>
      <c r="N28" s="1174">
        <v>208024</v>
      </c>
      <c r="O28" s="1174">
        <v>2553</v>
      </c>
      <c r="P28" s="1174">
        <v>4718</v>
      </c>
      <c r="Q28" s="1174">
        <v>0</v>
      </c>
      <c r="R28" s="1174">
        <v>538983</v>
      </c>
      <c r="S28" s="1174">
        <v>-183466</v>
      </c>
      <c r="T28" s="1174">
        <v>68414</v>
      </c>
      <c r="U28" s="1174">
        <v>115052</v>
      </c>
      <c r="V28" s="1174">
        <v>183466</v>
      </c>
      <c r="W28" s="1181" t="s">
        <v>1555</v>
      </c>
      <c r="X28" s="1366"/>
      <c r="Y28" s="1366"/>
      <c r="Z28" s="1366"/>
    </row>
    <row r="29" spans="1:26" ht="15" customHeight="1">
      <c r="A29" s="1172" t="s">
        <v>1836</v>
      </c>
      <c r="B29" s="1407">
        <v>346000</v>
      </c>
      <c r="C29" s="1407">
        <v>43000</v>
      </c>
      <c r="D29" s="1407">
        <v>389000</v>
      </c>
      <c r="E29" s="1407">
        <v>3192</v>
      </c>
      <c r="F29" s="1407">
        <v>392192</v>
      </c>
      <c r="G29" s="1407">
        <v>340572</v>
      </c>
      <c r="H29" s="1407">
        <v>26055</v>
      </c>
      <c r="I29" s="1407">
        <v>366627</v>
      </c>
      <c r="J29" s="1407">
        <v>209977</v>
      </c>
      <c r="K29" s="1407">
        <v>6336</v>
      </c>
      <c r="L29" s="1407">
        <v>3040</v>
      </c>
      <c r="M29" s="1407">
        <v>2595</v>
      </c>
      <c r="N29" s="1407">
        <v>221948</v>
      </c>
      <c r="O29" s="1407">
        <v>136</v>
      </c>
      <c r="P29" s="1407">
        <v>4789</v>
      </c>
      <c r="Q29" s="1407">
        <v>0</v>
      </c>
      <c r="R29" s="1407">
        <v>593500</v>
      </c>
      <c r="S29" s="1407">
        <v>-201308</v>
      </c>
      <c r="T29" s="1407">
        <v>77020</v>
      </c>
      <c r="U29" s="1407">
        <v>124288</v>
      </c>
      <c r="V29" s="1407">
        <v>201308</v>
      </c>
      <c r="W29" s="1182" t="s">
        <v>1836</v>
      </c>
      <c r="X29" s="1366"/>
      <c r="Y29" s="1366"/>
      <c r="Z29" s="1366"/>
    </row>
    <row r="30" spans="1:26" ht="15" customHeight="1">
      <c r="A30" s="1171" t="s">
        <v>2088</v>
      </c>
      <c r="B30" s="1174">
        <v>388000</v>
      </c>
      <c r="C30" s="1174">
        <v>45000</v>
      </c>
      <c r="D30" s="1174">
        <v>433000</v>
      </c>
      <c r="E30" s="1174">
        <v>3263</v>
      </c>
      <c r="F30" s="1174">
        <v>436263</v>
      </c>
      <c r="G30" s="1174">
        <v>390085</v>
      </c>
      <c r="H30" s="1174">
        <v>24198</v>
      </c>
      <c r="I30" s="1174">
        <v>414283</v>
      </c>
      <c r="J30" s="1174">
        <v>227566</v>
      </c>
      <c r="K30" s="1174">
        <v>7436</v>
      </c>
      <c r="L30" s="1174">
        <v>3732</v>
      </c>
      <c r="M30" s="1174">
        <v>2873</v>
      </c>
      <c r="N30" s="1174">
        <v>241607</v>
      </c>
      <c r="O30" s="1174">
        <v>1097</v>
      </c>
      <c r="P30" s="1174">
        <v>3520</v>
      </c>
      <c r="Q30" s="1174">
        <v>0</v>
      </c>
      <c r="R30" s="1174">
        <v>660507</v>
      </c>
      <c r="S30" s="1174">
        <v>-224244</v>
      </c>
      <c r="T30" s="1174">
        <v>83819</v>
      </c>
      <c r="U30" s="1174">
        <v>140425</v>
      </c>
      <c r="V30" s="1174">
        <v>224244</v>
      </c>
      <c r="W30" s="1181" t="s">
        <v>2088</v>
      </c>
      <c r="X30" s="1366"/>
      <c r="Y30" s="1366"/>
      <c r="Z30" s="1366"/>
    </row>
    <row r="31" spans="1:26" s="1366" customFormat="1" ht="15" customHeight="1">
      <c r="A31" s="1172" t="s">
        <v>2228</v>
      </c>
      <c r="B31" s="1407">
        <v>429000</v>
      </c>
      <c r="C31" s="1407">
        <v>49000</v>
      </c>
      <c r="D31" s="1407">
        <v>478000</v>
      </c>
      <c r="E31" s="1407">
        <v>3500</v>
      </c>
      <c r="F31" s="1407">
        <v>481500</v>
      </c>
      <c r="G31" s="1407">
        <v>434057</v>
      </c>
      <c r="H31" s="1407">
        <v>19170</v>
      </c>
      <c r="I31" s="1407">
        <v>453228</v>
      </c>
      <c r="J31" s="1407">
        <v>245000</v>
      </c>
      <c r="K31" s="1407">
        <v>7853</v>
      </c>
      <c r="L31" s="1407">
        <v>4378</v>
      </c>
      <c r="M31" s="1407">
        <v>2775</v>
      </c>
      <c r="N31" s="1407">
        <v>260007</v>
      </c>
      <c r="O31" s="1407">
        <v>-1234</v>
      </c>
      <c r="P31" s="1407">
        <v>2417</v>
      </c>
      <c r="Q31" s="1407">
        <v>0</v>
      </c>
      <c r="R31" s="1407">
        <v>714418</v>
      </c>
      <c r="S31" s="1407">
        <v>-232918</v>
      </c>
      <c r="T31" s="1407">
        <v>76293</v>
      </c>
      <c r="U31" s="1407">
        <v>156625</v>
      </c>
      <c r="V31" s="1407">
        <v>232918</v>
      </c>
      <c r="W31" s="1182" t="s">
        <v>2228</v>
      </c>
    </row>
    <row r="32" spans="1:26" s="1366" customFormat="1" ht="15" customHeight="1">
      <c r="A32" s="1171" t="s">
        <v>2501</v>
      </c>
      <c r="B32" s="1174">
        <v>478000</v>
      </c>
      <c r="C32" s="1174">
        <v>40000</v>
      </c>
      <c r="D32" s="1174">
        <f>B32+C32</f>
        <v>518000</v>
      </c>
      <c r="E32" s="1174">
        <v>4400</v>
      </c>
      <c r="F32" s="1174">
        <f>D32+E32</f>
        <v>522400</v>
      </c>
      <c r="G32" s="1174">
        <v>482876</v>
      </c>
      <c r="H32" s="1174">
        <v>23126</v>
      </c>
      <c r="I32" s="1174">
        <f>G32+H32</f>
        <v>506002</v>
      </c>
      <c r="J32" s="1174">
        <v>216000</v>
      </c>
      <c r="K32" s="1174">
        <v>8371</v>
      </c>
      <c r="L32" s="1174">
        <v>4653</v>
      </c>
      <c r="M32" s="1174">
        <v>2575</v>
      </c>
      <c r="N32" s="1174">
        <f>J32+K32+L32+M32</f>
        <v>231599</v>
      </c>
      <c r="O32" s="1174">
        <v>1008</v>
      </c>
      <c r="P32" s="1174">
        <v>5391</v>
      </c>
      <c r="Q32" s="1174">
        <v>0</v>
      </c>
      <c r="R32" s="1174">
        <f>I32+N32+O32+P32+Q32</f>
        <v>744000</v>
      </c>
      <c r="S32" s="1174">
        <f>F32-R32</f>
        <v>-221600</v>
      </c>
      <c r="T32" s="1174">
        <v>104600</v>
      </c>
      <c r="U32" s="1174">
        <v>117000</v>
      </c>
      <c r="V32" s="1174">
        <f>T32+U32</f>
        <v>221600</v>
      </c>
      <c r="W32" s="1630" t="s">
        <v>2501</v>
      </c>
    </row>
    <row r="33" spans="1:26" s="1615" customFormat="1" ht="15" customHeight="1" thickBot="1">
      <c r="A33" s="1627" t="s">
        <v>2770</v>
      </c>
      <c r="B33" s="1628">
        <v>518000</v>
      </c>
      <c r="C33" s="1628">
        <v>46000</v>
      </c>
      <c r="D33" s="1628">
        <f>B33+C33</f>
        <v>564000</v>
      </c>
      <c r="E33" s="1628">
        <v>5000</v>
      </c>
      <c r="F33" s="1628">
        <f>D33+E33</f>
        <v>569000</v>
      </c>
      <c r="G33" s="1628">
        <v>498784</v>
      </c>
      <c r="H33" s="1628">
        <v>36533</v>
      </c>
      <c r="I33" s="1628">
        <f>G33+H33</f>
        <v>535317</v>
      </c>
      <c r="J33" s="1628">
        <v>230000</v>
      </c>
      <c r="K33" s="1628">
        <v>7751</v>
      </c>
      <c r="L33" s="1628">
        <v>5303</v>
      </c>
      <c r="M33" s="1628">
        <v>2555</v>
      </c>
      <c r="N33" s="1628">
        <f>J33+K33+L33+M33</f>
        <v>245609</v>
      </c>
      <c r="O33" s="1628">
        <v>683</v>
      </c>
      <c r="P33" s="1628">
        <v>8391</v>
      </c>
      <c r="Q33" s="1628">
        <v>0</v>
      </c>
      <c r="R33" s="1628">
        <f>I33+N33+O33+P33+Q33</f>
        <v>790000</v>
      </c>
      <c r="S33" s="1628">
        <f>F33-R33</f>
        <v>-221000</v>
      </c>
      <c r="T33" s="1628">
        <v>96000</v>
      </c>
      <c r="U33" s="1628">
        <v>125000</v>
      </c>
      <c r="V33" s="1628">
        <f>T33+U33</f>
        <v>221000</v>
      </c>
      <c r="W33" s="1629" t="s">
        <v>2770</v>
      </c>
    </row>
    <row r="34" spans="1:26" s="1366" customFormat="1" ht="15">
      <c r="A34" s="1165" t="s">
        <v>1346</v>
      </c>
      <c r="B34" s="1166" t="s">
        <v>2125</v>
      </c>
      <c r="C34" s="1159"/>
      <c r="D34" s="1159"/>
      <c r="E34" s="1159"/>
      <c r="F34" s="1159"/>
      <c r="G34" s="1167" t="s">
        <v>2126</v>
      </c>
      <c r="H34" s="1168"/>
      <c r="I34" s="1159"/>
      <c r="J34" s="914"/>
      <c r="K34" s="914"/>
      <c r="L34" s="1169"/>
      <c r="M34" s="1169"/>
      <c r="N34" s="1169"/>
      <c r="O34" s="1169"/>
      <c r="P34" s="1169"/>
      <c r="Q34" s="1169"/>
      <c r="R34" s="1169"/>
      <c r="S34" s="1169"/>
      <c r="T34" s="1169"/>
      <c r="U34" s="1169"/>
      <c r="V34" s="1170"/>
      <c r="W34" s="1169"/>
    </row>
    <row r="35" spans="1:26">
      <c r="A35" s="1366"/>
      <c r="B35" s="1366"/>
      <c r="C35" s="1366"/>
      <c r="D35" s="1366"/>
      <c r="E35" s="1366"/>
      <c r="F35" s="1366"/>
      <c r="G35" s="1366"/>
      <c r="H35" s="1366"/>
      <c r="I35" s="1366"/>
      <c r="J35" s="1366"/>
      <c r="K35" s="1366"/>
      <c r="L35" s="1366"/>
      <c r="M35" s="1366"/>
      <c r="N35" s="1073"/>
      <c r="O35" s="1073"/>
      <c r="P35" s="1366"/>
      <c r="Q35" s="1366"/>
      <c r="R35" s="1366"/>
      <c r="S35" s="1366"/>
      <c r="T35" s="1366"/>
      <c r="U35" s="1366"/>
      <c r="V35" s="1366"/>
      <c r="W35" s="1366"/>
      <c r="X35" s="1366"/>
      <c r="Y35" s="1366"/>
      <c r="Z35" s="1366"/>
    </row>
    <row r="36" spans="1:26">
      <c r="A36" s="1366"/>
      <c r="B36" s="1366"/>
      <c r="C36" s="1366"/>
      <c r="D36" s="1366"/>
      <c r="E36" s="1366"/>
      <c r="F36" s="1366"/>
      <c r="G36" s="1366"/>
      <c r="H36" s="1366"/>
      <c r="I36" s="1366"/>
      <c r="J36" s="1366"/>
      <c r="K36" s="1366"/>
      <c r="L36" s="1073"/>
      <c r="M36" s="1073"/>
      <c r="N36" s="1366"/>
      <c r="O36" s="1366"/>
      <c r="P36" s="1366"/>
      <c r="Q36" s="1366"/>
      <c r="R36" s="1366"/>
      <c r="S36" s="1366"/>
      <c r="T36" s="1366"/>
      <c r="U36" s="1366"/>
      <c r="V36" s="1366"/>
      <c r="W36" s="1366"/>
      <c r="X36" s="1366"/>
      <c r="Y36" s="1366"/>
      <c r="Z36" s="1366"/>
    </row>
    <row r="37" spans="1:26">
      <c r="A37" s="1366"/>
      <c r="B37" s="1366"/>
      <c r="C37" s="1366"/>
      <c r="D37" s="1366"/>
      <c r="E37" s="1366"/>
      <c r="F37" s="1366"/>
      <c r="G37" s="1366"/>
      <c r="H37" s="1366"/>
      <c r="I37" s="1366"/>
      <c r="J37" s="1366"/>
      <c r="K37" s="1366"/>
      <c r="L37" s="1366"/>
      <c r="M37" s="1366"/>
      <c r="N37" s="1366"/>
      <c r="O37" s="1366"/>
      <c r="P37" s="1366"/>
      <c r="Q37" s="1366"/>
      <c r="R37" s="1366"/>
      <c r="S37" s="1366"/>
      <c r="T37" s="1366"/>
      <c r="U37" s="1366"/>
      <c r="V37" s="1366"/>
      <c r="W37" s="1366"/>
      <c r="X37" s="1366"/>
      <c r="Y37" s="1366"/>
      <c r="Z37" s="1366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10">
    <mergeCell ref="A4:A6"/>
    <mergeCell ref="B4:F4"/>
    <mergeCell ref="G4:R4"/>
    <mergeCell ref="S4:S5"/>
    <mergeCell ref="T4:V4"/>
    <mergeCell ref="I1:L1"/>
    <mergeCell ref="M1:R1"/>
    <mergeCell ref="W4:W6"/>
    <mergeCell ref="M2:N2"/>
    <mergeCell ref="J2:L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topLeftCell="A4" workbookViewId="0">
      <selection activeCell="N23" sqref="N23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53" t="s">
        <v>327</v>
      </c>
      <c r="C1" s="2653"/>
      <c r="D1" s="2653"/>
      <c r="E1" s="2653"/>
      <c r="F1" s="2653"/>
      <c r="G1" s="2653"/>
      <c r="H1" s="2653"/>
    </row>
    <row r="2" spans="2:8" s="4" customFormat="1" ht="12">
      <c r="B2" s="2654" t="s">
        <v>1281</v>
      </c>
      <c r="C2" s="2654"/>
      <c r="D2" s="2654"/>
      <c r="E2" s="2654"/>
      <c r="F2" s="2654"/>
      <c r="G2" s="2654"/>
      <c r="H2" s="2654"/>
    </row>
    <row r="3" spans="2:8">
      <c r="B3" s="175"/>
      <c r="C3" s="175"/>
      <c r="D3" s="175"/>
      <c r="E3" s="175"/>
      <c r="F3" s="175"/>
      <c r="G3" s="175"/>
      <c r="H3" s="175"/>
    </row>
    <row r="4" spans="2:8">
      <c r="B4" s="987"/>
      <c r="C4" s="987"/>
      <c r="D4" s="987"/>
      <c r="E4" s="987"/>
      <c r="F4" s="987"/>
      <c r="G4" s="987"/>
      <c r="H4" s="987"/>
    </row>
    <row r="5" spans="2:8" ht="15" customHeight="1">
      <c r="B5" s="176" t="s">
        <v>386</v>
      </c>
      <c r="C5" s="177" t="s">
        <v>387</v>
      </c>
      <c r="D5" s="987" t="s">
        <v>388</v>
      </c>
      <c r="E5" s="987"/>
      <c r="F5" s="987" t="s">
        <v>389</v>
      </c>
      <c r="G5" s="987" t="s">
        <v>387</v>
      </c>
      <c r="H5" s="987" t="s">
        <v>390</v>
      </c>
    </row>
    <row r="6" spans="2:8" ht="15" customHeight="1">
      <c r="B6" s="987"/>
      <c r="C6" s="177" t="s">
        <v>387</v>
      </c>
      <c r="D6" s="177" t="s">
        <v>391</v>
      </c>
      <c r="E6" s="177"/>
      <c r="F6" s="177"/>
      <c r="G6" s="177" t="s">
        <v>387</v>
      </c>
      <c r="H6" s="177" t="s">
        <v>392</v>
      </c>
    </row>
    <row r="7" spans="2:8" ht="15" customHeight="1">
      <c r="B7" s="987"/>
      <c r="C7" s="987"/>
      <c r="D7" s="177"/>
      <c r="E7" s="177"/>
      <c r="F7" s="177"/>
      <c r="G7" s="177"/>
      <c r="H7" s="177"/>
    </row>
    <row r="8" spans="2:8" ht="15" customHeight="1">
      <c r="B8" s="177" t="s">
        <v>393</v>
      </c>
      <c r="C8" s="177" t="s">
        <v>387</v>
      </c>
      <c r="D8" s="177" t="s">
        <v>394</v>
      </c>
      <c r="E8" s="177"/>
      <c r="F8" s="177" t="s">
        <v>395</v>
      </c>
      <c r="G8" s="177" t="s">
        <v>387</v>
      </c>
      <c r="H8" s="177" t="s">
        <v>396</v>
      </c>
    </row>
    <row r="9" spans="2:8" ht="15" customHeight="1">
      <c r="B9" s="987"/>
      <c r="C9" s="177"/>
      <c r="D9" s="177"/>
      <c r="E9" s="177"/>
      <c r="F9" s="177"/>
      <c r="G9" s="177" t="s">
        <v>387</v>
      </c>
      <c r="H9" s="177" t="s">
        <v>398</v>
      </c>
    </row>
    <row r="10" spans="2:8" ht="15" customHeight="1">
      <c r="B10" s="987"/>
      <c r="C10" s="177"/>
      <c r="D10" s="177"/>
      <c r="E10" s="177"/>
      <c r="F10" s="177"/>
      <c r="G10" s="177"/>
      <c r="H10" s="177"/>
    </row>
    <row r="11" spans="2:8" ht="15" customHeight="1">
      <c r="B11" s="177" t="s">
        <v>399</v>
      </c>
      <c r="C11" s="177" t="s">
        <v>387</v>
      </c>
      <c r="D11" s="177" t="s">
        <v>400</v>
      </c>
      <c r="E11" s="177"/>
      <c r="F11" s="177" t="s">
        <v>401</v>
      </c>
      <c r="G11" s="177" t="s">
        <v>387</v>
      </c>
      <c r="H11" s="177" t="s">
        <v>402</v>
      </c>
    </row>
    <row r="12" spans="2:8" ht="15" customHeight="1">
      <c r="B12" s="177" t="s">
        <v>403</v>
      </c>
      <c r="C12" s="177" t="s">
        <v>387</v>
      </c>
      <c r="D12" s="177" t="s">
        <v>404</v>
      </c>
      <c r="E12" s="177"/>
      <c r="F12" s="177"/>
      <c r="G12" s="177" t="s">
        <v>387</v>
      </c>
      <c r="H12" s="177" t="s">
        <v>405</v>
      </c>
    </row>
    <row r="13" spans="2:8" ht="15" customHeight="1">
      <c r="B13" s="177"/>
      <c r="C13" s="177"/>
      <c r="D13" s="177"/>
      <c r="E13" s="177"/>
      <c r="F13" s="177"/>
      <c r="G13" s="177"/>
      <c r="H13" s="177"/>
    </row>
    <row r="14" spans="2:8" ht="15" customHeight="1">
      <c r="B14" s="177"/>
      <c r="C14" s="177"/>
      <c r="D14" s="177"/>
      <c r="E14" s="177"/>
      <c r="F14" s="177" t="s">
        <v>406</v>
      </c>
      <c r="G14" s="177" t="s">
        <v>387</v>
      </c>
      <c r="H14" s="177" t="s">
        <v>407</v>
      </c>
    </row>
    <row r="15" spans="2:8" ht="15" customHeight="1">
      <c r="B15" s="177" t="s">
        <v>408</v>
      </c>
      <c r="C15" s="177" t="s">
        <v>387</v>
      </c>
      <c r="D15" s="177" t="s">
        <v>409</v>
      </c>
      <c r="E15" s="177"/>
      <c r="F15" s="177"/>
      <c r="G15" s="177" t="s">
        <v>387</v>
      </c>
      <c r="H15" s="177" t="s">
        <v>410</v>
      </c>
    </row>
    <row r="16" spans="2:8" ht="15" customHeight="1">
      <c r="B16" s="177"/>
      <c r="C16" s="177" t="s">
        <v>387</v>
      </c>
      <c r="D16" s="177" t="s">
        <v>411</v>
      </c>
      <c r="E16" s="177"/>
      <c r="F16" s="177"/>
      <c r="G16" s="177"/>
      <c r="H16" s="177"/>
    </row>
    <row r="17" spans="2:11" ht="15" customHeight="1">
      <c r="B17" s="177"/>
      <c r="C17" s="177"/>
      <c r="E17" s="177"/>
      <c r="F17" s="177" t="s">
        <v>412</v>
      </c>
      <c r="G17" s="177" t="s">
        <v>387</v>
      </c>
      <c r="H17" s="177" t="s">
        <v>413</v>
      </c>
    </row>
    <row r="18" spans="2:11" ht="15" customHeight="1">
      <c r="B18" s="178" t="s">
        <v>414</v>
      </c>
      <c r="C18" s="177" t="s">
        <v>387</v>
      </c>
      <c r="D18" s="177" t="s">
        <v>417</v>
      </c>
      <c r="E18" s="177"/>
      <c r="F18" s="177" t="s">
        <v>415</v>
      </c>
      <c r="G18" s="177" t="s">
        <v>387</v>
      </c>
      <c r="H18" s="177" t="s">
        <v>416</v>
      </c>
    </row>
    <row r="19" spans="2:11" ht="15" customHeight="1">
      <c r="B19" s="2"/>
      <c r="C19" s="177" t="s">
        <v>387</v>
      </c>
      <c r="D19" s="178" t="s">
        <v>1175</v>
      </c>
      <c r="E19" s="177"/>
      <c r="F19" s="177" t="s">
        <v>474</v>
      </c>
      <c r="G19" s="177" t="s">
        <v>387</v>
      </c>
      <c r="H19" s="177" t="s">
        <v>418</v>
      </c>
    </row>
    <row r="20" spans="2:11" ht="15" customHeight="1">
      <c r="B20" s="177" t="s">
        <v>419</v>
      </c>
      <c r="C20" s="177" t="s">
        <v>387</v>
      </c>
      <c r="D20" s="177" t="s">
        <v>420</v>
      </c>
      <c r="E20" s="177"/>
      <c r="F20" s="177" t="s">
        <v>421</v>
      </c>
      <c r="G20" s="177" t="s">
        <v>387</v>
      </c>
      <c r="H20" s="177" t="s">
        <v>422</v>
      </c>
    </row>
    <row r="21" spans="2:11" ht="15" customHeight="1">
      <c r="B21" s="177"/>
      <c r="C21" s="177" t="s">
        <v>387</v>
      </c>
      <c r="D21" s="177" t="s">
        <v>423</v>
      </c>
      <c r="E21" s="177"/>
      <c r="F21" s="177" t="s">
        <v>424</v>
      </c>
      <c r="G21" s="177" t="s">
        <v>387</v>
      </c>
      <c r="H21" s="177" t="s">
        <v>425</v>
      </c>
    </row>
    <row r="22" spans="2:11" ht="15" customHeight="1">
      <c r="B22" s="177"/>
      <c r="C22" s="177" t="s">
        <v>387</v>
      </c>
      <c r="D22" s="177" t="s">
        <v>426</v>
      </c>
      <c r="E22" s="177"/>
      <c r="F22" s="177"/>
      <c r="G22" s="177" t="s">
        <v>387</v>
      </c>
      <c r="H22" s="177" t="s">
        <v>429</v>
      </c>
      <c r="K22" s="735"/>
    </row>
    <row r="23" spans="2:11" ht="15" customHeight="1">
      <c r="B23" s="177"/>
      <c r="C23" s="177" t="s">
        <v>387</v>
      </c>
      <c r="D23" s="177" t="s">
        <v>430</v>
      </c>
      <c r="E23" s="177"/>
      <c r="F23" s="177"/>
      <c r="G23" s="177"/>
      <c r="H23" s="177"/>
    </row>
    <row r="24" spans="2:11" ht="15" customHeight="1">
      <c r="B24" s="177"/>
      <c r="C24" s="177"/>
      <c r="D24" s="177"/>
      <c r="E24" s="177"/>
      <c r="F24" s="177" t="s">
        <v>472</v>
      </c>
      <c r="G24" s="177" t="s">
        <v>387</v>
      </c>
      <c r="H24" s="177" t="s">
        <v>434</v>
      </c>
    </row>
    <row r="25" spans="2:11" ht="15" customHeight="1">
      <c r="B25" s="177" t="s">
        <v>435</v>
      </c>
      <c r="C25" s="177" t="s">
        <v>387</v>
      </c>
      <c r="D25" s="177" t="s">
        <v>436</v>
      </c>
      <c r="E25" s="177"/>
      <c r="F25" s="177"/>
      <c r="G25" s="177" t="s">
        <v>387</v>
      </c>
      <c r="H25" s="177" t="s">
        <v>437</v>
      </c>
    </row>
    <row r="26" spans="2:11" ht="15" customHeight="1">
      <c r="B26" s="177"/>
      <c r="C26" s="177" t="s">
        <v>387</v>
      </c>
      <c r="D26" s="177" t="s">
        <v>438</v>
      </c>
      <c r="E26" s="177"/>
      <c r="F26" s="177"/>
      <c r="G26" s="177" t="s">
        <v>387</v>
      </c>
      <c r="H26" s="177" t="s">
        <v>439</v>
      </c>
    </row>
    <row r="27" spans="2:11" ht="15" customHeight="1">
      <c r="B27" s="177"/>
      <c r="C27" s="179" t="s">
        <v>387</v>
      </c>
      <c r="D27" s="179" t="s">
        <v>440</v>
      </c>
      <c r="E27" s="177"/>
      <c r="F27" s="177"/>
      <c r="G27" s="177"/>
      <c r="H27" s="177"/>
    </row>
    <row r="28" spans="2:11" ht="15" customHeight="1">
      <c r="B28" s="177"/>
      <c r="C28" s="177"/>
      <c r="D28" s="177"/>
      <c r="E28" s="177"/>
      <c r="F28" s="177" t="s">
        <v>441</v>
      </c>
      <c r="G28" s="177" t="s">
        <v>387</v>
      </c>
      <c r="H28" s="177" t="s">
        <v>442</v>
      </c>
    </row>
    <row r="29" spans="2:11" ht="15" customHeight="1">
      <c r="B29" s="177" t="s">
        <v>443</v>
      </c>
      <c r="C29" s="177" t="s">
        <v>387</v>
      </c>
      <c r="D29" s="177" t="s">
        <v>444</v>
      </c>
      <c r="E29" s="177"/>
      <c r="F29" s="177" t="s">
        <v>445</v>
      </c>
      <c r="G29" s="177" t="s">
        <v>387</v>
      </c>
      <c r="H29" s="177" t="s">
        <v>446</v>
      </c>
    </row>
    <row r="30" spans="2:11" ht="15" customHeight="1">
      <c r="B30" s="177"/>
      <c r="C30" s="177" t="s">
        <v>387</v>
      </c>
      <c r="D30" s="177" t="s">
        <v>447</v>
      </c>
      <c r="E30" s="177"/>
      <c r="F30" s="177"/>
      <c r="G30" s="177" t="s">
        <v>387</v>
      </c>
      <c r="H30" s="177" t="s">
        <v>448</v>
      </c>
    </row>
    <row r="31" spans="2:11" ht="15" customHeight="1">
      <c r="B31" s="177"/>
      <c r="C31" s="177"/>
      <c r="D31" s="177"/>
      <c r="E31" s="177"/>
      <c r="F31" s="177"/>
      <c r="G31" s="177" t="s">
        <v>387</v>
      </c>
      <c r="H31" s="177" t="s">
        <v>473</v>
      </c>
    </row>
    <row r="32" spans="2:11" ht="15" customHeight="1">
      <c r="B32" s="177" t="s">
        <v>449</v>
      </c>
      <c r="C32" s="177" t="s">
        <v>387</v>
      </c>
      <c r="D32" s="177" t="s">
        <v>450</v>
      </c>
      <c r="E32" s="177"/>
      <c r="F32" s="177"/>
      <c r="G32" s="177" t="s">
        <v>387</v>
      </c>
      <c r="H32" s="177" t="s">
        <v>326</v>
      </c>
    </row>
    <row r="33" spans="2:8" ht="15" customHeight="1">
      <c r="B33" s="177"/>
      <c r="C33" s="177" t="s">
        <v>387</v>
      </c>
      <c r="D33" s="177" t="s">
        <v>451</v>
      </c>
      <c r="E33" s="177"/>
    </row>
    <row r="34" spans="2:8" ht="15" customHeight="1">
      <c r="B34" s="177"/>
      <c r="C34" s="177" t="s">
        <v>387</v>
      </c>
      <c r="D34" s="177" t="s">
        <v>454</v>
      </c>
      <c r="E34" s="177"/>
      <c r="F34" s="177" t="s">
        <v>452</v>
      </c>
      <c r="G34" s="177" t="s">
        <v>387</v>
      </c>
      <c r="H34" s="177" t="s">
        <v>453</v>
      </c>
    </row>
    <row r="35" spans="2:8" ht="15" customHeight="1">
      <c r="B35" s="177"/>
      <c r="C35" s="177"/>
      <c r="D35" s="177"/>
      <c r="E35" s="177"/>
      <c r="F35" s="177" t="s">
        <v>324</v>
      </c>
      <c r="G35" s="177" t="s">
        <v>387</v>
      </c>
      <c r="H35" s="177" t="s">
        <v>325</v>
      </c>
    </row>
    <row r="36" spans="2:8" ht="15" customHeight="1">
      <c r="B36" s="177" t="s">
        <v>455</v>
      </c>
      <c r="C36" s="177" t="s">
        <v>387</v>
      </c>
      <c r="D36" s="177" t="s">
        <v>456</v>
      </c>
      <c r="E36" s="177"/>
      <c r="F36" s="177" t="s">
        <v>708</v>
      </c>
      <c r="G36" s="177" t="s">
        <v>387</v>
      </c>
      <c r="H36" s="177" t="s">
        <v>323</v>
      </c>
    </row>
    <row r="37" spans="2:8" ht="15" customHeight="1" thickBot="1">
      <c r="B37" s="335"/>
      <c r="C37" s="335"/>
      <c r="D37" s="336"/>
      <c r="E37" s="336"/>
      <c r="F37" s="336"/>
      <c r="G37" s="336"/>
      <c r="H37" s="336"/>
    </row>
    <row r="38" spans="2:8" ht="15" customHeight="1">
      <c r="B38" s="2655" t="s">
        <v>1282</v>
      </c>
      <c r="C38" s="2655"/>
      <c r="D38" s="2655"/>
      <c r="E38" s="2655"/>
      <c r="F38" s="2655"/>
      <c r="G38" s="2655"/>
      <c r="H38" s="2655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3"/>
  <sheetViews>
    <sheetView zoomScale="160" zoomScaleNormal="160" workbookViewId="0">
      <pane xSplit="1" ySplit="8" topLeftCell="G54" activePane="bottomRight" state="frozen"/>
      <selection activeCell="Q6" sqref="Q6"/>
      <selection pane="topRight" activeCell="Q6" sqref="Q6"/>
      <selection pane="bottomLeft" activeCell="Q6" sqref="Q6"/>
      <selection pane="bottomRight" activeCell="R49" sqref="R49:S49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2" customFormat="1" ht="15" customHeight="1">
      <c r="A1" s="2067"/>
      <c r="B1" s="2067"/>
      <c r="C1" s="2067"/>
      <c r="D1" s="2067"/>
      <c r="E1" s="2067"/>
      <c r="F1" s="2067"/>
      <c r="G1" s="2055" t="s">
        <v>372</v>
      </c>
      <c r="H1" s="2055"/>
      <c r="I1" s="2062" t="s">
        <v>1332</v>
      </c>
      <c r="J1" s="2062"/>
      <c r="K1" s="33"/>
      <c r="L1" s="33"/>
      <c r="M1" s="33"/>
      <c r="N1" s="33"/>
      <c r="O1" s="2055" t="s">
        <v>193</v>
      </c>
      <c r="P1" s="2055"/>
    </row>
    <row r="2" spans="1:16" ht="12" customHeight="1">
      <c r="A2" s="42"/>
      <c r="O2" s="2056" t="s">
        <v>24</v>
      </c>
      <c r="P2" s="2057"/>
    </row>
    <row r="3" spans="1:16" s="165" customFormat="1" ht="15" customHeight="1">
      <c r="A3" s="1984" t="s">
        <v>891</v>
      </c>
      <c r="B3" s="2066" t="s">
        <v>482</v>
      </c>
      <c r="C3" s="2066"/>
      <c r="D3" s="2075"/>
      <c r="E3" s="2065" t="s">
        <v>311</v>
      </c>
      <c r="F3" s="2066"/>
      <c r="G3" s="2066"/>
      <c r="H3" s="2066"/>
      <c r="I3" s="2066" t="s">
        <v>569</v>
      </c>
      <c r="J3" s="2066"/>
      <c r="K3" s="2066"/>
      <c r="L3" s="1522"/>
      <c r="M3" s="2060" t="s">
        <v>894</v>
      </c>
      <c r="N3" s="2060" t="s">
        <v>895</v>
      </c>
      <c r="O3" s="2058" t="s">
        <v>1333</v>
      </c>
      <c r="P3" s="1984" t="s">
        <v>891</v>
      </c>
    </row>
    <row r="4" spans="1:16" s="165" customFormat="1" ht="15" customHeight="1">
      <c r="A4" s="1985"/>
      <c r="B4" s="2076" t="s">
        <v>127</v>
      </c>
      <c r="C4" s="2060" t="s">
        <v>128</v>
      </c>
      <c r="D4" s="2060" t="s">
        <v>997</v>
      </c>
      <c r="E4" s="2068" t="s">
        <v>180</v>
      </c>
      <c r="F4" s="2069"/>
      <c r="G4" s="2069"/>
      <c r="H4" s="2069"/>
      <c r="I4" s="2069"/>
      <c r="J4" s="2070"/>
      <c r="K4" s="2063" t="s">
        <v>893</v>
      </c>
      <c r="L4" s="2060" t="s">
        <v>577</v>
      </c>
      <c r="M4" s="2061"/>
      <c r="N4" s="2061"/>
      <c r="O4" s="2059"/>
      <c r="P4" s="1985"/>
    </row>
    <row r="5" spans="1:16" s="165" customFormat="1" ht="15" customHeight="1">
      <c r="A5" s="1985"/>
      <c r="B5" s="2077"/>
      <c r="C5" s="2061"/>
      <c r="D5" s="2061"/>
      <c r="E5" s="2072" t="s">
        <v>484</v>
      </c>
      <c r="F5" s="2073"/>
      <c r="G5" s="2074"/>
      <c r="H5" s="2078" t="s">
        <v>183</v>
      </c>
      <c r="I5" s="2079"/>
      <c r="J5" s="2080"/>
      <c r="K5" s="2064"/>
      <c r="L5" s="2061"/>
      <c r="M5" s="2061"/>
      <c r="N5" s="2061"/>
      <c r="O5" s="2059"/>
      <c r="P5" s="1985"/>
    </row>
    <row r="6" spans="1:16" s="165" customFormat="1" ht="15" customHeight="1">
      <c r="A6" s="1985"/>
      <c r="B6" s="2077"/>
      <c r="C6" s="2061"/>
      <c r="D6" s="2061"/>
      <c r="E6" s="2060" t="s">
        <v>127</v>
      </c>
      <c r="F6" s="2060" t="s">
        <v>128</v>
      </c>
      <c r="G6" s="2058" t="s">
        <v>1320</v>
      </c>
      <c r="H6" s="1954" t="s">
        <v>127</v>
      </c>
      <c r="I6" s="1954" t="s">
        <v>128</v>
      </c>
      <c r="J6" s="2081" t="s">
        <v>892</v>
      </c>
      <c r="K6" s="2064"/>
      <c r="L6" s="2061"/>
      <c r="M6" s="2061"/>
      <c r="N6" s="2061"/>
      <c r="O6" s="2059"/>
      <c r="P6" s="1985"/>
    </row>
    <row r="7" spans="1:16" s="165" customFormat="1" ht="15" customHeight="1">
      <c r="A7" s="1985"/>
      <c r="B7" s="2077"/>
      <c r="C7" s="2061"/>
      <c r="D7" s="2061"/>
      <c r="E7" s="2061"/>
      <c r="F7" s="2061"/>
      <c r="G7" s="2059"/>
      <c r="H7" s="1963"/>
      <c r="I7" s="1963"/>
      <c r="J7" s="2082"/>
      <c r="K7" s="2064"/>
      <c r="L7" s="2071"/>
      <c r="M7" s="2061"/>
      <c r="N7" s="2061"/>
      <c r="O7" s="2059"/>
      <c r="P7" s="1985"/>
    </row>
    <row r="8" spans="1:16" s="12" customFormat="1" ht="15" customHeight="1">
      <c r="A8" s="1986"/>
      <c r="B8" s="43">
        <v>1</v>
      </c>
      <c r="C8" s="43">
        <v>2</v>
      </c>
      <c r="D8" s="43">
        <v>3</v>
      </c>
      <c r="E8" s="43">
        <v>4</v>
      </c>
      <c r="F8" s="43">
        <v>5</v>
      </c>
      <c r="G8" s="43">
        <v>6</v>
      </c>
      <c r="H8" s="43">
        <v>7</v>
      </c>
      <c r="I8" s="43">
        <v>8</v>
      </c>
      <c r="J8" s="43">
        <v>9</v>
      </c>
      <c r="K8" s="43">
        <v>10</v>
      </c>
      <c r="L8" s="43">
        <v>11</v>
      </c>
      <c r="M8" s="43">
        <v>12</v>
      </c>
      <c r="N8" s="43">
        <v>13</v>
      </c>
      <c r="O8" s="43">
        <v>14</v>
      </c>
      <c r="P8" s="1986"/>
    </row>
    <row r="9" spans="1:16" s="160" customFormat="1" ht="10.9" customHeight="1">
      <c r="A9" s="493" t="s">
        <v>189</v>
      </c>
      <c r="B9" s="451">
        <v>61342.1</v>
      </c>
      <c r="C9" s="26">
        <v>9231.2999999999993</v>
      </c>
      <c r="D9" s="26">
        <f t="shared" ref="D9:D10" si="0">B9+C9</f>
        <v>70573.399999999994</v>
      </c>
      <c r="E9" s="479">
        <v>31710.5</v>
      </c>
      <c r="F9" s="479">
        <v>41517.4</v>
      </c>
      <c r="G9" s="26">
        <f t="shared" ref="G9" si="1">E9+F9</f>
        <v>73227.899999999994</v>
      </c>
      <c r="H9" s="26">
        <v>776.7</v>
      </c>
      <c r="I9" s="479">
        <v>16175.7</v>
      </c>
      <c r="J9" s="26">
        <f t="shared" ref="J9" si="2">H9+I9</f>
        <v>16952.400000000001</v>
      </c>
      <c r="K9" s="249">
        <v>340712.7</v>
      </c>
      <c r="L9" s="225">
        <f t="shared" ref="L9" si="3">G9+J9+K9</f>
        <v>430893</v>
      </c>
      <c r="M9" s="479">
        <v>-60946.400000000001</v>
      </c>
      <c r="N9" s="225">
        <v>369946.5</v>
      </c>
      <c r="O9" s="249">
        <v>440519.9</v>
      </c>
      <c r="P9" s="488" t="s">
        <v>189</v>
      </c>
    </row>
    <row r="10" spans="1:16" s="160" customFormat="1" ht="10.9" customHeight="1">
      <c r="A10" s="302" t="s">
        <v>705</v>
      </c>
      <c r="B10" s="452">
        <v>68930.100000000006</v>
      </c>
      <c r="C10" s="292">
        <v>9888.6</v>
      </c>
      <c r="D10" s="292">
        <f t="shared" si="0"/>
        <v>78818.700000000012</v>
      </c>
      <c r="E10" s="495">
        <v>37854.9</v>
      </c>
      <c r="F10" s="495">
        <v>53873.9</v>
      </c>
      <c r="G10" s="292">
        <v>91728.9</v>
      </c>
      <c r="H10" s="292">
        <v>1181.9000000000001</v>
      </c>
      <c r="I10" s="495">
        <v>14160.2</v>
      </c>
      <c r="J10" s="292">
        <v>15342.1</v>
      </c>
      <c r="K10" s="288">
        <v>407901.60000000003</v>
      </c>
      <c r="L10" s="283">
        <v>514972.60000000003</v>
      </c>
      <c r="M10" s="495">
        <v>-76681.7</v>
      </c>
      <c r="N10" s="283">
        <v>438290.80000000005</v>
      </c>
      <c r="O10" s="288">
        <v>517109.50000000006</v>
      </c>
      <c r="P10" s="303" t="s">
        <v>705</v>
      </c>
    </row>
    <row r="11" spans="1:16" s="160" customFormat="1" ht="10.9" customHeight="1">
      <c r="A11" s="493" t="s">
        <v>814</v>
      </c>
      <c r="B11" s="451">
        <v>103246</v>
      </c>
      <c r="C11" s="26">
        <v>10004.200000000001</v>
      </c>
      <c r="D11" s="26">
        <v>113250.2</v>
      </c>
      <c r="E11" s="479">
        <v>27069</v>
      </c>
      <c r="F11" s="479">
        <v>83055.600000000006</v>
      </c>
      <c r="G11" s="26">
        <v>110124.6</v>
      </c>
      <c r="H11" s="26">
        <v>1354.5</v>
      </c>
      <c r="I11" s="479">
        <v>8100.8</v>
      </c>
      <c r="J11" s="26">
        <v>9455.2999999999993</v>
      </c>
      <c r="K11" s="249">
        <v>452157.2</v>
      </c>
      <c r="L11" s="225">
        <v>571737.1</v>
      </c>
      <c r="M11" s="479">
        <v>-81481.7</v>
      </c>
      <c r="N11" s="225">
        <f>L11+M11</f>
        <v>490255.39999999997</v>
      </c>
      <c r="O11" s="225">
        <f>D11+N11</f>
        <v>603505.6</v>
      </c>
      <c r="P11" s="488" t="s">
        <v>814</v>
      </c>
    </row>
    <row r="12" spans="1:16" s="249" customFormat="1" ht="10.9" customHeight="1">
      <c r="A12" s="281" t="s">
        <v>991</v>
      </c>
      <c r="B12" s="283">
        <v>147496.6</v>
      </c>
      <c r="C12" s="283">
        <v>12560</v>
      </c>
      <c r="D12" s="283">
        <v>160056.6</v>
      </c>
      <c r="E12" s="283">
        <v>3840.6</v>
      </c>
      <c r="F12" s="283">
        <v>113688.8</v>
      </c>
      <c r="G12" s="283">
        <v>117529.40000000001</v>
      </c>
      <c r="H12" s="283">
        <v>1202.7</v>
      </c>
      <c r="I12" s="283">
        <v>11534.2</v>
      </c>
      <c r="J12" s="283">
        <v>12736.900000000001</v>
      </c>
      <c r="K12" s="283">
        <v>507639.9</v>
      </c>
      <c r="L12" s="283">
        <v>637906.20000000007</v>
      </c>
      <c r="M12" s="283">
        <v>-97339.3</v>
      </c>
      <c r="N12" s="283">
        <v>540566.9</v>
      </c>
      <c r="O12" s="283">
        <v>700623.5</v>
      </c>
      <c r="P12" s="372" t="s">
        <v>991</v>
      </c>
    </row>
    <row r="13" spans="1:16" s="249" customFormat="1" ht="10.9" customHeight="1">
      <c r="A13" s="223" t="s">
        <v>1042</v>
      </c>
      <c r="B13" s="456">
        <v>177401.3</v>
      </c>
      <c r="C13" s="456">
        <v>11827.5</v>
      </c>
      <c r="D13" s="455">
        <v>189228.79999999999</v>
      </c>
      <c r="E13" s="455">
        <v>810.5</v>
      </c>
      <c r="F13" s="455">
        <v>109446.8</v>
      </c>
      <c r="G13" s="455">
        <v>110257.3</v>
      </c>
      <c r="H13" s="455">
        <v>2160.8000000000002</v>
      </c>
      <c r="I13" s="455">
        <v>14509</v>
      </c>
      <c r="J13" s="455">
        <v>16669.8</v>
      </c>
      <c r="K13" s="455">
        <v>574599.4</v>
      </c>
      <c r="L13" s="455">
        <v>701526.5</v>
      </c>
      <c r="M13" s="455">
        <v>-103141.2</v>
      </c>
      <c r="N13" s="455">
        <v>598385.30000000005</v>
      </c>
      <c r="O13" s="455">
        <v>787614.10000000009</v>
      </c>
      <c r="P13" s="395" t="s">
        <v>1042</v>
      </c>
    </row>
    <row r="14" spans="1:16" s="94" customFormat="1" ht="10.9" customHeight="1">
      <c r="A14" s="320" t="s">
        <v>1163</v>
      </c>
      <c r="B14" s="283">
        <v>218904.1</v>
      </c>
      <c r="C14" s="283">
        <v>14231.5</v>
      </c>
      <c r="D14" s="283">
        <v>233135.6</v>
      </c>
      <c r="E14" s="283">
        <v>13373.7</v>
      </c>
      <c r="F14" s="283">
        <v>100845.9</v>
      </c>
      <c r="G14" s="283">
        <v>114219.59999999999</v>
      </c>
      <c r="H14" s="283">
        <v>2015.5</v>
      </c>
      <c r="I14" s="283">
        <v>14035.6</v>
      </c>
      <c r="J14" s="283">
        <v>16051.1</v>
      </c>
      <c r="K14" s="283">
        <v>671009.30000000005</v>
      </c>
      <c r="L14" s="283">
        <v>801280</v>
      </c>
      <c r="M14" s="283">
        <v>-118037.8</v>
      </c>
      <c r="N14" s="283">
        <v>683242.2</v>
      </c>
      <c r="O14" s="283">
        <v>916377.79999999993</v>
      </c>
      <c r="P14" s="349" t="s">
        <v>1163</v>
      </c>
    </row>
    <row r="15" spans="1:16" s="244" customFormat="1" ht="10.9" customHeight="1">
      <c r="A15" s="247" t="s">
        <v>1187</v>
      </c>
      <c r="B15" s="225">
        <v>252027</v>
      </c>
      <c r="C15" s="225">
        <v>14670</v>
      </c>
      <c r="D15" s="225">
        <v>266697</v>
      </c>
      <c r="E15" s="225">
        <v>12977.7</v>
      </c>
      <c r="F15" s="225">
        <v>84355.8</v>
      </c>
      <c r="G15" s="225">
        <v>97333.5</v>
      </c>
      <c r="H15" s="225">
        <v>2157.8000000000002</v>
      </c>
      <c r="I15" s="225">
        <v>15122.4</v>
      </c>
      <c r="J15" s="225">
        <v>17280.2</v>
      </c>
      <c r="K15" s="225">
        <v>776056.5</v>
      </c>
      <c r="L15" s="225">
        <v>890670.2</v>
      </c>
      <c r="M15" s="225">
        <v>-141291.1</v>
      </c>
      <c r="N15" s="225">
        <v>749379.1</v>
      </c>
      <c r="O15" s="225">
        <v>1016076.1</v>
      </c>
      <c r="P15" s="373" t="s">
        <v>1187</v>
      </c>
    </row>
    <row r="16" spans="1:16" s="244" customFormat="1" ht="10.9" customHeight="1">
      <c r="A16" s="320" t="s">
        <v>1311</v>
      </c>
      <c r="B16" s="283">
        <v>253509.8</v>
      </c>
      <c r="C16" s="283">
        <v>11164.6</v>
      </c>
      <c r="D16" s="283">
        <v>264674.39999999997</v>
      </c>
      <c r="E16" s="283">
        <v>22572.2</v>
      </c>
      <c r="F16" s="283">
        <v>72322.7</v>
      </c>
      <c r="G16" s="283">
        <v>94894.9</v>
      </c>
      <c r="H16" s="283">
        <v>2367.8000000000002</v>
      </c>
      <c r="I16" s="283">
        <v>16832.3</v>
      </c>
      <c r="J16" s="283">
        <v>19200.099999999999</v>
      </c>
      <c r="K16" s="283">
        <v>907531.6</v>
      </c>
      <c r="L16" s="283">
        <v>1021626.6</v>
      </c>
      <c r="M16" s="283">
        <v>-176320</v>
      </c>
      <c r="N16" s="283">
        <v>845306.6</v>
      </c>
      <c r="O16" s="283">
        <v>1109981</v>
      </c>
      <c r="P16" s="349" t="s">
        <v>1311</v>
      </c>
    </row>
    <row r="17" spans="1:19" s="257" customFormat="1" ht="10.9" customHeight="1">
      <c r="A17" s="159" t="s">
        <v>1420</v>
      </c>
      <c r="B17" s="225">
        <v>257195.4</v>
      </c>
      <c r="C17" s="225">
        <v>15204.1</v>
      </c>
      <c r="D17" s="225">
        <v>272399.5</v>
      </c>
      <c r="E17" s="225">
        <v>31189</v>
      </c>
      <c r="F17" s="225">
        <v>82084.399999999994</v>
      </c>
      <c r="G17" s="225">
        <v>113273.4</v>
      </c>
      <c r="H17" s="225">
        <v>2380.4</v>
      </c>
      <c r="I17" s="225">
        <v>20975.200000000001</v>
      </c>
      <c r="J17" s="225">
        <v>23355.600000000002</v>
      </c>
      <c r="K17" s="225">
        <v>1010255.7</v>
      </c>
      <c r="L17" s="225">
        <v>1146884.7</v>
      </c>
      <c r="M17" s="225">
        <v>-199672.7</v>
      </c>
      <c r="N17" s="225">
        <v>947212</v>
      </c>
      <c r="O17" s="225">
        <v>1219611.5</v>
      </c>
      <c r="P17" s="204" t="s">
        <v>1420</v>
      </c>
    </row>
    <row r="18" spans="1:19" s="160" customFormat="1" ht="10.9" customHeight="1">
      <c r="A18" s="298" t="s">
        <v>1502</v>
      </c>
      <c r="B18" s="283">
        <v>290174.90000000002</v>
      </c>
      <c r="C18" s="283">
        <v>11295.3</v>
      </c>
      <c r="D18" s="283">
        <v>301470.2</v>
      </c>
      <c r="E18" s="283">
        <v>37114.9</v>
      </c>
      <c r="F18" s="283">
        <v>139033.60000000001</v>
      </c>
      <c r="G18" s="283">
        <v>176148.5</v>
      </c>
      <c r="H18" s="283">
        <v>2551.9</v>
      </c>
      <c r="I18" s="283">
        <v>26663.200000000001</v>
      </c>
      <c r="J18" s="283">
        <v>29215.100000000002</v>
      </c>
      <c r="K18" s="283">
        <v>1097271</v>
      </c>
      <c r="L18" s="283">
        <v>1302634.6000000001</v>
      </c>
      <c r="M18" s="283">
        <v>-230369.8</v>
      </c>
      <c r="N18" s="283">
        <v>1072264.8</v>
      </c>
      <c r="O18" s="283">
        <v>1373735</v>
      </c>
      <c r="P18" s="299" t="s">
        <v>1502</v>
      </c>
    </row>
    <row r="19" spans="1:19" s="159" customFormat="1" ht="10.9" customHeight="1">
      <c r="A19" s="159" t="s">
        <v>1555</v>
      </c>
      <c r="B19" s="225">
        <v>366917.3</v>
      </c>
      <c r="C19" s="225">
        <v>15420.2</v>
      </c>
      <c r="D19" s="225">
        <v>382337.5</v>
      </c>
      <c r="E19" s="225">
        <v>17285.5</v>
      </c>
      <c r="F19" s="225">
        <v>203740.4</v>
      </c>
      <c r="G19" s="225">
        <v>221025.9</v>
      </c>
      <c r="H19" s="225">
        <v>3218.1</v>
      </c>
      <c r="I19" s="225">
        <v>26799.7</v>
      </c>
      <c r="J19" s="225">
        <v>30017.8</v>
      </c>
      <c r="K19" s="225">
        <v>1188855.3999999999</v>
      </c>
      <c r="L19" s="225">
        <v>1439899.0999999999</v>
      </c>
      <c r="M19" s="225">
        <v>-261341.3</v>
      </c>
      <c r="N19" s="225">
        <v>1178557.7999999998</v>
      </c>
      <c r="O19" s="225">
        <v>1560895.2999999998</v>
      </c>
      <c r="P19" s="204" t="s">
        <v>1555</v>
      </c>
    </row>
    <row r="20" spans="1:19" s="159" customFormat="1" ht="10.9" customHeight="1">
      <c r="A20" s="306" t="s">
        <v>1836</v>
      </c>
      <c r="B20" s="283">
        <v>347757.7</v>
      </c>
      <c r="C20" s="283">
        <v>16541.099999999999</v>
      </c>
      <c r="D20" s="283">
        <v>364298.8</v>
      </c>
      <c r="E20" s="283">
        <v>54930</v>
      </c>
      <c r="F20" s="283">
        <v>228384.5</v>
      </c>
      <c r="G20" s="283">
        <v>283314.5</v>
      </c>
      <c r="H20" s="283">
        <v>3435.6</v>
      </c>
      <c r="I20" s="283">
        <v>33763.300000000003</v>
      </c>
      <c r="J20" s="283">
        <v>37198.9</v>
      </c>
      <c r="K20" s="283">
        <v>1351235.5</v>
      </c>
      <c r="L20" s="283">
        <v>1671748.9</v>
      </c>
      <c r="M20" s="283">
        <v>-327925.40000000002</v>
      </c>
      <c r="N20" s="283">
        <v>1343823.5</v>
      </c>
      <c r="O20" s="283">
        <v>1708122.3</v>
      </c>
      <c r="P20" s="299" t="s">
        <v>1836</v>
      </c>
      <c r="Q20" s="712"/>
      <c r="S20" s="712"/>
    </row>
    <row r="21" spans="1:19" s="247" customFormat="1" ht="10.9" customHeight="1">
      <c r="A21" s="848" t="s">
        <v>2088</v>
      </c>
      <c r="B21" s="338">
        <v>287497.5</v>
      </c>
      <c r="C21" s="338">
        <v>29230.799999999999</v>
      </c>
      <c r="D21" s="338">
        <v>316728.3</v>
      </c>
      <c r="E21" s="338">
        <v>157411.9</v>
      </c>
      <c r="F21" s="338">
        <v>229938</v>
      </c>
      <c r="G21" s="338">
        <v>387349.9</v>
      </c>
      <c r="H21" s="338">
        <v>3893.4</v>
      </c>
      <c r="I21" s="338">
        <v>41271.300000000003</v>
      </c>
      <c r="J21" s="338">
        <v>45164.700000000004</v>
      </c>
      <c r="K21" s="338">
        <v>1494254.6</v>
      </c>
      <c r="L21" s="338">
        <v>1926769.2000000002</v>
      </c>
      <c r="M21" s="338">
        <v>-356329.4</v>
      </c>
      <c r="N21" s="338">
        <v>1570439.8000000003</v>
      </c>
      <c r="O21" s="338">
        <v>1887168.1000000003</v>
      </c>
      <c r="P21" s="356" t="s">
        <v>2088</v>
      </c>
      <c r="Q21" s="1313"/>
      <c r="R21" s="1313"/>
    </row>
    <row r="22" spans="1:19" s="159" customFormat="1" ht="10.9" customHeight="1">
      <c r="A22" s="1665" t="s">
        <v>2228</v>
      </c>
      <c r="B22" s="331">
        <f>B34</f>
        <v>245780.7</v>
      </c>
      <c r="C22" s="331">
        <f t="shared" ref="C22:O22" si="4">C34</f>
        <v>45348.3</v>
      </c>
      <c r="D22" s="331">
        <f t="shared" si="4"/>
        <v>291129</v>
      </c>
      <c r="E22" s="331">
        <f t="shared" si="4"/>
        <v>145932.20000000001</v>
      </c>
      <c r="F22" s="331">
        <f t="shared" si="4"/>
        <v>278944.90000000002</v>
      </c>
      <c r="G22" s="331">
        <f t="shared" si="4"/>
        <v>424877.10000000003</v>
      </c>
      <c r="H22" s="331">
        <f t="shared" si="4"/>
        <v>4208.5</v>
      </c>
      <c r="I22" s="331">
        <f t="shared" si="4"/>
        <v>45210.6</v>
      </c>
      <c r="J22" s="331">
        <f t="shared" si="4"/>
        <v>49419.1</v>
      </c>
      <c r="K22" s="331">
        <f t="shared" si="4"/>
        <v>1641228.7</v>
      </c>
      <c r="L22" s="331">
        <f t="shared" si="4"/>
        <v>2115524.9</v>
      </c>
      <c r="M22" s="331">
        <f t="shared" si="4"/>
        <v>-373419.9</v>
      </c>
      <c r="N22" s="331">
        <f t="shared" si="4"/>
        <v>1742105</v>
      </c>
      <c r="O22" s="331">
        <f t="shared" si="4"/>
        <v>2033234</v>
      </c>
      <c r="P22" s="355" t="s">
        <v>2228</v>
      </c>
      <c r="Q22" s="712"/>
      <c r="R22" s="712"/>
    </row>
    <row r="23" spans="1:19" s="159" customFormat="1" ht="10.9" customHeight="1">
      <c r="A23" s="141" t="s">
        <v>559</v>
      </c>
      <c r="B23" s="225">
        <v>284091</v>
      </c>
      <c r="C23" s="225">
        <v>35034.6</v>
      </c>
      <c r="D23" s="225">
        <f t="shared" ref="D23:D56" si="5">B23+C23</f>
        <v>319125.59999999998</v>
      </c>
      <c r="E23" s="225">
        <v>147689</v>
      </c>
      <c r="F23" s="225">
        <v>241998.3</v>
      </c>
      <c r="G23" s="225">
        <f t="shared" ref="G23:G56" si="6">E23+F23</f>
        <v>389687.3</v>
      </c>
      <c r="H23" s="225">
        <v>3786.5</v>
      </c>
      <c r="I23" s="225">
        <v>41250.9</v>
      </c>
      <c r="J23" s="225">
        <f t="shared" ref="J23:J56" si="7">H23+I23</f>
        <v>45037.4</v>
      </c>
      <c r="K23" s="225">
        <f>7308.8+1478136.6</f>
        <v>1485445.4000000001</v>
      </c>
      <c r="L23" s="225">
        <f t="shared" ref="L23:L56" si="8">G23+J23+K23</f>
        <v>1920170.1</v>
      </c>
      <c r="M23" s="225">
        <v>-365045.9</v>
      </c>
      <c r="N23" s="225">
        <f t="shared" ref="N23:N34" si="9">L23+M23</f>
        <v>1555124.2000000002</v>
      </c>
      <c r="O23" s="225">
        <f t="shared" ref="O23:O34" si="10">D23+N23</f>
        <v>1874249.8000000003</v>
      </c>
      <c r="P23" s="204" t="s">
        <v>559</v>
      </c>
      <c r="Q23" s="712"/>
      <c r="R23" s="712"/>
    </row>
    <row r="24" spans="1:19" s="159" customFormat="1" ht="10.9" customHeight="1">
      <c r="A24" s="306" t="s">
        <v>560</v>
      </c>
      <c r="B24" s="283">
        <v>272944.3</v>
      </c>
      <c r="C24" s="283">
        <v>33275.199999999997</v>
      </c>
      <c r="D24" s="283">
        <f t="shared" si="5"/>
        <v>306219.5</v>
      </c>
      <c r="E24" s="283">
        <v>135934.20000000001</v>
      </c>
      <c r="F24" s="283">
        <v>245945.5</v>
      </c>
      <c r="G24" s="283">
        <f t="shared" si="6"/>
        <v>381879.7</v>
      </c>
      <c r="H24" s="283">
        <v>3680.1</v>
      </c>
      <c r="I24" s="283">
        <v>41751.300000000003</v>
      </c>
      <c r="J24" s="283">
        <f t="shared" si="7"/>
        <v>45431.4</v>
      </c>
      <c r="K24" s="283">
        <f>7542+1487714.7</f>
        <v>1495256.7</v>
      </c>
      <c r="L24" s="283">
        <f t="shared" si="8"/>
        <v>1922567.8</v>
      </c>
      <c r="M24" s="283">
        <v>-351922.2</v>
      </c>
      <c r="N24" s="283">
        <f t="shared" si="9"/>
        <v>1570645.6</v>
      </c>
      <c r="O24" s="283">
        <f t="shared" si="10"/>
        <v>1876865.1</v>
      </c>
      <c r="P24" s="299" t="s">
        <v>560</v>
      </c>
      <c r="Q24" s="712"/>
      <c r="R24" s="712"/>
    </row>
    <row r="25" spans="1:19" s="159" customFormat="1" ht="10.9" customHeight="1">
      <c r="A25" s="141" t="s">
        <v>554</v>
      </c>
      <c r="B25" s="225">
        <v>258977.5</v>
      </c>
      <c r="C25" s="225">
        <v>34340.5</v>
      </c>
      <c r="D25" s="225">
        <f t="shared" si="5"/>
        <v>293318</v>
      </c>
      <c r="E25" s="225">
        <v>129039.7</v>
      </c>
      <c r="F25" s="225">
        <v>241881.2</v>
      </c>
      <c r="G25" s="225">
        <f t="shared" si="6"/>
        <v>370920.9</v>
      </c>
      <c r="H25" s="225">
        <v>3928.4</v>
      </c>
      <c r="I25" s="225">
        <v>42667.5</v>
      </c>
      <c r="J25" s="225">
        <f t="shared" si="7"/>
        <v>46595.9</v>
      </c>
      <c r="K25" s="225">
        <f>7748.6+1505305.4</f>
        <v>1513054</v>
      </c>
      <c r="L25" s="225">
        <f t="shared" si="8"/>
        <v>1930570.8</v>
      </c>
      <c r="M25" s="225">
        <v>-346643</v>
      </c>
      <c r="N25" s="225">
        <f t="shared" si="9"/>
        <v>1583927.8</v>
      </c>
      <c r="O25" s="225">
        <f t="shared" si="10"/>
        <v>1877245.8</v>
      </c>
      <c r="P25" s="204" t="s">
        <v>554</v>
      </c>
      <c r="Q25" s="712"/>
      <c r="R25" s="712"/>
    </row>
    <row r="26" spans="1:19" s="159" customFormat="1" ht="10.9" customHeight="1">
      <c r="A26" s="306" t="s">
        <v>561</v>
      </c>
      <c r="B26" s="283">
        <v>248074.3</v>
      </c>
      <c r="C26" s="283">
        <v>33027</v>
      </c>
      <c r="D26" s="283">
        <f t="shared" si="5"/>
        <v>281101.3</v>
      </c>
      <c r="E26" s="283">
        <v>127546.1</v>
      </c>
      <c r="F26" s="283">
        <v>240770.8</v>
      </c>
      <c r="G26" s="283">
        <f t="shared" si="6"/>
        <v>368316.9</v>
      </c>
      <c r="H26" s="283">
        <v>3934.3</v>
      </c>
      <c r="I26" s="283">
        <v>42863</v>
      </c>
      <c r="J26" s="283">
        <f t="shared" si="7"/>
        <v>46797.3</v>
      </c>
      <c r="K26" s="283">
        <f>9203.2+1520116.6</f>
        <v>1529319.8</v>
      </c>
      <c r="L26" s="283">
        <f t="shared" si="8"/>
        <v>1944434</v>
      </c>
      <c r="M26" s="283">
        <v>-342998.8</v>
      </c>
      <c r="N26" s="283">
        <f t="shared" si="9"/>
        <v>1601435.2</v>
      </c>
      <c r="O26" s="283">
        <f t="shared" si="10"/>
        <v>1882536.5</v>
      </c>
      <c r="P26" s="299" t="s">
        <v>561</v>
      </c>
      <c r="Q26" s="712"/>
      <c r="R26" s="712"/>
    </row>
    <row r="27" spans="1:19" s="159" customFormat="1" ht="10.9" customHeight="1">
      <c r="A27" s="141" t="s">
        <v>562</v>
      </c>
      <c r="B27" s="225">
        <v>235600.5</v>
      </c>
      <c r="C27" s="225">
        <v>30070.799999999999</v>
      </c>
      <c r="D27" s="225">
        <f t="shared" si="5"/>
        <v>265671.3</v>
      </c>
      <c r="E27" s="225">
        <v>132232.70000000001</v>
      </c>
      <c r="F27" s="225">
        <v>231759.7</v>
      </c>
      <c r="G27" s="225">
        <f t="shared" si="6"/>
        <v>363992.4</v>
      </c>
      <c r="H27" s="225">
        <v>3943</v>
      </c>
      <c r="I27" s="225">
        <v>43719.3</v>
      </c>
      <c r="J27" s="225">
        <f t="shared" si="7"/>
        <v>47662.3</v>
      </c>
      <c r="K27" s="225">
        <f>9203+1536738.2</f>
        <v>1545941.2</v>
      </c>
      <c r="L27" s="225">
        <f t="shared" si="8"/>
        <v>1957595.9</v>
      </c>
      <c r="M27" s="225">
        <v>-333844.09999999998</v>
      </c>
      <c r="N27" s="225">
        <f t="shared" si="9"/>
        <v>1623751.7999999998</v>
      </c>
      <c r="O27" s="225">
        <f t="shared" si="10"/>
        <v>1889423.0999999999</v>
      </c>
      <c r="P27" s="204" t="s">
        <v>562</v>
      </c>
      <c r="Q27" s="712"/>
      <c r="R27" s="712"/>
    </row>
    <row r="28" spans="1:19" s="159" customFormat="1" ht="10.9" customHeight="1">
      <c r="A28" s="306" t="s">
        <v>555</v>
      </c>
      <c r="B28" s="283">
        <v>248198.9</v>
      </c>
      <c r="C28" s="283">
        <v>29264.9</v>
      </c>
      <c r="D28" s="283">
        <f t="shared" si="5"/>
        <v>277463.8</v>
      </c>
      <c r="E28" s="283">
        <v>126706.8</v>
      </c>
      <c r="F28" s="283">
        <v>224951.6</v>
      </c>
      <c r="G28" s="283">
        <f t="shared" si="6"/>
        <v>351658.4</v>
      </c>
      <c r="H28" s="283">
        <v>4201.8999999999996</v>
      </c>
      <c r="I28" s="283">
        <v>44691.6</v>
      </c>
      <c r="J28" s="283">
        <f t="shared" si="7"/>
        <v>48893.5</v>
      </c>
      <c r="K28" s="283">
        <f>8390.5+1562279.9</f>
        <v>1570670.4</v>
      </c>
      <c r="L28" s="283">
        <f t="shared" si="8"/>
        <v>1971222.2999999998</v>
      </c>
      <c r="M28" s="283">
        <v>-339538.3</v>
      </c>
      <c r="N28" s="283">
        <f t="shared" si="9"/>
        <v>1631683.9999999998</v>
      </c>
      <c r="O28" s="283">
        <f t="shared" si="10"/>
        <v>1909147.7999999998</v>
      </c>
      <c r="P28" s="299" t="s">
        <v>555</v>
      </c>
      <c r="Q28" s="712"/>
      <c r="R28" s="712"/>
    </row>
    <row r="29" spans="1:19" s="159" customFormat="1" ht="10.9" customHeight="1">
      <c r="A29" s="141" t="s">
        <v>563</v>
      </c>
      <c r="B29" s="225">
        <v>232550.2</v>
      </c>
      <c r="C29" s="225">
        <v>34239</v>
      </c>
      <c r="D29" s="225">
        <f t="shared" si="5"/>
        <v>266789.2</v>
      </c>
      <c r="E29" s="225">
        <v>125862.2</v>
      </c>
      <c r="F29" s="225">
        <v>241881.4</v>
      </c>
      <c r="G29" s="225">
        <f t="shared" si="6"/>
        <v>367743.6</v>
      </c>
      <c r="H29" s="225">
        <v>4173.6000000000004</v>
      </c>
      <c r="I29" s="225">
        <v>43567.9</v>
      </c>
      <c r="J29" s="225">
        <f t="shared" si="7"/>
        <v>47741.5</v>
      </c>
      <c r="K29" s="225">
        <f>8308.3+1559634.9</f>
        <v>1567943.2</v>
      </c>
      <c r="L29" s="225">
        <f t="shared" si="8"/>
        <v>1983428.2999999998</v>
      </c>
      <c r="M29" s="225">
        <v>-347337.2</v>
      </c>
      <c r="N29" s="225">
        <f t="shared" si="9"/>
        <v>1636091.0999999999</v>
      </c>
      <c r="O29" s="225">
        <f t="shared" si="10"/>
        <v>1902880.2999999998</v>
      </c>
      <c r="P29" s="204" t="s">
        <v>563</v>
      </c>
      <c r="Q29" s="712"/>
      <c r="R29" s="712"/>
    </row>
    <row r="30" spans="1:19" s="159" customFormat="1" ht="10.9" customHeight="1">
      <c r="A30" s="306" t="s">
        <v>564</v>
      </c>
      <c r="B30" s="283">
        <v>229743.6</v>
      </c>
      <c r="C30" s="283">
        <v>32834.699999999997</v>
      </c>
      <c r="D30" s="283">
        <f t="shared" si="5"/>
        <v>262578.3</v>
      </c>
      <c r="E30" s="283">
        <v>123109.8</v>
      </c>
      <c r="F30" s="283">
        <v>256392.6</v>
      </c>
      <c r="G30" s="283">
        <f t="shared" si="6"/>
        <v>379502.4</v>
      </c>
      <c r="H30" s="283">
        <v>4182.5</v>
      </c>
      <c r="I30" s="283">
        <v>43487.4</v>
      </c>
      <c r="J30" s="283">
        <f t="shared" si="7"/>
        <v>47669.9</v>
      </c>
      <c r="K30" s="283">
        <f>8445.2+1568491.3</f>
        <v>1576936.5</v>
      </c>
      <c r="L30" s="283">
        <f t="shared" si="8"/>
        <v>2004108.8</v>
      </c>
      <c r="M30" s="283">
        <v>-346881.5</v>
      </c>
      <c r="N30" s="283">
        <f t="shared" si="9"/>
        <v>1657227.3</v>
      </c>
      <c r="O30" s="283">
        <f t="shared" si="10"/>
        <v>1919805.6</v>
      </c>
      <c r="P30" s="299" t="s">
        <v>564</v>
      </c>
      <c r="Q30" s="712"/>
      <c r="R30" s="712"/>
    </row>
    <row r="31" spans="1:19" s="159" customFormat="1" ht="10.9" customHeight="1">
      <c r="A31" s="141" t="s">
        <v>556</v>
      </c>
      <c r="B31" s="225">
        <v>226890.9</v>
      </c>
      <c r="C31" s="225">
        <v>32545</v>
      </c>
      <c r="D31" s="225">
        <f t="shared" si="5"/>
        <v>259435.9</v>
      </c>
      <c r="E31" s="225">
        <v>127810.1</v>
      </c>
      <c r="F31" s="225">
        <v>262591.3</v>
      </c>
      <c r="G31" s="225">
        <f t="shared" si="6"/>
        <v>390401.4</v>
      </c>
      <c r="H31" s="225">
        <v>4186.8</v>
      </c>
      <c r="I31" s="225">
        <v>43330.9</v>
      </c>
      <c r="J31" s="225">
        <f t="shared" si="7"/>
        <v>47517.700000000004</v>
      </c>
      <c r="K31" s="225">
        <f>8529.7+1590000.1</f>
        <v>1598529.8</v>
      </c>
      <c r="L31" s="225">
        <f t="shared" si="8"/>
        <v>2036448.9000000001</v>
      </c>
      <c r="M31" s="225">
        <v>-358642.9</v>
      </c>
      <c r="N31" s="225">
        <f t="shared" si="9"/>
        <v>1677806</v>
      </c>
      <c r="O31" s="225">
        <f t="shared" si="10"/>
        <v>1937241.9</v>
      </c>
      <c r="P31" s="204" t="s">
        <v>556</v>
      </c>
      <c r="Q31" s="712"/>
      <c r="R31" s="712"/>
    </row>
    <row r="32" spans="1:19" s="159" customFormat="1" ht="10.9" customHeight="1">
      <c r="A32" s="306" t="s">
        <v>565</v>
      </c>
      <c r="B32" s="283">
        <v>219734.5</v>
      </c>
      <c r="C32" s="283">
        <v>28363</v>
      </c>
      <c r="D32" s="283">
        <f t="shared" si="5"/>
        <v>248097.5</v>
      </c>
      <c r="E32" s="283">
        <v>137437.79999999999</v>
      </c>
      <c r="F32" s="283">
        <v>277715.40000000002</v>
      </c>
      <c r="G32" s="283">
        <f t="shared" si="6"/>
        <v>415153.2</v>
      </c>
      <c r="H32" s="283">
        <v>4194</v>
      </c>
      <c r="I32" s="283">
        <v>43648.3</v>
      </c>
      <c r="J32" s="283">
        <f t="shared" si="7"/>
        <v>47842.3</v>
      </c>
      <c r="K32" s="283">
        <f>8446.5+1593194.7</f>
        <v>1601641.2</v>
      </c>
      <c r="L32" s="283">
        <f t="shared" si="8"/>
        <v>2064636.7</v>
      </c>
      <c r="M32" s="283">
        <v>-365902.1</v>
      </c>
      <c r="N32" s="283">
        <f t="shared" si="9"/>
        <v>1698734.6</v>
      </c>
      <c r="O32" s="283">
        <f t="shared" si="10"/>
        <v>1946832.1</v>
      </c>
      <c r="P32" s="299" t="s">
        <v>565</v>
      </c>
      <c r="Q32" s="712"/>
      <c r="R32" s="712"/>
    </row>
    <row r="33" spans="1:18" s="159" customFormat="1" ht="10.9" customHeight="1">
      <c r="A33" s="141" t="s">
        <v>566</v>
      </c>
      <c r="B33" s="225">
        <v>231124.4</v>
      </c>
      <c r="C33" s="225">
        <v>33176.1</v>
      </c>
      <c r="D33" s="225">
        <f t="shared" si="5"/>
        <v>264300.5</v>
      </c>
      <c r="E33" s="225">
        <v>141383.70000000001</v>
      </c>
      <c r="F33" s="225">
        <v>283125.5</v>
      </c>
      <c r="G33" s="225">
        <f t="shared" si="6"/>
        <v>424509.2</v>
      </c>
      <c r="H33" s="225">
        <v>4201.3</v>
      </c>
      <c r="I33" s="225">
        <v>44153.2</v>
      </c>
      <c r="J33" s="225">
        <f t="shared" si="7"/>
        <v>48354.5</v>
      </c>
      <c r="K33" s="225">
        <f>8753.2+1613704.9</f>
        <v>1622458.0999999999</v>
      </c>
      <c r="L33" s="225">
        <f t="shared" si="8"/>
        <v>2095321.7999999998</v>
      </c>
      <c r="M33" s="225">
        <v>-387817.8</v>
      </c>
      <c r="N33" s="225">
        <f t="shared" si="9"/>
        <v>1707503.9999999998</v>
      </c>
      <c r="O33" s="225">
        <f t="shared" si="10"/>
        <v>1971804.4999999998</v>
      </c>
      <c r="P33" s="204" t="s">
        <v>566</v>
      </c>
      <c r="Q33" s="712"/>
      <c r="R33" s="712"/>
    </row>
    <row r="34" spans="1:18" s="159" customFormat="1" ht="10.9" customHeight="1">
      <c r="A34" s="306" t="s">
        <v>557</v>
      </c>
      <c r="B34" s="283">
        <v>245780.7</v>
      </c>
      <c r="C34" s="283">
        <v>45348.3</v>
      </c>
      <c r="D34" s="283">
        <f t="shared" si="5"/>
        <v>291129</v>
      </c>
      <c r="E34" s="283">
        <v>145932.20000000001</v>
      </c>
      <c r="F34" s="283">
        <v>278944.90000000002</v>
      </c>
      <c r="G34" s="283">
        <f t="shared" si="6"/>
        <v>424877.10000000003</v>
      </c>
      <c r="H34" s="283">
        <v>4208.5</v>
      </c>
      <c r="I34" s="283">
        <v>45210.6</v>
      </c>
      <c r="J34" s="283">
        <f t="shared" si="7"/>
        <v>49419.1</v>
      </c>
      <c r="K34" s="283">
        <f>8781.9+1632446.8</f>
        <v>1641228.7</v>
      </c>
      <c r="L34" s="283">
        <f t="shared" si="8"/>
        <v>2115524.9</v>
      </c>
      <c r="M34" s="283">
        <v>-373419.9</v>
      </c>
      <c r="N34" s="283">
        <f t="shared" si="9"/>
        <v>1742105</v>
      </c>
      <c r="O34" s="283">
        <f t="shared" si="10"/>
        <v>2033234</v>
      </c>
      <c r="P34" s="299" t="s">
        <v>557</v>
      </c>
      <c r="Q34" s="712"/>
      <c r="R34" s="712"/>
    </row>
    <row r="35" spans="1:18" s="159" customFormat="1" ht="10.9" customHeight="1">
      <c r="A35" s="848" t="s">
        <v>2500</v>
      </c>
      <c r="B35" s="338">
        <f>B47</f>
        <v>293991.7</v>
      </c>
      <c r="C35" s="338">
        <f t="shared" ref="C35:O35" si="11">C47</f>
        <v>22646.3</v>
      </c>
      <c r="D35" s="338">
        <f t="shared" si="11"/>
        <v>316638</v>
      </c>
      <c r="E35" s="338">
        <f t="shared" si="11"/>
        <v>85426.8</v>
      </c>
      <c r="F35" s="338">
        <f t="shared" si="11"/>
        <v>402751</v>
      </c>
      <c r="G35" s="338">
        <f t="shared" si="11"/>
        <v>488177.8</v>
      </c>
      <c r="H35" s="338">
        <f t="shared" si="11"/>
        <v>7157.5</v>
      </c>
      <c r="I35" s="338">
        <f t="shared" si="11"/>
        <v>41330.800000000003</v>
      </c>
      <c r="J35" s="338">
        <f t="shared" si="11"/>
        <v>48488.3</v>
      </c>
      <c r="K35" s="338">
        <f t="shared" si="11"/>
        <v>1747686.9</v>
      </c>
      <c r="L35" s="338">
        <f t="shared" si="11"/>
        <v>2284353</v>
      </c>
      <c r="M35" s="338">
        <f t="shared" si="11"/>
        <v>-426369.3</v>
      </c>
      <c r="N35" s="338">
        <f t="shared" si="11"/>
        <v>1857983.7</v>
      </c>
      <c r="O35" s="338">
        <f t="shared" si="11"/>
        <v>2174621.7000000002</v>
      </c>
      <c r="P35" s="460" t="s">
        <v>2500</v>
      </c>
      <c r="Q35" s="712"/>
      <c r="R35" s="712"/>
    </row>
    <row r="36" spans="1:18" s="159" customFormat="1" ht="10.9" customHeight="1">
      <c r="A36" s="306" t="s">
        <v>559</v>
      </c>
      <c r="B36" s="283">
        <v>238927.1</v>
      </c>
      <c r="C36" s="283">
        <v>44133.4</v>
      </c>
      <c r="D36" s="283">
        <f t="shared" si="5"/>
        <v>283060.5</v>
      </c>
      <c r="E36" s="283">
        <v>146699.6</v>
      </c>
      <c r="F36" s="283">
        <v>290888.8</v>
      </c>
      <c r="G36" s="283">
        <f t="shared" si="6"/>
        <v>437588.4</v>
      </c>
      <c r="H36" s="283">
        <v>4206.3</v>
      </c>
      <c r="I36" s="283">
        <v>45730.3</v>
      </c>
      <c r="J36" s="283">
        <f t="shared" si="7"/>
        <v>49936.600000000006</v>
      </c>
      <c r="K36" s="283">
        <f>8804.3+1627111.4</f>
        <v>1635915.7</v>
      </c>
      <c r="L36" s="283">
        <f t="shared" si="8"/>
        <v>2123440.7000000002</v>
      </c>
      <c r="M36" s="283">
        <v>-380276.7</v>
      </c>
      <c r="N36" s="283">
        <f t="shared" ref="N36:N43" si="12">L36+M36</f>
        <v>1743164.0000000002</v>
      </c>
      <c r="O36" s="283">
        <f t="shared" ref="O36:O43" si="13">D36+N36</f>
        <v>2026224.5000000002</v>
      </c>
      <c r="P36" s="299" t="s">
        <v>559</v>
      </c>
      <c r="Q36" s="712"/>
      <c r="R36" s="712"/>
    </row>
    <row r="37" spans="1:18" s="159" customFormat="1" ht="10.9" customHeight="1">
      <c r="A37" s="141" t="s">
        <v>560</v>
      </c>
      <c r="B37" s="225">
        <v>231618.7</v>
      </c>
      <c r="C37" s="225">
        <v>40573.1</v>
      </c>
      <c r="D37" s="225">
        <f t="shared" si="5"/>
        <v>272191.8</v>
      </c>
      <c r="E37" s="225">
        <v>127517.6</v>
      </c>
      <c r="F37" s="225">
        <v>298715.7</v>
      </c>
      <c r="G37" s="225">
        <f t="shared" si="6"/>
        <v>426233.30000000005</v>
      </c>
      <c r="H37" s="225">
        <v>3799.5</v>
      </c>
      <c r="I37" s="225">
        <v>45074.8</v>
      </c>
      <c r="J37" s="225">
        <f t="shared" si="7"/>
        <v>48874.3</v>
      </c>
      <c r="K37" s="225">
        <f>8681.3+1634021.3</f>
        <v>1642702.6</v>
      </c>
      <c r="L37" s="225">
        <f t="shared" si="8"/>
        <v>2117810.2000000002</v>
      </c>
      <c r="M37" s="225">
        <v>-365677.2</v>
      </c>
      <c r="N37" s="225">
        <f t="shared" si="12"/>
        <v>1752133.0000000002</v>
      </c>
      <c r="O37" s="225">
        <f t="shared" si="13"/>
        <v>2024324.8000000003</v>
      </c>
      <c r="P37" s="204" t="s">
        <v>560</v>
      </c>
      <c r="Q37" s="712"/>
      <c r="R37" s="712"/>
    </row>
    <row r="38" spans="1:18" s="159" customFormat="1" ht="10.9" customHeight="1">
      <c r="A38" s="306" t="s">
        <v>554</v>
      </c>
      <c r="B38" s="283">
        <v>231666.3</v>
      </c>
      <c r="C38" s="283">
        <v>33430.400000000001</v>
      </c>
      <c r="D38" s="283">
        <f t="shared" si="5"/>
        <v>265096.7</v>
      </c>
      <c r="E38" s="283">
        <v>103832.7</v>
      </c>
      <c r="F38" s="283">
        <v>302981.09999999998</v>
      </c>
      <c r="G38" s="283">
        <f t="shared" si="6"/>
        <v>406813.8</v>
      </c>
      <c r="H38" s="283">
        <v>3786.1</v>
      </c>
      <c r="I38" s="283">
        <v>43455.9</v>
      </c>
      <c r="J38" s="283">
        <f t="shared" si="7"/>
        <v>47242</v>
      </c>
      <c r="K38" s="283">
        <f>9289.2+1642954.9</f>
        <v>1652244.0999999999</v>
      </c>
      <c r="L38" s="283">
        <f t="shared" si="8"/>
        <v>2106299.9</v>
      </c>
      <c r="M38" s="283">
        <v>-346247.9</v>
      </c>
      <c r="N38" s="283">
        <f t="shared" si="12"/>
        <v>1760052</v>
      </c>
      <c r="O38" s="283">
        <f t="shared" si="13"/>
        <v>2025148.7</v>
      </c>
      <c r="P38" s="299" t="s">
        <v>554</v>
      </c>
      <c r="Q38" s="712"/>
      <c r="R38" s="712"/>
    </row>
    <row r="39" spans="1:18" s="159" customFormat="1" ht="10.9" customHeight="1">
      <c r="A39" s="141" t="s">
        <v>561</v>
      </c>
      <c r="B39" s="225">
        <v>228522.6</v>
      </c>
      <c r="C39" s="225">
        <v>21744.6</v>
      </c>
      <c r="D39" s="225">
        <f t="shared" si="5"/>
        <v>250267.2</v>
      </c>
      <c r="E39" s="225">
        <v>106212.1</v>
      </c>
      <c r="F39" s="225">
        <v>321060.2</v>
      </c>
      <c r="G39" s="225">
        <f t="shared" si="6"/>
        <v>427272.30000000005</v>
      </c>
      <c r="H39" s="225">
        <v>3789.7</v>
      </c>
      <c r="I39" s="225">
        <v>43684.5</v>
      </c>
      <c r="J39" s="225">
        <f t="shared" si="7"/>
        <v>47474.2</v>
      </c>
      <c r="K39" s="225">
        <f>8910.5+1647321.9</f>
        <v>1656232.4</v>
      </c>
      <c r="L39" s="225">
        <f t="shared" si="8"/>
        <v>2130978.9</v>
      </c>
      <c r="M39" s="225">
        <v>-347735.1</v>
      </c>
      <c r="N39" s="225">
        <f t="shared" si="12"/>
        <v>1783243.7999999998</v>
      </c>
      <c r="O39" s="225">
        <f t="shared" si="13"/>
        <v>2033510.9999999998</v>
      </c>
      <c r="P39" s="204" t="s">
        <v>561</v>
      </c>
      <c r="Q39" s="712"/>
      <c r="R39" s="712"/>
    </row>
    <row r="40" spans="1:18" s="159" customFormat="1" ht="10.9" customHeight="1">
      <c r="A40" s="306" t="s">
        <v>562</v>
      </c>
      <c r="B40" s="283">
        <v>223881.5</v>
      </c>
      <c r="C40" s="283">
        <v>22581.200000000001</v>
      </c>
      <c r="D40" s="283">
        <f t="shared" si="5"/>
        <v>246462.7</v>
      </c>
      <c r="E40" s="283">
        <v>107981.5</v>
      </c>
      <c r="F40" s="283">
        <v>330666</v>
      </c>
      <c r="G40" s="283">
        <f t="shared" si="6"/>
        <v>438647.5</v>
      </c>
      <c r="H40" s="283">
        <v>3796.2</v>
      </c>
      <c r="I40" s="283">
        <v>44065</v>
      </c>
      <c r="J40" s="283">
        <f t="shared" si="7"/>
        <v>47861.2</v>
      </c>
      <c r="K40" s="283">
        <f>9505.7+1654818.5</f>
        <v>1664324.2</v>
      </c>
      <c r="L40" s="283">
        <f t="shared" si="8"/>
        <v>2150832.9</v>
      </c>
      <c r="M40" s="283">
        <v>-356510.6</v>
      </c>
      <c r="N40" s="283">
        <f t="shared" si="12"/>
        <v>1794322.2999999998</v>
      </c>
      <c r="O40" s="283">
        <f t="shared" si="13"/>
        <v>2040784.9999999998</v>
      </c>
      <c r="P40" s="299" t="s">
        <v>562</v>
      </c>
      <c r="Q40" s="712"/>
      <c r="R40" s="712"/>
    </row>
    <row r="41" spans="1:18" s="159" customFormat="1" ht="10.9" customHeight="1">
      <c r="A41" s="141" t="s">
        <v>555</v>
      </c>
      <c r="B41" s="225">
        <v>235750.8</v>
      </c>
      <c r="C41" s="225">
        <v>19525.599999999999</v>
      </c>
      <c r="D41" s="225">
        <f t="shared" si="5"/>
        <v>255276.4</v>
      </c>
      <c r="E41" s="225">
        <v>89973.6</v>
      </c>
      <c r="F41" s="225">
        <v>325599.5</v>
      </c>
      <c r="G41" s="225">
        <f t="shared" si="6"/>
        <v>415573.1</v>
      </c>
      <c r="H41" s="225">
        <v>6903.5</v>
      </c>
      <c r="I41" s="225">
        <v>43426.2</v>
      </c>
      <c r="J41" s="225">
        <f t="shared" si="7"/>
        <v>50329.7</v>
      </c>
      <c r="K41" s="225">
        <f>9426.5+1675844.7</f>
        <v>1685271.2</v>
      </c>
      <c r="L41" s="225">
        <f t="shared" si="8"/>
        <v>2151174</v>
      </c>
      <c r="M41" s="225">
        <v>-352768.5</v>
      </c>
      <c r="N41" s="225">
        <f t="shared" si="12"/>
        <v>1798405.5</v>
      </c>
      <c r="O41" s="225">
        <f t="shared" si="13"/>
        <v>2053681.9</v>
      </c>
      <c r="P41" s="204" t="s">
        <v>555</v>
      </c>
      <c r="Q41" s="712"/>
      <c r="R41" s="712"/>
    </row>
    <row r="42" spans="1:18" s="159" customFormat="1" ht="10.9" customHeight="1">
      <c r="A42" s="306" t="s">
        <v>563</v>
      </c>
      <c r="B42" s="283">
        <v>238082.6</v>
      </c>
      <c r="C42" s="283">
        <v>21792.3</v>
      </c>
      <c r="D42" s="283">
        <f t="shared" si="5"/>
        <v>259874.9</v>
      </c>
      <c r="E42" s="283">
        <v>88103.8</v>
      </c>
      <c r="F42" s="283">
        <v>346257.5</v>
      </c>
      <c r="G42" s="283">
        <f t="shared" si="6"/>
        <v>434361.3</v>
      </c>
      <c r="H42" s="283">
        <v>7121.8</v>
      </c>
      <c r="I42" s="283">
        <v>43054.3</v>
      </c>
      <c r="J42" s="283">
        <f t="shared" si="7"/>
        <v>50176.100000000006</v>
      </c>
      <c r="K42" s="283">
        <f>9606.6+1670503.4</f>
        <v>1680110</v>
      </c>
      <c r="L42" s="283">
        <f t="shared" si="8"/>
        <v>2164647.4</v>
      </c>
      <c r="M42" s="283">
        <v>-368489.5</v>
      </c>
      <c r="N42" s="283">
        <f t="shared" si="12"/>
        <v>1796157.9</v>
      </c>
      <c r="O42" s="283">
        <f t="shared" si="13"/>
        <v>2056032.7999999998</v>
      </c>
      <c r="P42" s="299" t="s">
        <v>563</v>
      </c>
      <c r="Q42" s="712"/>
      <c r="R42" s="712"/>
    </row>
    <row r="43" spans="1:18" s="159" customFormat="1" ht="10.9" customHeight="1">
      <c r="A43" s="141" t="s">
        <v>564</v>
      </c>
      <c r="B43" s="225">
        <v>238118.39999999999</v>
      </c>
      <c r="C43" s="225">
        <v>26359.200000000001</v>
      </c>
      <c r="D43" s="225">
        <f t="shared" si="5"/>
        <v>264477.59999999998</v>
      </c>
      <c r="E43" s="225">
        <v>82947.7</v>
      </c>
      <c r="F43" s="225">
        <v>350943.3</v>
      </c>
      <c r="G43" s="225">
        <f t="shared" si="6"/>
        <v>433891</v>
      </c>
      <c r="H43" s="225">
        <v>7130.8</v>
      </c>
      <c r="I43" s="225">
        <v>43355.3</v>
      </c>
      <c r="J43" s="225">
        <f t="shared" si="7"/>
        <v>50486.100000000006</v>
      </c>
      <c r="K43" s="225">
        <f>(96886+16746951)/10</f>
        <v>1684383.7</v>
      </c>
      <c r="L43" s="225">
        <f t="shared" si="8"/>
        <v>2168760.7999999998</v>
      </c>
      <c r="M43" s="225">
        <v>-368578.1</v>
      </c>
      <c r="N43" s="225">
        <f t="shared" si="12"/>
        <v>1800182.6999999997</v>
      </c>
      <c r="O43" s="225">
        <f t="shared" si="13"/>
        <v>2064660.2999999998</v>
      </c>
      <c r="P43" s="204" t="s">
        <v>564</v>
      </c>
      <c r="Q43" s="712"/>
      <c r="R43" s="712"/>
    </row>
    <row r="44" spans="1:18" s="159" customFormat="1" ht="10.9" customHeight="1">
      <c r="A44" s="306" t="s">
        <v>556</v>
      </c>
      <c r="B44" s="283">
        <v>240274.2</v>
      </c>
      <c r="C44" s="283">
        <v>27254.6</v>
      </c>
      <c r="D44" s="283">
        <f t="shared" si="5"/>
        <v>267528.8</v>
      </c>
      <c r="E44" s="283">
        <v>100124.7</v>
      </c>
      <c r="F44" s="283">
        <v>354063.3</v>
      </c>
      <c r="G44" s="283">
        <f t="shared" si="6"/>
        <v>454188</v>
      </c>
      <c r="H44" s="283">
        <v>7135.2</v>
      </c>
      <c r="I44" s="283">
        <v>42884</v>
      </c>
      <c r="J44" s="283">
        <f t="shared" si="7"/>
        <v>50019.199999999997</v>
      </c>
      <c r="K44" s="283">
        <v>1719326.9</v>
      </c>
      <c r="L44" s="283">
        <f t="shared" si="8"/>
        <v>2223534.1</v>
      </c>
      <c r="M44" s="283">
        <v>-375970.9</v>
      </c>
      <c r="N44" s="283">
        <f t="shared" ref="N44:N45" si="14">L44+M44</f>
        <v>1847563.2000000002</v>
      </c>
      <c r="O44" s="283">
        <f t="shared" ref="O44:O45" si="15">D44+N44</f>
        <v>2115092</v>
      </c>
      <c r="P44" s="299" t="s">
        <v>556</v>
      </c>
      <c r="Q44" s="712"/>
      <c r="R44" s="712"/>
    </row>
    <row r="45" spans="1:18" s="159" customFormat="1" ht="10.9" customHeight="1">
      <c r="A45" s="141" t="s">
        <v>565</v>
      </c>
      <c r="B45" s="225">
        <v>251508.2</v>
      </c>
      <c r="C45" s="225">
        <v>27533.200000000001</v>
      </c>
      <c r="D45" s="225">
        <f t="shared" si="5"/>
        <v>279041.40000000002</v>
      </c>
      <c r="E45" s="225">
        <v>89111.6</v>
      </c>
      <c r="F45" s="225">
        <v>368328</v>
      </c>
      <c r="G45" s="225">
        <f t="shared" si="6"/>
        <v>457439.6</v>
      </c>
      <c r="H45" s="225">
        <v>7142.6</v>
      </c>
      <c r="I45" s="225">
        <v>43933.1</v>
      </c>
      <c r="J45" s="225">
        <f t="shared" si="7"/>
        <v>51075.7</v>
      </c>
      <c r="K45" s="225">
        <v>1721822.3</v>
      </c>
      <c r="L45" s="225">
        <f t="shared" si="8"/>
        <v>2230337.6</v>
      </c>
      <c r="M45" s="225">
        <v>-411395.6</v>
      </c>
      <c r="N45" s="225">
        <f t="shared" si="14"/>
        <v>1818942</v>
      </c>
      <c r="O45" s="225">
        <f t="shared" si="15"/>
        <v>2097983.4</v>
      </c>
      <c r="P45" s="204" t="s">
        <v>565</v>
      </c>
      <c r="Q45" s="712"/>
      <c r="R45" s="712"/>
    </row>
    <row r="46" spans="1:18" s="159" customFormat="1" ht="10.9" customHeight="1">
      <c r="A46" s="306" t="s">
        <v>566</v>
      </c>
      <c r="B46" s="283">
        <v>243726.7</v>
      </c>
      <c r="C46" s="283">
        <v>31957.200000000001</v>
      </c>
      <c r="D46" s="283">
        <f t="shared" si="5"/>
        <v>275683.90000000002</v>
      </c>
      <c r="E46" s="283">
        <v>92024.1</v>
      </c>
      <c r="F46" s="283">
        <v>378257.9</v>
      </c>
      <c r="G46" s="283">
        <f t="shared" si="6"/>
        <v>470282</v>
      </c>
      <c r="H46" s="283">
        <v>7150.2</v>
      </c>
      <c r="I46" s="283">
        <v>43813.1</v>
      </c>
      <c r="J46" s="283">
        <f t="shared" si="7"/>
        <v>50963.299999999996</v>
      </c>
      <c r="K46" s="283">
        <v>1738769.8</v>
      </c>
      <c r="L46" s="283">
        <f t="shared" si="8"/>
        <v>2260015.1</v>
      </c>
      <c r="M46" s="283">
        <v>-409348.4</v>
      </c>
      <c r="N46" s="283">
        <f t="shared" ref="N46" si="16">L46+M46</f>
        <v>1850666.7000000002</v>
      </c>
      <c r="O46" s="283">
        <f t="shared" ref="O46" si="17">D46+N46</f>
        <v>2126350.6</v>
      </c>
      <c r="P46" s="299" t="s">
        <v>566</v>
      </c>
      <c r="Q46" s="712"/>
      <c r="R46" s="712"/>
    </row>
    <row r="47" spans="1:18" s="159" customFormat="1" ht="10.9" customHeight="1">
      <c r="A47" s="141" t="s">
        <v>557</v>
      </c>
      <c r="B47" s="225">
        <v>293991.7</v>
      </c>
      <c r="C47" s="225">
        <v>22646.3</v>
      </c>
      <c r="D47" s="225">
        <f t="shared" si="5"/>
        <v>316638</v>
      </c>
      <c r="E47" s="225">
        <v>85426.8</v>
      </c>
      <c r="F47" s="225">
        <v>402751</v>
      </c>
      <c r="G47" s="225">
        <f t="shared" si="6"/>
        <v>488177.8</v>
      </c>
      <c r="H47" s="225">
        <v>7157.5</v>
      </c>
      <c r="I47" s="225">
        <v>41330.800000000003</v>
      </c>
      <c r="J47" s="225">
        <f t="shared" si="7"/>
        <v>48488.3</v>
      </c>
      <c r="K47" s="225">
        <f>9287.5+1738399.4</f>
        <v>1747686.9</v>
      </c>
      <c r="L47" s="225">
        <f t="shared" si="8"/>
        <v>2284353</v>
      </c>
      <c r="M47" s="225">
        <v>-426369.3</v>
      </c>
      <c r="N47" s="225">
        <f t="shared" ref="N47" si="18">L47+M47</f>
        <v>1857983.7</v>
      </c>
      <c r="O47" s="225">
        <f t="shared" ref="O47" si="19">D47+N47</f>
        <v>2174621.7000000002</v>
      </c>
      <c r="P47" s="204" t="s">
        <v>557</v>
      </c>
      <c r="Q47" s="712"/>
      <c r="R47" s="712"/>
    </row>
    <row r="48" spans="1:18" s="159" customFormat="1" ht="10.9" customHeight="1">
      <c r="A48" s="944" t="s">
        <v>2754</v>
      </c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301" t="s">
        <v>2754</v>
      </c>
      <c r="Q48" s="712"/>
      <c r="R48" s="712"/>
    </row>
    <row r="49" spans="1:19" s="159" customFormat="1" ht="10.9" customHeight="1">
      <c r="A49" s="141" t="s">
        <v>559</v>
      </c>
      <c r="B49" s="225">
        <v>284285.5</v>
      </c>
      <c r="C49" s="225">
        <v>25789</v>
      </c>
      <c r="D49" s="225">
        <f t="shared" si="5"/>
        <v>310074.5</v>
      </c>
      <c r="E49" s="225">
        <v>86888.2</v>
      </c>
      <c r="F49" s="225">
        <v>414200.3</v>
      </c>
      <c r="G49" s="225">
        <f t="shared" si="6"/>
        <v>501088.5</v>
      </c>
      <c r="H49" s="225">
        <v>7671</v>
      </c>
      <c r="I49" s="225">
        <v>41072.400000000001</v>
      </c>
      <c r="J49" s="225">
        <f t="shared" si="7"/>
        <v>48743.4</v>
      </c>
      <c r="K49" s="225">
        <f>9258.2+1733376.2</f>
        <v>1742634.4</v>
      </c>
      <c r="L49" s="225">
        <f t="shared" si="8"/>
        <v>2292466.2999999998</v>
      </c>
      <c r="M49" s="225">
        <v>-434644.8</v>
      </c>
      <c r="N49" s="225">
        <f t="shared" ref="N49" si="20">L49+M49</f>
        <v>1857821.4999999998</v>
      </c>
      <c r="O49" s="225">
        <f t="shared" ref="O49" si="21">D49+N49</f>
        <v>2167896</v>
      </c>
      <c r="P49" s="204" t="s">
        <v>559</v>
      </c>
      <c r="Q49" s="712"/>
      <c r="R49" s="712"/>
      <c r="S49" s="712"/>
    </row>
    <row r="50" spans="1:19" s="159" customFormat="1" ht="10.9" customHeight="1">
      <c r="A50" s="306" t="s">
        <v>560</v>
      </c>
      <c r="B50" s="283">
        <v>289617.3</v>
      </c>
      <c r="C50" s="283">
        <v>27126</v>
      </c>
      <c r="D50" s="283">
        <f t="shared" si="5"/>
        <v>316743.3</v>
      </c>
      <c r="E50" s="283">
        <v>75256.899999999994</v>
      </c>
      <c r="F50" s="283">
        <v>421677.4</v>
      </c>
      <c r="G50" s="283">
        <f t="shared" si="6"/>
        <v>496934.30000000005</v>
      </c>
      <c r="H50" s="283">
        <v>7378.4</v>
      </c>
      <c r="I50" s="283">
        <v>41146.800000000003</v>
      </c>
      <c r="J50" s="283">
        <f t="shared" si="7"/>
        <v>48525.200000000004</v>
      </c>
      <c r="K50" s="283">
        <f>9046.1+1738048.6</f>
        <v>1747094.7000000002</v>
      </c>
      <c r="L50" s="283">
        <f t="shared" si="8"/>
        <v>2292554.2000000002</v>
      </c>
      <c r="M50" s="283">
        <v>-427532.4</v>
      </c>
      <c r="N50" s="283">
        <f t="shared" ref="N50:N51" si="22">L50+M50</f>
        <v>1865021.8000000003</v>
      </c>
      <c r="O50" s="283">
        <f t="shared" ref="O50:O55" si="23">D50+N50</f>
        <v>2181765.1</v>
      </c>
      <c r="P50" s="299" t="s">
        <v>560</v>
      </c>
      <c r="Q50" s="712"/>
      <c r="R50" s="712"/>
      <c r="S50" s="712"/>
    </row>
    <row r="51" spans="1:19" s="159" customFormat="1" ht="10.9" customHeight="1">
      <c r="A51" s="141" t="s">
        <v>554</v>
      </c>
      <c r="B51" s="225">
        <v>302125.59999999998</v>
      </c>
      <c r="C51" s="225">
        <v>14256.6</v>
      </c>
      <c r="D51" s="225">
        <f t="shared" si="5"/>
        <v>316382.19999999995</v>
      </c>
      <c r="E51" s="225">
        <v>80684.3</v>
      </c>
      <c r="F51" s="225">
        <v>436864.9</v>
      </c>
      <c r="G51" s="225">
        <f t="shared" si="6"/>
        <v>517549.2</v>
      </c>
      <c r="H51" s="225">
        <v>7375.7</v>
      </c>
      <c r="I51" s="225">
        <v>40141.599999999999</v>
      </c>
      <c r="J51" s="225">
        <f t="shared" si="7"/>
        <v>47517.299999999996</v>
      </c>
      <c r="K51" s="225">
        <f>8861.6+1747227.6</f>
        <v>1756089.2000000002</v>
      </c>
      <c r="L51" s="225">
        <f t="shared" si="8"/>
        <v>2321155.7000000002</v>
      </c>
      <c r="M51" s="225">
        <v>-447550.8</v>
      </c>
      <c r="N51" s="225">
        <f t="shared" si="22"/>
        <v>1873604.9000000001</v>
      </c>
      <c r="O51" s="225">
        <f t="shared" si="23"/>
        <v>2189987.1</v>
      </c>
      <c r="P51" s="204" t="s">
        <v>554</v>
      </c>
      <c r="Q51" s="712"/>
      <c r="R51" s="712"/>
      <c r="S51" s="712"/>
    </row>
    <row r="52" spans="1:19" s="159" customFormat="1" ht="10.9" customHeight="1">
      <c r="A52" s="306" t="s">
        <v>561</v>
      </c>
      <c r="B52" s="283">
        <v>305459.59999999998</v>
      </c>
      <c r="C52" s="283">
        <v>11470.2</v>
      </c>
      <c r="D52" s="283">
        <f t="shared" si="5"/>
        <v>316929.8</v>
      </c>
      <c r="E52" s="283">
        <v>80516.899999999994</v>
      </c>
      <c r="F52" s="283">
        <v>449761.9</v>
      </c>
      <c r="G52" s="283">
        <f t="shared" si="6"/>
        <v>530278.80000000005</v>
      </c>
      <c r="H52" s="283">
        <v>7383.1</v>
      </c>
      <c r="I52" s="283">
        <v>38832.400000000001</v>
      </c>
      <c r="J52" s="283">
        <f t="shared" si="7"/>
        <v>46215.5</v>
      </c>
      <c r="K52" s="283">
        <f>1751061.8+8329.2</f>
        <v>1759391</v>
      </c>
      <c r="L52" s="283">
        <f t="shared" si="8"/>
        <v>2335885.2999999998</v>
      </c>
      <c r="M52" s="283">
        <v>-457729.7</v>
      </c>
      <c r="N52" s="283">
        <f t="shared" ref="N52:N55" si="24">L52+M52</f>
        <v>1878155.5999999999</v>
      </c>
      <c r="O52" s="283">
        <f t="shared" si="23"/>
        <v>2195085.4</v>
      </c>
      <c r="P52" s="299" t="s">
        <v>561</v>
      </c>
      <c r="Q52" s="712"/>
      <c r="R52" s="712"/>
      <c r="S52" s="712"/>
    </row>
    <row r="53" spans="1:19" s="159" customFormat="1" ht="10.9" customHeight="1">
      <c r="A53" s="141" t="s">
        <v>562</v>
      </c>
      <c r="B53" s="225">
        <v>301884.2</v>
      </c>
      <c r="C53" s="225">
        <v>19172.8</v>
      </c>
      <c r="D53" s="225">
        <f t="shared" si="5"/>
        <v>321057</v>
      </c>
      <c r="E53" s="225">
        <v>98604.1</v>
      </c>
      <c r="F53" s="225">
        <v>455306.4</v>
      </c>
      <c r="G53" s="225">
        <f t="shared" si="6"/>
        <v>553910.5</v>
      </c>
      <c r="H53" s="225">
        <v>7390.4</v>
      </c>
      <c r="I53" s="225">
        <v>38262.6</v>
      </c>
      <c r="J53" s="225">
        <f t="shared" si="7"/>
        <v>45653</v>
      </c>
      <c r="K53" s="225">
        <f>1766076.2+8200.9</f>
        <v>1774277.0999999999</v>
      </c>
      <c r="L53" s="225">
        <f t="shared" si="8"/>
        <v>2373840.5999999996</v>
      </c>
      <c r="M53" s="225">
        <v>-472084.9</v>
      </c>
      <c r="N53" s="225">
        <f t="shared" si="24"/>
        <v>1901755.6999999997</v>
      </c>
      <c r="O53" s="225">
        <f t="shared" si="23"/>
        <v>2222812.6999999997</v>
      </c>
      <c r="P53" s="204" t="s">
        <v>562</v>
      </c>
      <c r="Q53" s="712"/>
      <c r="R53" s="712"/>
      <c r="S53" s="712"/>
    </row>
    <row r="54" spans="1:19" ht="10.9" customHeight="1">
      <c r="A54" s="306" t="s">
        <v>555</v>
      </c>
      <c r="B54" s="283">
        <v>317802.09999999998</v>
      </c>
      <c r="C54" s="283">
        <v>12212</v>
      </c>
      <c r="D54" s="283">
        <f t="shared" si="5"/>
        <v>330014.09999999998</v>
      </c>
      <c r="E54" s="283">
        <v>94976.7</v>
      </c>
      <c r="F54" s="283">
        <v>454349</v>
      </c>
      <c r="G54" s="283">
        <f t="shared" si="6"/>
        <v>549325.69999999995</v>
      </c>
      <c r="H54" s="283">
        <v>7372.8</v>
      </c>
      <c r="I54" s="283">
        <v>40245.1</v>
      </c>
      <c r="J54" s="283">
        <f t="shared" si="7"/>
        <v>47617.9</v>
      </c>
      <c r="K54" s="283">
        <f>1770972.3+17051.8</f>
        <v>1788024.1</v>
      </c>
      <c r="L54" s="283">
        <f t="shared" si="8"/>
        <v>2384967.7000000002</v>
      </c>
      <c r="M54" s="283">
        <v>-465097.2</v>
      </c>
      <c r="N54" s="283">
        <f t="shared" si="24"/>
        <v>1919870.5000000002</v>
      </c>
      <c r="O54" s="283">
        <f t="shared" si="23"/>
        <v>2249884.6</v>
      </c>
      <c r="P54" s="299" t="s">
        <v>555</v>
      </c>
      <c r="Q54" s="712"/>
      <c r="R54" s="37"/>
      <c r="S54" s="712"/>
    </row>
    <row r="55" spans="1:19" ht="10.9" customHeight="1">
      <c r="A55" s="141" t="s">
        <v>563</v>
      </c>
      <c r="B55" s="1717">
        <v>327284</v>
      </c>
      <c r="C55" s="1717">
        <v>14968.8</v>
      </c>
      <c r="D55" s="225">
        <f t="shared" si="5"/>
        <v>342252.79999999999</v>
      </c>
      <c r="E55" s="1717">
        <v>86457.9</v>
      </c>
      <c r="F55" s="1717">
        <v>476735.4</v>
      </c>
      <c r="G55" s="225">
        <f t="shared" si="6"/>
        <v>563193.30000000005</v>
      </c>
      <c r="H55" s="1717">
        <v>7621.1</v>
      </c>
      <c r="I55" s="1717">
        <v>40444.199999999997</v>
      </c>
      <c r="J55" s="225">
        <f t="shared" si="7"/>
        <v>48065.299999999996</v>
      </c>
      <c r="K55" s="1717">
        <v>1781471</v>
      </c>
      <c r="L55" s="225">
        <f t="shared" si="8"/>
        <v>2392729.6000000001</v>
      </c>
      <c r="M55" s="1717">
        <v>-484449</v>
      </c>
      <c r="N55" s="225">
        <f t="shared" si="24"/>
        <v>1908280.6</v>
      </c>
      <c r="O55" s="225">
        <f t="shared" si="23"/>
        <v>2250533.4</v>
      </c>
      <c r="P55" s="1406" t="s">
        <v>563</v>
      </c>
      <c r="S55" s="712"/>
    </row>
    <row r="56" spans="1:19" ht="10.9" customHeight="1" thickBot="1">
      <c r="A56" s="1240" t="s">
        <v>564</v>
      </c>
      <c r="B56" s="1693">
        <v>342571.3</v>
      </c>
      <c r="C56" s="1693">
        <v>12304.1</v>
      </c>
      <c r="D56" s="1693">
        <f t="shared" si="5"/>
        <v>354875.39999999997</v>
      </c>
      <c r="E56" s="1693">
        <v>80916.600000000006</v>
      </c>
      <c r="F56" s="1693">
        <v>498615.5</v>
      </c>
      <c r="G56" s="1693">
        <f t="shared" si="6"/>
        <v>579532.1</v>
      </c>
      <c r="H56" s="1693">
        <v>7629.3</v>
      </c>
      <c r="I56" s="1693">
        <v>40631.800000000003</v>
      </c>
      <c r="J56" s="1693">
        <f t="shared" si="7"/>
        <v>48261.100000000006</v>
      </c>
      <c r="K56" s="1693">
        <v>1785976</v>
      </c>
      <c r="L56" s="1693">
        <f t="shared" si="8"/>
        <v>2413769.2000000002</v>
      </c>
      <c r="M56" s="1693">
        <v>-486779.1</v>
      </c>
      <c r="N56" s="1693">
        <f t="shared" ref="N56" si="25">L56+M56</f>
        <v>1926990.1</v>
      </c>
      <c r="O56" s="1693">
        <f t="shared" ref="O56" si="26">D56+N56</f>
        <v>2281865.5</v>
      </c>
      <c r="P56" s="1791" t="s">
        <v>564</v>
      </c>
      <c r="Q56" s="160"/>
      <c r="S56" s="712"/>
    </row>
    <row r="57" spans="1:19">
      <c r="A57" s="551" t="s">
        <v>194</v>
      </c>
      <c r="B57" s="2086" t="s">
        <v>2181</v>
      </c>
      <c r="C57" s="2086"/>
      <c r="D57" s="2086"/>
      <c r="E57" s="2086"/>
      <c r="F57" s="2086"/>
      <c r="G57" s="2086"/>
      <c r="H57" s="2086"/>
      <c r="I57" s="551" t="s">
        <v>196</v>
      </c>
      <c r="J57" s="2086" t="s">
        <v>1010</v>
      </c>
      <c r="K57" s="2086"/>
      <c r="L57" s="2086"/>
      <c r="M57" s="2086"/>
      <c r="N57" s="2086"/>
      <c r="O57" s="2086"/>
      <c r="P57" s="2086"/>
      <c r="Q57" s="475"/>
    </row>
    <row r="58" spans="1:19">
      <c r="A58" s="36"/>
      <c r="B58" s="2083" t="s">
        <v>1293</v>
      </c>
      <c r="C58" s="2083"/>
      <c r="D58" s="2083"/>
      <c r="E58" s="664"/>
      <c r="F58" s="1127"/>
      <c r="G58" s="1127" t="s">
        <v>1309</v>
      </c>
      <c r="H58" s="664"/>
      <c r="J58" s="2084" t="s">
        <v>1217</v>
      </c>
      <c r="K58" s="2084"/>
      <c r="L58" s="2084"/>
      <c r="M58" s="2084"/>
      <c r="N58" s="2084"/>
      <c r="O58" s="2084"/>
      <c r="P58" s="2084"/>
      <c r="Q58" s="160"/>
    </row>
    <row r="59" spans="1:19">
      <c r="B59" s="1521"/>
      <c r="C59" s="1521"/>
      <c r="D59" s="1521"/>
      <c r="E59" s="1145"/>
      <c r="F59" s="1145"/>
      <c r="G59" s="1145"/>
      <c r="H59" s="1517"/>
      <c r="I59" s="44" t="s">
        <v>195</v>
      </c>
      <c r="J59" s="2085" t="s">
        <v>1218</v>
      </c>
      <c r="K59" s="2085"/>
      <c r="L59" s="2085"/>
      <c r="M59" s="2085"/>
      <c r="N59" s="2085"/>
      <c r="Q59" s="160"/>
    </row>
    <row r="60" spans="1:19">
      <c r="F60" s="1145"/>
      <c r="G60" s="1145"/>
      <c r="J60" s="37"/>
      <c r="L60" s="37"/>
      <c r="M60" s="37"/>
      <c r="N60" s="37"/>
      <c r="O60" s="37"/>
      <c r="P60" s="37"/>
      <c r="Q60" s="160"/>
    </row>
    <row r="61" spans="1:19">
      <c r="C61" s="225"/>
      <c r="D61" s="225"/>
      <c r="E61" s="225"/>
      <c r="F61" s="1145"/>
      <c r="G61" s="1145"/>
      <c r="H61" s="37"/>
      <c r="I61" s="37"/>
      <c r="J61" s="37"/>
      <c r="K61" s="37"/>
      <c r="L61" s="37"/>
      <c r="M61" s="37"/>
      <c r="N61" s="37"/>
      <c r="O61" s="37"/>
    </row>
    <row r="62" spans="1:19">
      <c r="C62" s="225"/>
      <c r="D62" s="225"/>
      <c r="E62" s="225"/>
      <c r="F62" s="225"/>
      <c r="G62" s="225"/>
      <c r="H62" s="37"/>
      <c r="I62" s="37"/>
      <c r="J62" s="37"/>
      <c r="M62" s="37"/>
      <c r="N62" s="37"/>
      <c r="O62" s="37"/>
    </row>
    <row r="63" spans="1:19">
      <c r="E63" s="37"/>
      <c r="F63" s="1145"/>
      <c r="G63" s="1145"/>
      <c r="H63" s="37"/>
      <c r="I63" s="37"/>
      <c r="K63" s="37"/>
      <c r="L63" s="37"/>
      <c r="M63" s="37"/>
      <c r="N63" s="37"/>
      <c r="O63" s="37"/>
      <c r="P63" s="475"/>
    </row>
    <row r="64" spans="1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475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475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160"/>
    </row>
    <row r="67" spans="2:16">
      <c r="B67" s="37"/>
      <c r="D67" s="84"/>
      <c r="G67" s="1145"/>
      <c r="H67" s="37"/>
      <c r="I67" s="37"/>
      <c r="K67" s="37"/>
      <c r="L67" s="84"/>
      <c r="M67" s="84"/>
    </row>
    <row r="68" spans="2:16">
      <c r="G68" s="1145"/>
      <c r="J68" s="37"/>
      <c r="K68" s="84"/>
      <c r="L68" s="37"/>
      <c r="M68" s="84"/>
    </row>
    <row r="69" spans="2:16">
      <c r="G69" s="1145"/>
      <c r="J69" s="37"/>
    </row>
    <row r="70" spans="2:16">
      <c r="G70" s="1145"/>
    </row>
    <row r="71" spans="2:16">
      <c r="G71" s="1145"/>
      <c r="L71" s="37"/>
      <c r="M71" s="84"/>
    </row>
    <row r="72" spans="2:16">
      <c r="G72" s="1145"/>
    </row>
    <row r="73" spans="2:16">
      <c r="B73" s="37"/>
      <c r="C73" s="37"/>
      <c r="D73" s="37"/>
      <c r="E73" s="37"/>
      <c r="F73" s="37"/>
      <c r="G73" s="1145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1145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1145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1145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1145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1145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1145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1145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1145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B58:D58"/>
    <mergeCell ref="J58:P58"/>
    <mergeCell ref="J59:N59"/>
    <mergeCell ref="J57:P57"/>
    <mergeCell ref="B57:H57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70"/>
  <sheetViews>
    <sheetView zoomScale="130" zoomScaleNormal="130" workbookViewId="0">
      <pane xSplit="1" ySplit="5" topLeftCell="B42" activePane="bottomRight" state="frozen"/>
      <selection activeCell="Q6" sqref="Q6"/>
      <selection pane="topRight" activeCell="Q6" sqref="Q6"/>
      <selection pane="bottomLeft" activeCell="Q6" sqref="Q6"/>
      <selection pane="bottomRight" activeCell="A50" sqref="A6:XFD50"/>
    </sheetView>
  </sheetViews>
  <sheetFormatPr defaultColWidth="9.140625" defaultRowHeight="12.75"/>
  <cols>
    <col min="1" max="1" width="11.140625" style="432" customWidth="1"/>
    <col min="2" max="2" width="13.7109375" style="432" customWidth="1"/>
    <col min="3" max="3" width="12.85546875" style="432" customWidth="1"/>
    <col min="4" max="4" width="13" style="432" customWidth="1"/>
    <col min="5" max="5" width="13.42578125" style="432" customWidth="1"/>
    <col min="6" max="6" width="13" style="432" customWidth="1"/>
    <col min="7" max="8" width="12.7109375" style="432" customWidth="1"/>
    <col min="9" max="10" width="13.28515625" style="432" customWidth="1"/>
    <col min="11" max="11" width="14.42578125" style="432" customWidth="1"/>
    <col min="12" max="12" width="11.85546875" style="432" customWidth="1"/>
    <col min="13" max="13" width="12.140625" style="432" customWidth="1"/>
    <col min="14" max="14" width="10.7109375" style="432" customWidth="1"/>
    <col min="15" max="15" width="11" style="432" customWidth="1"/>
    <col min="16" max="16384" width="9.140625" style="432"/>
  </cols>
  <sheetData>
    <row r="1" spans="1:16384" s="162" customFormat="1" ht="15.75">
      <c r="D1" s="2096" t="s">
        <v>789</v>
      </c>
      <c r="E1" s="2096"/>
      <c r="F1" s="2096"/>
      <c r="G1" s="2100" t="s">
        <v>433</v>
      </c>
      <c r="H1" s="2100"/>
      <c r="I1" s="2100"/>
      <c r="K1" s="2096" t="s">
        <v>328</v>
      </c>
      <c r="L1" s="2096"/>
    </row>
    <row r="2" spans="1:16384" s="165" customFormat="1" ht="10.5" customHeight="1">
      <c r="F2" s="1526"/>
      <c r="K2" s="2101" t="s">
        <v>218</v>
      </c>
      <c r="L2" s="2101"/>
      <c r="N2" s="162"/>
      <c r="O2" s="162"/>
    </row>
    <row r="3" spans="1:16384" s="167" customFormat="1" ht="22.5" customHeight="1">
      <c r="A3" s="2090" t="s">
        <v>896</v>
      </c>
      <c r="B3" s="2094" t="s">
        <v>197</v>
      </c>
      <c r="C3" s="2093" t="s">
        <v>899</v>
      </c>
      <c r="D3" s="2097" t="s">
        <v>381</v>
      </c>
      <c r="E3" s="2098"/>
      <c r="F3" s="2099"/>
      <c r="G3" s="2097" t="s">
        <v>383</v>
      </c>
      <c r="H3" s="2098"/>
      <c r="I3" s="2099"/>
      <c r="J3" s="2093" t="s">
        <v>755</v>
      </c>
      <c r="K3" s="2093" t="s">
        <v>898</v>
      </c>
      <c r="L3" s="2090" t="s">
        <v>897</v>
      </c>
      <c r="N3" s="162"/>
      <c r="O3" s="162"/>
    </row>
    <row r="4" spans="1:16384" s="167" customFormat="1" ht="22.5" customHeight="1">
      <c r="A4" s="2091"/>
      <c r="B4" s="2095"/>
      <c r="C4" s="1955"/>
      <c r="D4" s="1525" t="s">
        <v>382</v>
      </c>
      <c r="E4" s="1525" t="s">
        <v>478</v>
      </c>
      <c r="F4" s="1525" t="s">
        <v>477</v>
      </c>
      <c r="G4" s="1525" t="s">
        <v>382</v>
      </c>
      <c r="H4" s="1525" t="s">
        <v>478</v>
      </c>
      <c r="I4" s="1525" t="s">
        <v>477</v>
      </c>
      <c r="J4" s="1955"/>
      <c r="K4" s="1955"/>
      <c r="L4" s="2091"/>
      <c r="N4" s="162"/>
      <c r="O4" s="162"/>
    </row>
    <row r="5" spans="1:16384" s="497" customFormat="1" ht="12" customHeight="1">
      <c r="A5" s="2092"/>
      <c r="B5" s="1527">
        <v>1</v>
      </c>
      <c r="C5" s="496">
        <v>2</v>
      </c>
      <c r="D5" s="496">
        <v>3</v>
      </c>
      <c r="E5" s="496">
        <v>4</v>
      </c>
      <c r="F5" s="496" t="s">
        <v>198</v>
      </c>
      <c r="G5" s="496">
        <v>6</v>
      </c>
      <c r="H5" s="496">
        <v>7</v>
      </c>
      <c r="I5" s="496" t="s">
        <v>199</v>
      </c>
      <c r="J5" s="496">
        <v>9</v>
      </c>
      <c r="K5" s="496" t="s">
        <v>384</v>
      </c>
      <c r="L5" s="2092"/>
      <c r="N5" s="162"/>
      <c r="O5" s="162"/>
    </row>
    <row r="6" spans="1:16384" ht="12.6" customHeight="1">
      <c r="A6" s="1141" t="s">
        <v>991</v>
      </c>
      <c r="B6" s="455">
        <v>117529.4</v>
      </c>
      <c r="C6" s="455">
        <v>0</v>
      </c>
      <c r="D6" s="455">
        <v>5279.8</v>
      </c>
      <c r="E6" s="455">
        <v>17064.3</v>
      </c>
      <c r="F6" s="492">
        <v>22344.1</v>
      </c>
      <c r="G6" s="455">
        <v>7457.2</v>
      </c>
      <c r="H6" s="455">
        <v>396366.5</v>
      </c>
      <c r="I6" s="492">
        <v>403823.7</v>
      </c>
      <c r="J6" s="455">
        <v>94209.1</v>
      </c>
      <c r="K6" s="492">
        <v>637906.29999999993</v>
      </c>
      <c r="L6" s="1142" t="s">
        <v>991</v>
      </c>
      <c r="N6" s="162"/>
      <c r="O6" s="162"/>
      <c r="P6" s="167"/>
      <c r="Q6" s="167"/>
    </row>
    <row r="7" spans="1:16384" s="348" customFormat="1" ht="12.6" customHeight="1">
      <c r="A7" s="223" t="s">
        <v>1042</v>
      </c>
      <c r="B7" s="455">
        <v>110257.3</v>
      </c>
      <c r="C7" s="455">
        <v>0</v>
      </c>
      <c r="D7" s="455">
        <v>5366.6</v>
      </c>
      <c r="E7" s="455">
        <v>21902.2</v>
      </c>
      <c r="F7" s="455">
        <v>27268.799999999999</v>
      </c>
      <c r="G7" s="455">
        <v>11303.2</v>
      </c>
      <c r="H7" s="455">
        <v>447518.7</v>
      </c>
      <c r="I7" s="455">
        <v>458821.8</v>
      </c>
      <c r="J7" s="455">
        <v>105178.6</v>
      </c>
      <c r="K7" s="455">
        <v>701526.5</v>
      </c>
      <c r="L7" s="395" t="s">
        <v>1042</v>
      </c>
      <c r="N7" s="162"/>
      <c r="O7" s="162"/>
      <c r="P7" s="497"/>
      <c r="Q7" s="497"/>
    </row>
    <row r="8" spans="1:16384" s="348" customFormat="1" ht="12.6" customHeight="1">
      <c r="A8" s="281" t="s">
        <v>1163</v>
      </c>
      <c r="B8" s="450">
        <v>114219.6</v>
      </c>
      <c r="C8" s="450">
        <v>0</v>
      </c>
      <c r="D8" s="450">
        <v>6923.8</v>
      </c>
      <c r="E8" s="450">
        <v>26923.7</v>
      </c>
      <c r="F8" s="450">
        <v>33847.5</v>
      </c>
      <c r="G8" s="450">
        <v>9127.2999999999993</v>
      </c>
      <c r="H8" s="450">
        <v>531340.4</v>
      </c>
      <c r="I8" s="450">
        <v>540467.70000000007</v>
      </c>
      <c r="J8" s="450">
        <v>112745.2</v>
      </c>
      <c r="K8" s="450">
        <v>801280</v>
      </c>
      <c r="L8" s="372" t="s">
        <v>1163</v>
      </c>
      <c r="N8" s="162"/>
      <c r="O8" s="162"/>
      <c r="P8" s="162"/>
      <c r="Q8" s="162"/>
    </row>
    <row r="9" spans="1:16384" s="348" customFormat="1" ht="12.6" customHeight="1">
      <c r="A9" s="223" t="s">
        <v>1187</v>
      </c>
      <c r="B9" s="455">
        <v>97333.5</v>
      </c>
      <c r="C9" s="455">
        <v>0</v>
      </c>
      <c r="D9" s="455">
        <v>8161.5</v>
      </c>
      <c r="E9" s="455">
        <v>33950.300000000003</v>
      </c>
      <c r="F9" s="455">
        <v>42111.8</v>
      </c>
      <c r="G9" s="455">
        <v>9118.7000000000007</v>
      </c>
      <c r="H9" s="455">
        <v>612395</v>
      </c>
      <c r="I9" s="455">
        <v>621513.69999999995</v>
      </c>
      <c r="J9" s="455">
        <v>129711.2</v>
      </c>
      <c r="K9" s="455">
        <v>890670.2</v>
      </c>
      <c r="L9" s="395" t="s">
        <v>1187</v>
      </c>
      <c r="N9" s="162"/>
      <c r="O9" s="162"/>
      <c r="P9" s="165"/>
      <c r="Q9" s="165"/>
    </row>
    <row r="10" spans="1:16384" s="348" customFormat="1" ht="12.6" customHeight="1">
      <c r="A10" s="1141" t="s">
        <v>1311</v>
      </c>
      <c r="B10" s="455">
        <v>94894.9</v>
      </c>
      <c r="C10" s="455">
        <v>0</v>
      </c>
      <c r="D10" s="455">
        <v>8638.7999999999993</v>
      </c>
      <c r="E10" s="455">
        <v>43216.2</v>
      </c>
      <c r="F10" s="492">
        <v>51875.3</v>
      </c>
      <c r="G10" s="455">
        <v>10561.3</v>
      </c>
      <c r="H10" s="455">
        <v>714397</v>
      </c>
      <c r="I10" s="492">
        <v>724958.3</v>
      </c>
      <c r="J10" s="455">
        <v>149898.09999999995</v>
      </c>
      <c r="K10" s="492">
        <v>1021626.6</v>
      </c>
      <c r="L10" s="1142" t="s">
        <v>1311</v>
      </c>
      <c r="N10" s="162"/>
      <c r="O10" s="162"/>
      <c r="P10" s="167"/>
      <c r="Q10" s="167"/>
    </row>
    <row r="11" spans="1:16384" s="348" customFormat="1" ht="12.6" customHeight="1">
      <c r="A11" s="223" t="s">
        <v>1420</v>
      </c>
      <c r="B11" s="455">
        <v>113273.4</v>
      </c>
      <c r="C11" s="455">
        <v>0</v>
      </c>
      <c r="D11" s="455">
        <v>10941.8</v>
      </c>
      <c r="E11" s="455">
        <v>44526.6</v>
      </c>
      <c r="F11" s="455">
        <v>55468.399999999994</v>
      </c>
      <c r="G11" s="455">
        <v>12413.8</v>
      </c>
      <c r="H11" s="455">
        <v>797858.7</v>
      </c>
      <c r="I11" s="455">
        <v>810272.5</v>
      </c>
      <c r="J11" s="455">
        <v>167870.4</v>
      </c>
      <c r="K11" s="455">
        <v>1146884.7</v>
      </c>
      <c r="L11" s="395" t="s">
        <v>1420</v>
      </c>
      <c r="N11" s="162"/>
      <c r="O11" s="162"/>
      <c r="P11" s="167"/>
      <c r="Q11" s="167"/>
    </row>
    <row r="12" spans="1:16384" s="218" customFormat="1" ht="12.6" customHeight="1">
      <c r="A12" s="281" t="s">
        <v>1502</v>
      </c>
      <c r="B12" s="450">
        <v>181150.7</v>
      </c>
      <c r="C12" s="450">
        <v>0</v>
      </c>
      <c r="D12" s="450">
        <v>11420.7</v>
      </c>
      <c r="E12" s="450">
        <v>43383.4</v>
      </c>
      <c r="F12" s="450">
        <v>54804.100000000006</v>
      </c>
      <c r="G12" s="450">
        <v>17794.400000000001</v>
      </c>
      <c r="H12" s="450">
        <v>875826.1</v>
      </c>
      <c r="I12" s="450">
        <v>893620.5</v>
      </c>
      <c r="J12" s="450">
        <v>178058.39999999991</v>
      </c>
      <c r="K12" s="450">
        <v>1307633.7</v>
      </c>
      <c r="L12" s="372" t="s">
        <v>1502</v>
      </c>
      <c r="N12" s="162"/>
      <c r="O12" s="162"/>
      <c r="P12" s="497"/>
      <c r="Q12" s="497"/>
    </row>
    <row r="13" spans="1:16384" ht="12.6" customHeight="1">
      <c r="A13" s="223" t="s">
        <v>1555</v>
      </c>
      <c r="B13" s="455">
        <v>221024.9</v>
      </c>
      <c r="C13" s="455">
        <v>0</v>
      </c>
      <c r="D13" s="455">
        <v>11686.7</v>
      </c>
      <c r="E13" s="455">
        <v>44685.5</v>
      </c>
      <c r="F13" s="455">
        <v>56372.2</v>
      </c>
      <c r="G13" s="455">
        <v>18330.400000000001</v>
      </c>
      <c r="H13" s="455">
        <v>944500.9</v>
      </c>
      <c r="I13" s="455">
        <v>962831.3</v>
      </c>
      <c r="J13" s="455">
        <v>199670.7</v>
      </c>
      <c r="K13" s="455">
        <v>1439899.0999999999</v>
      </c>
      <c r="L13" s="395" t="s">
        <v>1555</v>
      </c>
      <c r="N13" s="162"/>
      <c r="O13" s="162"/>
      <c r="P13" s="162"/>
      <c r="Q13" s="162"/>
    </row>
    <row r="14" spans="1:16384" s="160" customFormat="1" ht="12.6" customHeight="1">
      <c r="A14" s="392" t="s">
        <v>1836</v>
      </c>
      <c r="B14" s="450">
        <v>283314.5</v>
      </c>
      <c r="C14" s="450">
        <v>0</v>
      </c>
      <c r="D14" s="450">
        <v>11888.306285111861</v>
      </c>
      <c r="E14" s="450">
        <v>46525.068338350975</v>
      </c>
      <c r="F14" s="450">
        <v>58413.374623462834</v>
      </c>
      <c r="G14" s="450">
        <v>25306.388915850399</v>
      </c>
      <c r="H14" s="450">
        <v>1078354.71160969</v>
      </c>
      <c r="I14" s="450">
        <v>1103661.1005255403</v>
      </c>
      <c r="J14" s="450">
        <v>226359.92485099685</v>
      </c>
      <c r="K14" s="450">
        <v>1671748.9</v>
      </c>
      <c r="L14" s="1143" t="s">
        <v>1836</v>
      </c>
      <c r="M14" s="1614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1144"/>
      <c r="Y14" s="1614"/>
      <c r="Z14" s="455"/>
      <c r="AA14" s="455"/>
      <c r="AB14" s="455"/>
      <c r="AC14" s="455"/>
      <c r="AD14" s="455"/>
      <c r="AE14" s="455"/>
      <c r="AF14" s="455"/>
      <c r="AG14" s="455"/>
      <c r="AH14" s="455"/>
      <c r="AI14" s="455"/>
      <c r="AJ14" s="1144"/>
      <c r="AK14" s="1614"/>
      <c r="AL14" s="455"/>
      <c r="AM14" s="455"/>
      <c r="AN14" s="455"/>
      <c r="AO14" s="455"/>
      <c r="AP14" s="455"/>
      <c r="AQ14" s="455"/>
      <c r="AR14" s="455"/>
      <c r="AS14" s="455"/>
      <c r="AT14" s="455"/>
      <c r="AU14" s="455"/>
      <c r="AV14" s="1144"/>
      <c r="AW14" s="1614"/>
      <c r="AX14" s="455"/>
      <c r="AY14" s="455"/>
      <c r="AZ14" s="455"/>
      <c r="BA14" s="455"/>
      <c r="BB14" s="455"/>
      <c r="BC14" s="455"/>
      <c r="BD14" s="455"/>
      <c r="BE14" s="455"/>
      <c r="BF14" s="455"/>
      <c r="BG14" s="455"/>
      <c r="BH14" s="1144"/>
      <c r="BI14" s="1614"/>
      <c r="BJ14" s="455"/>
      <c r="BK14" s="455"/>
      <c r="BL14" s="455"/>
      <c r="BM14" s="455"/>
      <c r="BN14" s="455"/>
      <c r="BO14" s="455"/>
      <c r="BP14" s="455"/>
      <c r="BQ14" s="455"/>
      <c r="BR14" s="455"/>
      <c r="BS14" s="455"/>
      <c r="BT14" s="1144"/>
      <c r="BU14" s="1614"/>
      <c r="BV14" s="455"/>
      <c r="BW14" s="455"/>
      <c r="BX14" s="455"/>
      <c r="BY14" s="455"/>
      <c r="BZ14" s="455"/>
      <c r="CA14" s="455"/>
      <c r="CB14" s="455"/>
      <c r="CC14" s="455"/>
      <c r="CD14" s="455"/>
      <c r="CE14" s="455"/>
      <c r="CF14" s="1144"/>
      <c r="CG14" s="1614"/>
      <c r="CH14" s="455"/>
      <c r="CI14" s="455"/>
      <c r="CJ14" s="455"/>
      <c r="CK14" s="455"/>
      <c r="CL14" s="455"/>
      <c r="CM14" s="455"/>
      <c r="CN14" s="455"/>
      <c r="CO14" s="455"/>
      <c r="CP14" s="455"/>
      <c r="CQ14" s="455"/>
      <c r="CR14" s="1144"/>
      <c r="CS14" s="1614"/>
      <c r="CT14" s="455"/>
      <c r="CU14" s="455"/>
      <c r="CV14" s="455"/>
      <c r="CW14" s="455"/>
      <c r="CX14" s="455"/>
      <c r="CY14" s="455"/>
      <c r="CZ14" s="455"/>
      <c r="DA14" s="455"/>
      <c r="DB14" s="455"/>
      <c r="DC14" s="455"/>
      <c r="DD14" s="1144"/>
      <c r="DE14" s="1614"/>
      <c r="DF14" s="455"/>
      <c r="DG14" s="455"/>
      <c r="DH14" s="455"/>
      <c r="DI14" s="455"/>
      <c r="DJ14" s="455"/>
      <c r="DK14" s="455"/>
      <c r="DL14" s="455"/>
      <c r="DM14" s="455"/>
      <c r="DN14" s="455"/>
      <c r="DO14" s="455"/>
      <c r="DP14" s="1144"/>
      <c r="DQ14" s="1614"/>
      <c r="DR14" s="455"/>
      <c r="DS14" s="455"/>
      <c r="DT14" s="455"/>
      <c r="DU14" s="455"/>
      <c r="DV14" s="455"/>
      <c r="DW14" s="455"/>
      <c r="DX14" s="455"/>
      <c r="DY14" s="455"/>
      <c r="DZ14" s="455"/>
      <c r="EA14" s="455"/>
      <c r="EB14" s="1144"/>
      <c r="EC14" s="1614"/>
      <c r="ED14" s="455"/>
      <c r="EE14" s="455"/>
      <c r="EF14" s="455"/>
      <c r="EG14" s="455"/>
      <c r="EH14" s="455"/>
      <c r="EI14" s="455"/>
      <c r="EJ14" s="455"/>
      <c r="EK14" s="455"/>
      <c r="EL14" s="455"/>
      <c r="EM14" s="455"/>
      <c r="EN14" s="1144"/>
      <c r="EO14" s="1614"/>
      <c r="EP14" s="455"/>
      <c r="EQ14" s="455"/>
      <c r="ER14" s="455"/>
      <c r="ES14" s="455"/>
      <c r="ET14" s="455"/>
      <c r="EU14" s="455"/>
      <c r="EV14" s="455"/>
      <c r="EW14" s="455"/>
      <c r="EX14" s="455"/>
      <c r="EY14" s="455"/>
      <c r="EZ14" s="1144"/>
      <c r="FA14" s="1614"/>
      <c r="FB14" s="455"/>
      <c r="FC14" s="455"/>
      <c r="FD14" s="455"/>
      <c r="FE14" s="455"/>
      <c r="FF14" s="455"/>
      <c r="FG14" s="455"/>
      <c r="FH14" s="455"/>
      <c r="FI14" s="455"/>
      <c r="FJ14" s="455"/>
      <c r="FK14" s="455"/>
      <c r="FL14" s="1144"/>
      <c r="FM14" s="1614"/>
      <c r="FN14" s="455"/>
      <c r="FO14" s="455"/>
      <c r="FP14" s="455"/>
      <c r="FQ14" s="455"/>
      <c r="FR14" s="455"/>
      <c r="FS14" s="455"/>
      <c r="FT14" s="455"/>
      <c r="FU14" s="455"/>
      <c r="FV14" s="455"/>
      <c r="FW14" s="455"/>
      <c r="FX14" s="1144"/>
      <c r="FY14" s="1614"/>
      <c r="FZ14" s="455"/>
      <c r="GA14" s="455"/>
      <c r="GB14" s="455"/>
      <c r="GC14" s="455"/>
      <c r="GD14" s="455"/>
      <c r="GE14" s="455"/>
      <c r="GF14" s="455"/>
      <c r="GG14" s="455"/>
      <c r="GH14" s="455"/>
      <c r="GI14" s="455"/>
      <c r="GJ14" s="1144"/>
      <c r="GK14" s="1614"/>
      <c r="GL14" s="455"/>
      <c r="GM14" s="455"/>
      <c r="GN14" s="455"/>
      <c r="GO14" s="455"/>
      <c r="GP14" s="455"/>
      <c r="GQ14" s="455"/>
      <c r="GR14" s="455"/>
      <c r="GS14" s="455"/>
      <c r="GT14" s="455"/>
      <c r="GU14" s="455"/>
      <c r="GV14" s="1144"/>
      <c r="GW14" s="1614"/>
      <c r="GX14" s="455"/>
      <c r="GY14" s="455"/>
      <c r="GZ14" s="455"/>
      <c r="HA14" s="455"/>
      <c r="HB14" s="455"/>
      <c r="HC14" s="455"/>
      <c r="HD14" s="455"/>
      <c r="HE14" s="455"/>
      <c r="HF14" s="455"/>
      <c r="HG14" s="455"/>
      <c r="HH14" s="1144"/>
      <c r="HI14" s="1614"/>
      <c r="HJ14" s="455"/>
      <c r="HK14" s="455"/>
      <c r="HL14" s="455"/>
      <c r="HM14" s="455"/>
      <c r="HN14" s="455"/>
      <c r="HO14" s="455"/>
      <c r="HP14" s="455"/>
      <c r="HQ14" s="455"/>
      <c r="HR14" s="455"/>
      <c r="HS14" s="455"/>
      <c r="HT14" s="1144"/>
      <c r="HU14" s="1614"/>
      <c r="HV14" s="455"/>
      <c r="HW14" s="455"/>
      <c r="HX14" s="455"/>
      <c r="HY14" s="455"/>
      <c r="HZ14" s="455"/>
      <c r="IA14" s="455"/>
      <c r="IB14" s="455"/>
      <c r="IC14" s="455"/>
      <c r="ID14" s="455"/>
      <c r="IE14" s="455"/>
      <c r="IF14" s="1144"/>
      <c r="IG14" s="1614"/>
      <c r="IH14" s="455"/>
      <c r="II14" s="455"/>
      <c r="IJ14" s="455"/>
      <c r="IK14" s="455"/>
      <c r="IL14" s="455"/>
      <c r="IM14" s="455"/>
      <c r="IN14" s="455"/>
      <c r="IO14" s="455"/>
      <c r="IP14" s="455"/>
      <c r="IQ14" s="455"/>
      <c r="IR14" s="1144"/>
      <c r="IS14" s="1614"/>
      <c r="IT14" s="455"/>
      <c r="IU14" s="455"/>
      <c r="IV14" s="455"/>
      <c r="IW14" s="455"/>
      <c r="IX14" s="455"/>
      <c r="IY14" s="455"/>
      <c r="IZ14" s="455"/>
      <c r="JA14" s="455"/>
      <c r="JB14" s="455"/>
      <c r="JC14" s="455"/>
      <c r="JD14" s="1144"/>
      <c r="JE14" s="1614"/>
      <c r="JF14" s="455"/>
      <c r="JG14" s="455"/>
      <c r="JH14" s="455"/>
      <c r="JI14" s="455"/>
      <c r="JJ14" s="455"/>
      <c r="JK14" s="455"/>
      <c r="JL14" s="455"/>
      <c r="JM14" s="455"/>
      <c r="JN14" s="455"/>
      <c r="JO14" s="455"/>
      <c r="JP14" s="1144"/>
      <c r="JQ14" s="1614"/>
      <c r="JR14" s="455"/>
      <c r="JS14" s="455"/>
      <c r="JT14" s="455"/>
      <c r="JU14" s="455"/>
      <c r="JV14" s="455"/>
      <c r="JW14" s="455"/>
      <c r="JX14" s="455"/>
      <c r="JY14" s="455"/>
      <c r="JZ14" s="455"/>
      <c r="KA14" s="455"/>
      <c r="KB14" s="1144"/>
      <c r="KC14" s="1614"/>
      <c r="KD14" s="455"/>
      <c r="KE14" s="455"/>
      <c r="KF14" s="455"/>
      <c r="KG14" s="455"/>
      <c r="KH14" s="455"/>
      <c r="KI14" s="455"/>
      <c r="KJ14" s="455"/>
      <c r="KK14" s="455"/>
      <c r="KL14" s="455"/>
      <c r="KM14" s="455"/>
      <c r="KN14" s="1144"/>
      <c r="KO14" s="1614"/>
      <c r="KP14" s="455"/>
      <c r="KQ14" s="455"/>
      <c r="KR14" s="455"/>
      <c r="KS14" s="455"/>
      <c r="KT14" s="455"/>
      <c r="KU14" s="455"/>
      <c r="KV14" s="455"/>
      <c r="KW14" s="455"/>
      <c r="KX14" s="455"/>
      <c r="KY14" s="455"/>
      <c r="KZ14" s="1144"/>
      <c r="LA14" s="1614"/>
      <c r="LB14" s="455"/>
      <c r="LC14" s="455"/>
      <c r="LD14" s="455"/>
      <c r="LE14" s="455"/>
      <c r="LF14" s="455"/>
      <c r="LG14" s="455"/>
      <c r="LH14" s="455"/>
      <c r="LI14" s="455"/>
      <c r="LJ14" s="455"/>
      <c r="LK14" s="455"/>
      <c r="LL14" s="1144"/>
      <c r="LM14" s="1614"/>
      <c r="LN14" s="455"/>
      <c r="LO14" s="455"/>
      <c r="LP14" s="455"/>
      <c r="LQ14" s="455"/>
      <c r="LR14" s="455"/>
      <c r="LS14" s="455"/>
      <c r="LT14" s="455"/>
      <c r="LU14" s="455"/>
      <c r="LV14" s="455"/>
      <c r="LW14" s="455"/>
      <c r="LX14" s="1144"/>
      <c r="LY14" s="1614"/>
      <c r="LZ14" s="455"/>
      <c r="MA14" s="455"/>
      <c r="MB14" s="455"/>
      <c r="MC14" s="455"/>
      <c r="MD14" s="455"/>
      <c r="ME14" s="455"/>
      <c r="MF14" s="455"/>
      <c r="MG14" s="455"/>
      <c r="MH14" s="455"/>
      <c r="MI14" s="455"/>
      <c r="MJ14" s="1144"/>
      <c r="MK14" s="1614"/>
      <c r="ML14" s="455"/>
      <c r="MM14" s="455"/>
      <c r="MN14" s="455"/>
      <c r="MO14" s="455"/>
      <c r="MP14" s="455"/>
      <c r="MQ14" s="455"/>
      <c r="MR14" s="455"/>
      <c r="MS14" s="455"/>
      <c r="MT14" s="455"/>
      <c r="MU14" s="455"/>
      <c r="MV14" s="1144"/>
      <c r="MW14" s="1614"/>
      <c r="MX14" s="455"/>
      <c r="MY14" s="455"/>
      <c r="MZ14" s="455"/>
      <c r="NA14" s="455"/>
      <c r="NB14" s="455"/>
      <c r="NC14" s="455"/>
      <c r="ND14" s="455"/>
      <c r="NE14" s="455"/>
      <c r="NF14" s="455"/>
      <c r="NG14" s="455"/>
      <c r="NH14" s="1144"/>
      <c r="NI14" s="1614"/>
      <c r="NJ14" s="455"/>
      <c r="NK14" s="455"/>
      <c r="NL14" s="455"/>
      <c r="NM14" s="455"/>
      <c r="NN14" s="455"/>
      <c r="NO14" s="455"/>
      <c r="NP14" s="455"/>
      <c r="NQ14" s="455"/>
      <c r="NR14" s="455"/>
      <c r="NS14" s="455"/>
      <c r="NT14" s="1144"/>
      <c r="NU14" s="1614"/>
      <c r="NV14" s="455"/>
      <c r="NW14" s="455"/>
      <c r="NX14" s="455"/>
      <c r="NY14" s="455"/>
      <c r="NZ14" s="455"/>
      <c r="OA14" s="455"/>
      <c r="OB14" s="455"/>
      <c r="OC14" s="455"/>
      <c r="OD14" s="455"/>
      <c r="OE14" s="455"/>
      <c r="OF14" s="1144"/>
      <c r="OG14" s="1614"/>
      <c r="OH14" s="455"/>
      <c r="OI14" s="455"/>
      <c r="OJ14" s="455"/>
      <c r="OK14" s="455"/>
      <c r="OL14" s="455"/>
      <c r="OM14" s="455"/>
      <c r="ON14" s="455"/>
      <c r="OO14" s="455"/>
      <c r="OP14" s="455"/>
      <c r="OQ14" s="455"/>
      <c r="OR14" s="1144"/>
      <c r="OS14" s="1614"/>
      <c r="OT14" s="455"/>
      <c r="OU14" s="455"/>
      <c r="OV14" s="455"/>
      <c r="OW14" s="455"/>
      <c r="OX14" s="455"/>
      <c r="OY14" s="455"/>
      <c r="OZ14" s="455"/>
      <c r="PA14" s="455"/>
      <c r="PB14" s="455"/>
      <c r="PC14" s="455"/>
      <c r="PD14" s="1144"/>
      <c r="PE14" s="1614"/>
      <c r="PF14" s="455"/>
      <c r="PG14" s="455"/>
      <c r="PH14" s="455"/>
      <c r="PI14" s="455"/>
      <c r="PJ14" s="455"/>
      <c r="PK14" s="455"/>
      <c r="PL14" s="455"/>
      <c r="PM14" s="455"/>
      <c r="PN14" s="455"/>
      <c r="PO14" s="455"/>
      <c r="PP14" s="1144"/>
      <c r="PQ14" s="1614"/>
      <c r="PR14" s="455"/>
      <c r="PS14" s="455"/>
      <c r="PT14" s="455"/>
      <c r="PU14" s="455"/>
      <c r="PV14" s="455"/>
      <c r="PW14" s="455"/>
      <c r="PX14" s="455"/>
      <c r="PY14" s="455"/>
      <c r="PZ14" s="455"/>
      <c r="QA14" s="455"/>
      <c r="QB14" s="1144"/>
      <c r="QC14" s="1614"/>
      <c r="QD14" s="455"/>
      <c r="QE14" s="455"/>
      <c r="QF14" s="455"/>
      <c r="QG14" s="455"/>
      <c r="QH14" s="455"/>
      <c r="QI14" s="455"/>
      <c r="QJ14" s="455"/>
      <c r="QK14" s="455"/>
      <c r="QL14" s="455"/>
      <c r="QM14" s="455"/>
      <c r="QN14" s="1144"/>
      <c r="QO14" s="1614"/>
      <c r="QP14" s="455"/>
      <c r="QQ14" s="455"/>
      <c r="QR14" s="455"/>
      <c r="QS14" s="455"/>
      <c r="QT14" s="455"/>
      <c r="QU14" s="455"/>
      <c r="QV14" s="455"/>
      <c r="QW14" s="455"/>
      <c r="QX14" s="455"/>
      <c r="QY14" s="455"/>
      <c r="QZ14" s="1144"/>
      <c r="RA14" s="1614"/>
      <c r="RB14" s="455"/>
      <c r="RC14" s="455"/>
      <c r="RD14" s="455"/>
      <c r="RE14" s="455"/>
      <c r="RF14" s="455"/>
      <c r="RG14" s="455"/>
      <c r="RH14" s="455"/>
      <c r="RI14" s="455"/>
      <c r="RJ14" s="455"/>
      <c r="RK14" s="455"/>
      <c r="RL14" s="1144"/>
      <c r="RM14" s="1614"/>
      <c r="RN14" s="455"/>
      <c r="RO14" s="455"/>
      <c r="RP14" s="455"/>
      <c r="RQ14" s="455"/>
      <c r="RR14" s="455"/>
      <c r="RS14" s="455"/>
      <c r="RT14" s="455"/>
      <c r="RU14" s="455"/>
      <c r="RV14" s="455"/>
      <c r="RW14" s="455"/>
      <c r="RX14" s="1144"/>
      <c r="RY14" s="1614"/>
      <c r="RZ14" s="455"/>
      <c r="SA14" s="455"/>
      <c r="SB14" s="455"/>
      <c r="SC14" s="455"/>
      <c r="SD14" s="455"/>
      <c r="SE14" s="455"/>
      <c r="SF14" s="455"/>
      <c r="SG14" s="455"/>
      <c r="SH14" s="455"/>
      <c r="SI14" s="455"/>
      <c r="SJ14" s="1144"/>
      <c r="SK14" s="1614"/>
      <c r="SL14" s="455"/>
      <c r="SM14" s="455"/>
      <c r="SN14" s="455"/>
      <c r="SO14" s="455"/>
      <c r="SP14" s="455"/>
      <c r="SQ14" s="455"/>
      <c r="SR14" s="455"/>
      <c r="SS14" s="455"/>
      <c r="ST14" s="455"/>
      <c r="SU14" s="455"/>
      <c r="SV14" s="1144"/>
      <c r="SW14" s="1614"/>
      <c r="SX14" s="455"/>
      <c r="SY14" s="455"/>
      <c r="SZ14" s="455"/>
      <c r="TA14" s="455"/>
      <c r="TB14" s="455"/>
      <c r="TC14" s="455"/>
      <c r="TD14" s="455"/>
      <c r="TE14" s="455"/>
      <c r="TF14" s="455"/>
      <c r="TG14" s="455"/>
      <c r="TH14" s="1144"/>
      <c r="TI14" s="1614"/>
      <c r="TJ14" s="455"/>
      <c r="TK14" s="455"/>
      <c r="TL14" s="455"/>
      <c r="TM14" s="455"/>
      <c r="TN14" s="455"/>
      <c r="TO14" s="455"/>
      <c r="TP14" s="455"/>
      <c r="TQ14" s="455"/>
      <c r="TR14" s="455"/>
      <c r="TS14" s="455"/>
      <c r="TT14" s="1144"/>
      <c r="TU14" s="1614"/>
      <c r="TV14" s="455"/>
      <c r="TW14" s="455"/>
      <c r="TX14" s="455"/>
      <c r="TY14" s="455"/>
      <c r="TZ14" s="455"/>
      <c r="UA14" s="455"/>
      <c r="UB14" s="455"/>
      <c r="UC14" s="455"/>
      <c r="UD14" s="455"/>
      <c r="UE14" s="455"/>
      <c r="UF14" s="1144"/>
      <c r="UG14" s="1614"/>
      <c r="UH14" s="455"/>
      <c r="UI14" s="455"/>
      <c r="UJ14" s="455"/>
      <c r="UK14" s="455"/>
      <c r="UL14" s="455"/>
      <c r="UM14" s="455"/>
      <c r="UN14" s="455"/>
      <c r="UO14" s="455"/>
      <c r="UP14" s="455"/>
      <c r="UQ14" s="455"/>
      <c r="UR14" s="1144"/>
      <c r="US14" s="1614"/>
      <c r="UT14" s="455"/>
      <c r="UU14" s="455"/>
      <c r="UV14" s="455"/>
      <c r="UW14" s="455"/>
      <c r="UX14" s="455"/>
      <c r="UY14" s="455"/>
      <c r="UZ14" s="455"/>
      <c r="VA14" s="455"/>
      <c r="VB14" s="455"/>
      <c r="VC14" s="455"/>
      <c r="VD14" s="1144"/>
      <c r="VE14" s="1614"/>
      <c r="VF14" s="455"/>
      <c r="VG14" s="455"/>
      <c r="VH14" s="455"/>
      <c r="VI14" s="455"/>
      <c r="VJ14" s="455"/>
      <c r="VK14" s="455"/>
      <c r="VL14" s="455"/>
      <c r="VM14" s="455"/>
      <c r="VN14" s="455"/>
      <c r="VO14" s="455"/>
      <c r="VP14" s="1144"/>
      <c r="VQ14" s="1614"/>
      <c r="VR14" s="455"/>
      <c r="VS14" s="455"/>
      <c r="VT14" s="455"/>
      <c r="VU14" s="455"/>
      <c r="VV14" s="455"/>
      <c r="VW14" s="455"/>
      <c r="VX14" s="455"/>
      <c r="VY14" s="455"/>
      <c r="VZ14" s="455"/>
      <c r="WA14" s="455"/>
      <c r="WB14" s="1144"/>
      <c r="WC14" s="1614"/>
      <c r="WD14" s="455"/>
      <c r="WE14" s="455"/>
      <c r="WF14" s="455"/>
      <c r="WG14" s="455"/>
      <c r="WH14" s="455"/>
      <c r="WI14" s="455"/>
      <c r="WJ14" s="455"/>
      <c r="WK14" s="455"/>
      <c r="WL14" s="455"/>
      <c r="WM14" s="455"/>
      <c r="WN14" s="1144"/>
      <c r="WO14" s="1614"/>
      <c r="WP14" s="455"/>
      <c r="WQ14" s="455"/>
      <c r="WR14" s="455"/>
      <c r="WS14" s="455"/>
      <c r="WT14" s="455"/>
      <c r="WU14" s="455"/>
      <c r="WV14" s="455"/>
      <c r="WW14" s="455"/>
      <c r="WX14" s="455"/>
      <c r="WY14" s="455"/>
      <c r="WZ14" s="1144"/>
      <c r="XA14" s="1614"/>
      <c r="XB14" s="455"/>
      <c r="XC14" s="455"/>
      <c r="XD14" s="455"/>
      <c r="XE14" s="455"/>
      <c r="XF14" s="455"/>
      <c r="XG14" s="455"/>
      <c r="XH14" s="455"/>
      <c r="XI14" s="455"/>
      <c r="XJ14" s="455"/>
      <c r="XK14" s="455"/>
      <c r="XL14" s="1144"/>
      <c r="XM14" s="1614"/>
      <c r="XN14" s="455"/>
      <c r="XO14" s="455"/>
      <c r="XP14" s="455"/>
      <c r="XQ14" s="455"/>
      <c r="XR14" s="455"/>
      <c r="XS14" s="455"/>
      <c r="XT14" s="455"/>
      <c r="XU14" s="455"/>
      <c r="XV14" s="455"/>
      <c r="XW14" s="455"/>
      <c r="XX14" s="1144"/>
      <c r="XY14" s="1614"/>
      <c r="XZ14" s="455"/>
      <c r="YA14" s="455"/>
      <c r="YB14" s="455"/>
      <c r="YC14" s="455"/>
      <c r="YD14" s="455"/>
      <c r="YE14" s="455"/>
      <c r="YF14" s="455"/>
      <c r="YG14" s="455"/>
      <c r="YH14" s="455"/>
      <c r="YI14" s="455"/>
      <c r="YJ14" s="1144"/>
      <c r="YK14" s="1614"/>
      <c r="YL14" s="455"/>
      <c r="YM14" s="455"/>
      <c r="YN14" s="455"/>
      <c r="YO14" s="455"/>
      <c r="YP14" s="455"/>
      <c r="YQ14" s="455"/>
      <c r="YR14" s="455"/>
      <c r="YS14" s="455"/>
      <c r="YT14" s="455"/>
      <c r="YU14" s="455"/>
      <c r="YV14" s="1144"/>
      <c r="YW14" s="1614"/>
      <c r="YX14" s="455"/>
      <c r="YY14" s="455"/>
      <c r="YZ14" s="455"/>
      <c r="ZA14" s="455"/>
      <c r="ZB14" s="455"/>
      <c r="ZC14" s="455"/>
      <c r="ZD14" s="455"/>
      <c r="ZE14" s="455"/>
      <c r="ZF14" s="455"/>
      <c r="ZG14" s="455"/>
      <c r="ZH14" s="1144"/>
      <c r="ZI14" s="1614"/>
      <c r="ZJ14" s="455"/>
      <c r="ZK14" s="455"/>
      <c r="ZL14" s="455"/>
      <c r="ZM14" s="455"/>
      <c r="ZN14" s="455"/>
      <c r="ZO14" s="455"/>
      <c r="ZP14" s="455"/>
      <c r="ZQ14" s="455"/>
      <c r="ZR14" s="455"/>
      <c r="ZS14" s="455"/>
      <c r="ZT14" s="1144"/>
      <c r="ZU14" s="1614"/>
      <c r="ZV14" s="455"/>
      <c r="ZW14" s="455"/>
      <c r="ZX14" s="455"/>
      <c r="ZY14" s="455"/>
      <c r="ZZ14" s="455"/>
      <c r="AAA14" s="455"/>
      <c r="AAB14" s="455"/>
      <c r="AAC14" s="455"/>
      <c r="AAD14" s="455"/>
      <c r="AAE14" s="455"/>
      <c r="AAF14" s="1144"/>
      <c r="AAG14" s="1614"/>
      <c r="AAH14" s="455"/>
      <c r="AAI14" s="455"/>
      <c r="AAJ14" s="455"/>
      <c r="AAK14" s="455"/>
      <c r="AAL14" s="455"/>
      <c r="AAM14" s="455"/>
      <c r="AAN14" s="455"/>
      <c r="AAO14" s="455"/>
      <c r="AAP14" s="455"/>
      <c r="AAQ14" s="455"/>
      <c r="AAR14" s="1144"/>
      <c r="AAS14" s="1614"/>
      <c r="AAT14" s="455"/>
      <c r="AAU14" s="455"/>
      <c r="AAV14" s="455"/>
      <c r="AAW14" s="455"/>
      <c r="AAX14" s="455"/>
      <c r="AAY14" s="455"/>
      <c r="AAZ14" s="455"/>
      <c r="ABA14" s="455"/>
      <c r="ABB14" s="455"/>
      <c r="ABC14" s="455"/>
      <c r="ABD14" s="1144"/>
      <c r="ABE14" s="1614"/>
      <c r="ABF14" s="455"/>
      <c r="ABG14" s="455"/>
      <c r="ABH14" s="455"/>
      <c r="ABI14" s="455"/>
      <c r="ABJ14" s="455"/>
      <c r="ABK14" s="455"/>
      <c r="ABL14" s="455"/>
      <c r="ABM14" s="455"/>
      <c r="ABN14" s="455"/>
      <c r="ABO14" s="455"/>
      <c r="ABP14" s="1144"/>
      <c r="ABQ14" s="1614"/>
      <c r="ABR14" s="455"/>
      <c r="ABS14" s="455"/>
      <c r="ABT14" s="455"/>
      <c r="ABU14" s="455"/>
      <c r="ABV14" s="455"/>
      <c r="ABW14" s="455"/>
      <c r="ABX14" s="455"/>
      <c r="ABY14" s="455"/>
      <c r="ABZ14" s="455"/>
      <c r="ACA14" s="455"/>
      <c r="ACB14" s="1144"/>
      <c r="ACC14" s="1614"/>
      <c r="ACD14" s="455"/>
      <c r="ACE14" s="455"/>
      <c r="ACF14" s="455"/>
      <c r="ACG14" s="455"/>
      <c r="ACH14" s="455"/>
      <c r="ACI14" s="455"/>
      <c r="ACJ14" s="455"/>
      <c r="ACK14" s="455"/>
      <c r="ACL14" s="455"/>
      <c r="ACM14" s="455"/>
      <c r="ACN14" s="1144"/>
      <c r="ACO14" s="1614"/>
      <c r="ACP14" s="455"/>
      <c r="ACQ14" s="455"/>
      <c r="ACR14" s="455"/>
      <c r="ACS14" s="455"/>
      <c r="ACT14" s="455"/>
      <c r="ACU14" s="455"/>
      <c r="ACV14" s="455"/>
      <c r="ACW14" s="455"/>
      <c r="ACX14" s="455"/>
      <c r="ACY14" s="455"/>
      <c r="ACZ14" s="1144"/>
      <c r="ADA14" s="1614"/>
      <c r="ADB14" s="455"/>
      <c r="ADC14" s="455"/>
      <c r="ADD14" s="455"/>
      <c r="ADE14" s="455"/>
      <c r="ADF14" s="455"/>
      <c r="ADG14" s="455"/>
      <c r="ADH14" s="455"/>
      <c r="ADI14" s="455"/>
      <c r="ADJ14" s="455"/>
      <c r="ADK14" s="455"/>
      <c r="ADL14" s="1144"/>
      <c r="ADM14" s="1614"/>
      <c r="ADN14" s="455"/>
      <c r="ADO14" s="455"/>
      <c r="ADP14" s="455"/>
      <c r="ADQ14" s="455"/>
      <c r="ADR14" s="455"/>
      <c r="ADS14" s="455"/>
      <c r="ADT14" s="455"/>
      <c r="ADU14" s="455"/>
      <c r="ADV14" s="455"/>
      <c r="ADW14" s="455"/>
      <c r="ADX14" s="1144"/>
      <c r="ADY14" s="1614"/>
      <c r="ADZ14" s="455"/>
      <c r="AEA14" s="455"/>
      <c r="AEB14" s="455"/>
      <c r="AEC14" s="455"/>
      <c r="AED14" s="455"/>
      <c r="AEE14" s="455"/>
      <c r="AEF14" s="455"/>
      <c r="AEG14" s="455"/>
      <c r="AEH14" s="455"/>
      <c r="AEI14" s="455"/>
      <c r="AEJ14" s="1144"/>
      <c r="AEK14" s="1614"/>
      <c r="AEL14" s="455"/>
      <c r="AEM14" s="455"/>
      <c r="AEN14" s="455"/>
      <c r="AEO14" s="455"/>
      <c r="AEP14" s="455"/>
      <c r="AEQ14" s="455"/>
      <c r="AER14" s="455"/>
      <c r="AES14" s="455"/>
      <c r="AET14" s="455"/>
      <c r="AEU14" s="455"/>
      <c r="AEV14" s="1144"/>
      <c r="AEW14" s="1614"/>
      <c r="AEX14" s="455"/>
      <c r="AEY14" s="455"/>
      <c r="AEZ14" s="455"/>
      <c r="AFA14" s="455"/>
      <c r="AFB14" s="455"/>
      <c r="AFC14" s="455"/>
      <c r="AFD14" s="455"/>
      <c r="AFE14" s="455"/>
      <c r="AFF14" s="455"/>
      <c r="AFG14" s="455"/>
      <c r="AFH14" s="1144"/>
      <c r="AFI14" s="1614"/>
      <c r="AFJ14" s="455"/>
      <c r="AFK14" s="455"/>
      <c r="AFL14" s="455"/>
      <c r="AFM14" s="455"/>
      <c r="AFN14" s="455"/>
      <c r="AFO14" s="455"/>
      <c r="AFP14" s="455"/>
      <c r="AFQ14" s="455"/>
      <c r="AFR14" s="455"/>
      <c r="AFS14" s="455"/>
      <c r="AFT14" s="1144"/>
      <c r="AFU14" s="1614"/>
      <c r="AFV14" s="455"/>
      <c r="AFW14" s="455"/>
      <c r="AFX14" s="455"/>
      <c r="AFY14" s="455"/>
      <c r="AFZ14" s="455"/>
      <c r="AGA14" s="455"/>
      <c r="AGB14" s="455"/>
      <c r="AGC14" s="455"/>
      <c r="AGD14" s="455"/>
      <c r="AGE14" s="455"/>
      <c r="AGF14" s="1144"/>
      <c r="AGG14" s="1614"/>
      <c r="AGH14" s="455"/>
      <c r="AGI14" s="455"/>
      <c r="AGJ14" s="455"/>
      <c r="AGK14" s="455"/>
      <c r="AGL14" s="455"/>
      <c r="AGM14" s="455"/>
      <c r="AGN14" s="455"/>
      <c r="AGO14" s="455"/>
      <c r="AGP14" s="455"/>
      <c r="AGQ14" s="455"/>
      <c r="AGR14" s="1144"/>
      <c r="AGS14" s="1614"/>
      <c r="AGT14" s="455"/>
      <c r="AGU14" s="455"/>
      <c r="AGV14" s="455"/>
      <c r="AGW14" s="455"/>
      <c r="AGX14" s="455"/>
      <c r="AGY14" s="455"/>
      <c r="AGZ14" s="455"/>
      <c r="AHA14" s="455"/>
      <c r="AHB14" s="455"/>
      <c r="AHC14" s="455"/>
      <c r="AHD14" s="1144"/>
      <c r="AHE14" s="1614"/>
      <c r="AHF14" s="455"/>
      <c r="AHG14" s="455"/>
      <c r="AHH14" s="455"/>
      <c r="AHI14" s="455"/>
      <c r="AHJ14" s="455"/>
      <c r="AHK14" s="455"/>
      <c r="AHL14" s="455"/>
      <c r="AHM14" s="455"/>
      <c r="AHN14" s="455"/>
      <c r="AHO14" s="455"/>
      <c r="AHP14" s="1144"/>
      <c r="AHQ14" s="1614"/>
      <c r="AHR14" s="455"/>
      <c r="AHS14" s="455"/>
      <c r="AHT14" s="455"/>
      <c r="AHU14" s="455"/>
      <c r="AHV14" s="455"/>
      <c r="AHW14" s="455"/>
      <c r="AHX14" s="455"/>
      <c r="AHY14" s="455"/>
      <c r="AHZ14" s="455"/>
      <c r="AIA14" s="455"/>
      <c r="AIB14" s="1144"/>
      <c r="AIC14" s="1614"/>
      <c r="AID14" s="455"/>
      <c r="AIE14" s="455"/>
      <c r="AIF14" s="455"/>
      <c r="AIG14" s="455"/>
      <c r="AIH14" s="455"/>
      <c r="AII14" s="455"/>
      <c r="AIJ14" s="455"/>
      <c r="AIK14" s="455"/>
      <c r="AIL14" s="455"/>
      <c r="AIM14" s="455"/>
      <c r="AIN14" s="1144"/>
      <c r="AIO14" s="1614"/>
      <c r="AIP14" s="455"/>
      <c r="AIQ14" s="455"/>
      <c r="AIR14" s="455"/>
      <c r="AIS14" s="455"/>
      <c r="AIT14" s="455"/>
      <c r="AIU14" s="455"/>
      <c r="AIV14" s="455"/>
      <c r="AIW14" s="455"/>
      <c r="AIX14" s="455"/>
      <c r="AIY14" s="455"/>
      <c r="AIZ14" s="1144"/>
      <c r="AJA14" s="1614"/>
      <c r="AJB14" s="455"/>
      <c r="AJC14" s="455"/>
      <c r="AJD14" s="455"/>
      <c r="AJE14" s="455"/>
      <c r="AJF14" s="455"/>
      <c r="AJG14" s="455"/>
      <c r="AJH14" s="455"/>
      <c r="AJI14" s="455"/>
      <c r="AJJ14" s="455"/>
      <c r="AJK14" s="455"/>
      <c r="AJL14" s="1144"/>
      <c r="AJM14" s="1614"/>
      <c r="AJN14" s="455"/>
      <c r="AJO14" s="455"/>
      <c r="AJP14" s="455"/>
      <c r="AJQ14" s="455"/>
      <c r="AJR14" s="455"/>
      <c r="AJS14" s="455"/>
      <c r="AJT14" s="455"/>
      <c r="AJU14" s="455"/>
      <c r="AJV14" s="455"/>
      <c r="AJW14" s="455"/>
      <c r="AJX14" s="1144"/>
      <c r="AJY14" s="1614"/>
      <c r="AJZ14" s="455"/>
      <c r="AKA14" s="455"/>
      <c r="AKB14" s="455"/>
      <c r="AKC14" s="455"/>
      <c r="AKD14" s="455"/>
      <c r="AKE14" s="455"/>
      <c r="AKF14" s="455"/>
      <c r="AKG14" s="455"/>
      <c r="AKH14" s="455"/>
      <c r="AKI14" s="455"/>
      <c r="AKJ14" s="1144"/>
      <c r="AKK14" s="1614"/>
      <c r="AKL14" s="455"/>
      <c r="AKM14" s="455"/>
      <c r="AKN14" s="455"/>
      <c r="AKO14" s="455"/>
      <c r="AKP14" s="455"/>
      <c r="AKQ14" s="455"/>
      <c r="AKR14" s="455"/>
      <c r="AKS14" s="455"/>
      <c r="AKT14" s="455"/>
      <c r="AKU14" s="455"/>
      <c r="AKV14" s="1144"/>
      <c r="AKW14" s="1614"/>
      <c r="AKX14" s="455"/>
      <c r="AKY14" s="455"/>
      <c r="AKZ14" s="455"/>
      <c r="ALA14" s="455"/>
      <c r="ALB14" s="455"/>
      <c r="ALC14" s="455"/>
      <c r="ALD14" s="455"/>
      <c r="ALE14" s="455"/>
      <c r="ALF14" s="455"/>
      <c r="ALG14" s="455"/>
      <c r="ALH14" s="1144"/>
      <c r="ALI14" s="1614"/>
      <c r="ALJ14" s="455"/>
      <c r="ALK14" s="455"/>
      <c r="ALL14" s="455"/>
      <c r="ALM14" s="455"/>
      <c r="ALN14" s="455"/>
      <c r="ALO14" s="455"/>
      <c r="ALP14" s="455"/>
      <c r="ALQ14" s="455"/>
      <c r="ALR14" s="455"/>
      <c r="ALS14" s="455"/>
      <c r="ALT14" s="1144"/>
      <c r="ALU14" s="1614"/>
      <c r="ALV14" s="455"/>
      <c r="ALW14" s="455"/>
      <c r="ALX14" s="455"/>
      <c r="ALY14" s="455"/>
      <c r="ALZ14" s="455"/>
      <c r="AMA14" s="455"/>
      <c r="AMB14" s="455"/>
      <c r="AMC14" s="455"/>
      <c r="AMD14" s="455"/>
      <c r="AME14" s="455"/>
      <c r="AMF14" s="1144"/>
      <c r="AMG14" s="1614"/>
      <c r="AMH14" s="455"/>
      <c r="AMI14" s="455"/>
      <c r="AMJ14" s="455"/>
      <c r="AMK14" s="455"/>
      <c r="AML14" s="455"/>
      <c r="AMM14" s="455"/>
      <c r="AMN14" s="455"/>
      <c r="AMO14" s="455"/>
      <c r="AMP14" s="455"/>
      <c r="AMQ14" s="455"/>
      <c r="AMR14" s="1144"/>
      <c r="AMS14" s="1614"/>
      <c r="AMT14" s="455"/>
      <c r="AMU14" s="455"/>
      <c r="AMV14" s="455"/>
      <c r="AMW14" s="455"/>
      <c r="AMX14" s="455"/>
      <c r="AMY14" s="455"/>
      <c r="AMZ14" s="455"/>
      <c r="ANA14" s="455"/>
      <c r="ANB14" s="455"/>
      <c r="ANC14" s="455"/>
      <c r="AND14" s="1144"/>
      <c r="ANE14" s="1614"/>
      <c r="ANF14" s="455"/>
      <c r="ANG14" s="455"/>
      <c r="ANH14" s="455"/>
      <c r="ANI14" s="455"/>
      <c r="ANJ14" s="455"/>
      <c r="ANK14" s="455"/>
      <c r="ANL14" s="455"/>
      <c r="ANM14" s="455"/>
      <c r="ANN14" s="455"/>
      <c r="ANO14" s="455"/>
      <c r="ANP14" s="1144"/>
      <c r="ANQ14" s="1614"/>
      <c r="ANR14" s="455"/>
      <c r="ANS14" s="455"/>
      <c r="ANT14" s="455"/>
      <c r="ANU14" s="455"/>
      <c r="ANV14" s="455"/>
      <c r="ANW14" s="455"/>
      <c r="ANX14" s="455"/>
      <c r="ANY14" s="455"/>
      <c r="ANZ14" s="455"/>
      <c r="AOA14" s="455"/>
      <c r="AOB14" s="1144"/>
      <c r="AOC14" s="1614"/>
      <c r="AOD14" s="455"/>
      <c r="AOE14" s="455"/>
      <c r="AOF14" s="455"/>
      <c r="AOG14" s="455"/>
      <c r="AOH14" s="455"/>
      <c r="AOI14" s="455"/>
      <c r="AOJ14" s="455"/>
      <c r="AOK14" s="455"/>
      <c r="AOL14" s="455"/>
      <c r="AOM14" s="455"/>
      <c r="AON14" s="1144"/>
      <c r="AOO14" s="1614"/>
      <c r="AOP14" s="455"/>
      <c r="AOQ14" s="455"/>
      <c r="AOR14" s="455"/>
      <c r="AOS14" s="455"/>
      <c r="AOT14" s="455"/>
      <c r="AOU14" s="455"/>
      <c r="AOV14" s="455"/>
      <c r="AOW14" s="455"/>
      <c r="AOX14" s="455"/>
      <c r="AOY14" s="455"/>
      <c r="AOZ14" s="1144"/>
      <c r="APA14" s="1614"/>
      <c r="APB14" s="455"/>
      <c r="APC14" s="455"/>
      <c r="APD14" s="455"/>
      <c r="APE14" s="455"/>
      <c r="APF14" s="455"/>
      <c r="APG14" s="455"/>
      <c r="APH14" s="455"/>
      <c r="API14" s="455"/>
      <c r="APJ14" s="455"/>
      <c r="APK14" s="455"/>
      <c r="APL14" s="1144"/>
      <c r="APM14" s="1614"/>
      <c r="APN14" s="455"/>
      <c r="APO14" s="455"/>
      <c r="APP14" s="455"/>
      <c r="APQ14" s="455"/>
      <c r="APR14" s="455"/>
      <c r="APS14" s="455"/>
      <c r="APT14" s="455"/>
      <c r="APU14" s="455"/>
      <c r="APV14" s="455"/>
      <c r="APW14" s="455"/>
      <c r="APX14" s="1144"/>
      <c r="APY14" s="1614"/>
      <c r="APZ14" s="455"/>
      <c r="AQA14" s="455"/>
      <c r="AQB14" s="455"/>
      <c r="AQC14" s="455"/>
      <c r="AQD14" s="455"/>
      <c r="AQE14" s="455"/>
      <c r="AQF14" s="455"/>
      <c r="AQG14" s="455"/>
      <c r="AQH14" s="455"/>
      <c r="AQI14" s="455"/>
      <c r="AQJ14" s="1144"/>
      <c r="AQK14" s="1614"/>
      <c r="AQL14" s="455"/>
      <c r="AQM14" s="455"/>
      <c r="AQN14" s="455"/>
      <c r="AQO14" s="455"/>
      <c r="AQP14" s="455"/>
      <c r="AQQ14" s="455"/>
      <c r="AQR14" s="455"/>
      <c r="AQS14" s="455"/>
      <c r="AQT14" s="455"/>
      <c r="AQU14" s="455"/>
      <c r="AQV14" s="1144"/>
      <c r="AQW14" s="1614"/>
      <c r="AQX14" s="455"/>
      <c r="AQY14" s="455"/>
      <c r="AQZ14" s="455"/>
      <c r="ARA14" s="455"/>
      <c r="ARB14" s="455"/>
      <c r="ARC14" s="455"/>
      <c r="ARD14" s="455"/>
      <c r="ARE14" s="455"/>
      <c r="ARF14" s="455"/>
      <c r="ARG14" s="455"/>
      <c r="ARH14" s="1144"/>
      <c r="ARI14" s="1614"/>
      <c r="ARJ14" s="455"/>
      <c r="ARK14" s="455"/>
      <c r="ARL14" s="455"/>
      <c r="ARM14" s="455"/>
      <c r="ARN14" s="455"/>
      <c r="ARO14" s="455"/>
      <c r="ARP14" s="455"/>
      <c r="ARQ14" s="455"/>
      <c r="ARR14" s="455"/>
      <c r="ARS14" s="455"/>
      <c r="ART14" s="1144"/>
      <c r="ARU14" s="1614"/>
      <c r="ARV14" s="455"/>
      <c r="ARW14" s="455"/>
      <c r="ARX14" s="455"/>
      <c r="ARY14" s="455"/>
      <c r="ARZ14" s="455"/>
      <c r="ASA14" s="455"/>
      <c r="ASB14" s="455"/>
      <c r="ASC14" s="455"/>
      <c r="ASD14" s="455"/>
      <c r="ASE14" s="455"/>
      <c r="ASF14" s="1144"/>
      <c r="ASG14" s="1614"/>
      <c r="ASH14" s="455"/>
      <c r="ASI14" s="455"/>
      <c r="ASJ14" s="455"/>
      <c r="ASK14" s="455"/>
      <c r="ASL14" s="455"/>
      <c r="ASM14" s="455"/>
      <c r="ASN14" s="455"/>
      <c r="ASO14" s="455"/>
      <c r="ASP14" s="455"/>
      <c r="ASQ14" s="455"/>
      <c r="ASR14" s="1144"/>
      <c r="ASS14" s="1614"/>
      <c r="AST14" s="455"/>
      <c r="ASU14" s="455"/>
      <c r="ASV14" s="455"/>
      <c r="ASW14" s="455"/>
      <c r="ASX14" s="455"/>
      <c r="ASY14" s="455"/>
      <c r="ASZ14" s="455"/>
      <c r="ATA14" s="455"/>
      <c r="ATB14" s="455"/>
      <c r="ATC14" s="455"/>
      <c r="ATD14" s="1144"/>
      <c r="ATE14" s="1614"/>
      <c r="ATF14" s="455"/>
      <c r="ATG14" s="455"/>
      <c r="ATH14" s="455"/>
      <c r="ATI14" s="455"/>
      <c r="ATJ14" s="455"/>
      <c r="ATK14" s="455"/>
      <c r="ATL14" s="455"/>
      <c r="ATM14" s="455"/>
      <c r="ATN14" s="455"/>
      <c r="ATO14" s="455"/>
      <c r="ATP14" s="1144"/>
      <c r="ATQ14" s="1614"/>
      <c r="ATR14" s="455"/>
      <c r="ATS14" s="455"/>
      <c r="ATT14" s="455"/>
      <c r="ATU14" s="455"/>
      <c r="ATV14" s="455"/>
      <c r="ATW14" s="455"/>
      <c r="ATX14" s="455"/>
      <c r="ATY14" s="455"/>
      <c r="ATZ14" s="455"/>
      <c r="AUA14" s="455"/>
      <c r="AUB14" s="1144"/>
      <c r="AUC14" s="1614"/>
      <c r="AUD14" s="455"/>
      <c r="AUE14" s="455"/>
      <c r="AUF14" s="455"/>
      <c r="AUG14" s="455"/>
      <c r="AUH14" s="455"/>
      <c r="AUI14" s="455"/>
      <c r="AUJ14" s="455"/>
      <c r="AUK14" s="455"/>
      <c r="AUL14" s="455"/>
      <c r="AUM14" s="455"/>
      <c r="AUN14" s="1144"/>
      <c r="AUO14" s="1614"/>
      <c r="AUP14" s="455"/>
      <c r="AUQ14" s="455"/>
      <c r="AUR14" s="455"/>
      <c r="AUS14" s="455"/>
      <c r="AUT14" s="455"/>
      <c r="AUU14" s="455"/>
      <c r="AUV14" s="455"/>
      <c r="AUW14" s="455"/>
      <c r="AUX14" s="455"/>
      <c r="AUY14" s="455"/>
      <c r="AUZ14" s="1144"/>
      <c r="AVA14" s="1614"/>
      <c r="AVB14" s="455"/>
      <c r="AVC14" s="455"/>
      <c r="AVD14" s="455"/>
      <c r="AVE14" s="455"/>
      <c r="AVF14" s="455"/>
      <c r="AVG14" s="455"/>
      <c r="AVH14" s="455"/>
      <c r="AVI14" s="455"/>
      <c r="AVJ14" s="455"/>
      <c r="AVK14" s="455"/>
      <c r="AVL14" s="1144"/>
      <c r="AVM14" s="1614"/>
      <c r="AVN14" s="455"/>
      <c r="AVO14" s="455"/>
      <c r="AVP14" s="455"/>
      <c r="AVQ14" s="455"/>
      <c r="AVR14" s="455"/>
      <c r="AVS14" s="455"/>
      <c r="AVT14" s="455"/>
      <c r="AVU14" s="455"/>
      <c r="AVV14" s="455"/>
      <c r="AVW14" s="455"/>
      <c r="AVX14" s="1144"/>
      <c r="AVY14" s="1614"/>
      <c r="AVZ14" s="455"/>
      <c r="AWA14" s="455"/>
      <c r="AWB14" s="455"/>
      <c r="AWC14" s="455"/>
      <c r="AWD14" s="455"/>
      <c r="AWE14" s="455"/>
      <c r="AWF14" s="455"/>
      <c r="AWG14" s="455"/>
      <c r="AWH14" s="455"/>
      <c r="AWI14" s="455"/>
      <c r="AWJ14" s="1144"/>
      <c r="AWK14" s="1614"/>
      <c r="AWL14" s="455"/>
      <c r="AWM14" s="455"/>
      <c r="AWN14" s="455"/>
      <c r="AWO14" s="455"/>
      <c r="AWP14" s="455"/>
      <c r="AWQ14" s="455"/>
      <c r="AWR14" s="455"/>
      <c r="AWS14" s="455"/>
      <c r="AWT14" s="455"/>
      <c r="AWU14" s="455"/>
      <c r="AWV14" s="1144"/>
      <c r="AWW14" s="1614"/>
      <c r="AWX14" s="455"/>
      <c r="AWY14" s="455"/>
      <c r="AWZ14" s="455"/>
      <c r="AXA14" s="455"/>
      <c r="AXB14" s="455"/>
      <c r="AXC14" s="455"/>
      <c r="AXD14" s="455"/>
      <c r="AXE14" s="455"/>
      <c r="AXF14" s="455"/>
      <c r="AXG14" s="455"/>
      <c r="AXH14" s="1144"/>
      <c r="AXI14" s="1614"/>
      <c r="AXJ14" s="455"/>
      <c r="AXK14" s="455"/>
      <c r="AXL14" s="455"/>
      <c r="AXM14" s="455"/>
      <c r="AXN14" s="455"/>
      <c r="AXO14" s="455"/>
      <c r="AXP14" s="455"/>
      <c r="AXQ14" s="455"/>
      <c r="AXR14" s="455"/>
      <c r="AXS14" s="455"/>
      <c r="AXT14" s="1144"/>
      <c r="AXU14" s="1614"/>
      <c r="AXV14" s="455"/>
      <c r="AXW14" s="455"/>
      <c r="AXX14" s="455"/>
      <c r="AXY14" s="455"/>
      <c r="AXZ14" s="455"/>
      <c r="AYA14" s="455"/>
      <c r="AYB14" s="455"/>
      <c r="AYC14" s="455"/>
      <c r="AYD14" s="455"/>
      <c r="AYE14" s="455"/>
      <c r="AYF14" s="1144"/>
      <c r="AYG14" s="1614"/>
      <c r="AYH14" s="455"/>
      <c r="AYI14" s="455"/>
      <c r="AYJ14" s="455"/>
      <c r="AYK14" s="455"/>
      <c r="AYL14" s="455"/>
      <c r="AYM14" s="455"/>
      <c r="AYN14" s="455"/>
      <c r="AYO14" s="455"/>
      <c r="AYP14" s="455"/>
      <c r="AYQ14" s="455"/>
      <c r="AYR14" s="1144"/>
      <c r="AYS14" s="1614"/>
      <c r="AYT14" s="455"/>
      <c r="AYU14" s="455"/>
      <c r="AYV14" s="455"/>
      <c r="AYW14" s="455"/>
      <c r="AYX14" s="455"/>
      <c r="AYY14" s="455"/>
      <c r="AYZ14" s="455"/>
      <c r="AZA14" s="455"/>
      <c r="AZB14" s="455"/>
      <c r="AZC14" s="455"/>
      <c r="AZD14" s="1144"/>
      <c r="AZE14" s="1614"/>
      <c r="AZF14" s="455"/>
      <c r="AZG14" s="455"/>
      <c r="AZH14" s="455"/>
      <c r="AZI14" s="455"/>
      <c r="AZJ14" s="455"/>
      <c r="AZK14" s="455"/>
      <c r="AZL14" s="455"/>
      <c r="AZM14" s="455"/>
      <c r="AZN14" s="455"/>
      <c r="AZO14" s="455"/>
      <c r="AZP14" s="1144"/>
      <c r="AZQ14" s="1614"/>
      <c r="AZR14" s="455"/>
      <c r="AZS14" s="455"/>
      <c r="AZT14" s="455"/>
      <c r="AZU14" s="455"/>
      <c r="AZV14" s="455"/>
      <c r="AZW14" s="455"/>
      <c r="AZX14" s="455"/>
      <c r="AZY14" s="455"/>
      <c r="AZZ14" s="455"/>
      <c r="BAA14" s="455"/>
      <c r="BAB14" s="1144"/>
      <c r="BAC14" s="1614"/>
      <c r="BAD14" s="455"/>
      <c r="BAE14" s="455"/>
      <c r="BAF14" s="455"/>
      <c r="BAG14" s="455"/>
      <c r="BAH14" s="455"/>
      <c r="BAI14" s="455"/>
      <c r="BAJ14" s="455"/>
      <c r="BAK14" s="455"/>
      <c r="BAL14" s="455"/>
      <c r="BAM14" s="455"/>
      <c r="BAN14" s="1144"/>
      <c r="BAO14" s="1614"/>
      <c r="BAP14" s="455"/>
      <c r="BAQ14" s="455"/>
      <c r="BAR14" s="455"/>
      <c r="BAS14" s="455"/>
      <c r="BAT14" s="455"/>
      <c r="BAU14" s="455"/>
      <c r="BAV14" s="455"/>
      <c r="BAW14" s="455"/>
      <c r="BAX14" s="455"/>
      <c r="BAY14" s="455"/>
      <c r="BAZ14" s="1144"/>
      <c r="BBA14" s="1614"/>
      <c r="BBB14" s="455"/>
      <c r="BBC14" s="455"/>
      <c r="BBD14" s="455"/>
      <c r="BBE14" s="455"/>
      <c r="BBF14" s="455"/>
      <c r="BBG14" s="455"/>
      <c r="BBH14" s="455"/>
      <c r="BBI14" s="455"/>
      <c r="BBJ14" s="455"/>
      <c r="BBK14" s="455"/>
      <c r="BBL14" s="1144"/>
      <c r="BBM14" s="1614"/>
      <c r="BBN14" s="455"/>
      <c r="BBO14" s="455"/>
      <c r="BBP14" s="455"/>
      <c r="BBQ14" s="455"/>
      <c r="BBR14" s="455"/>
      <c r="BBS14" s="455"/>
      <c r="BBT14" s="455"/>
      <c r="BBU14" s="455"/>
      <c r="BBV14" s="455"/>
      <c r="BBW14" s="455"/>
      <c r="BBX14" s="1144"/>
      <c r="BBY14" s="1614"/>
      <c r="BBZ14" s="455"/>
      <c r="BCA14" s="455"/>
      <c r="BCB14" s="455"/>
      <c r="BCC14" s="455"/>
      <c r="BCD14" s="455"/>
      <c r="BCE14" s="455"/>
      <c r="BCF14" s="455"/>
      <c r="BCG14" s="455"/>
      <c r="BCH14" s="455"/>
      <c r="BCI14" s="455"/>
      <c r="BCJ14" s="1144"/>
      <c r="BCK14" s="1614"/>
      <c r="BCL14" s="455"/>
      <c r="BCM14" s="455"/>
      <c r="BCN14" s="455"/>
      <c r="BCO14" s="455"/>
      <c r="BCP14" s="455"/>
      <c r="BCQ14" s="455"/>
      <c r="BCR14" s="455"/>
      <c r="BCS14" s="455"/>
      <c r="BCT14" s="455"/>
      <c r="BCU14" s="455"/>
      <c r="BCV14" s="1144"/>
      <c r="BCW14" s="1614"/>
      <c r="BCX14" s="455"/>
      <c r="BCY14" s="455"/>
      <c r="BCZ14" s="455"/>
      <c r="BDA14" s="455"/>
      <c r="BDB14" s="455"/>
      <c r="BDC14" s="455"/>
      <c r="BDD14" s="455"/>
      <c r="BDE14" s="455"/>
      <c r="BDF14" s="455"/>
      <c r="BDG14" s="455"/>
      <c r="BDH14" s="1144"/>
      <c r="BDI14" s="1614"/>
      <c r="BDJ14" s="455"/>
      <c r="BDK14" s="455"/>
      <c r="BDL14" s="455"/>
      <c r="BDM14" s="455"/>
      <c r="BDN14" s="455"/>
      <c r="BDO14" s="455"/>
      <c r="BDP14" s="455"/>
      <c r="BDQ14" s="455"/>
      <c r="BDR14" s="455"/>
      <c r="BDS14" s="455"/>
      <c r="BDT14" s="1144"/>
      <c r="BDU14" s="1614"/>
      <c r="BDV14" s="455"/>
      <c r="BDW14" s="455"/>
      <c r="BDX14" s="455"/>
      <c r="BDY14" s="455"/>
      <c r="BDZ14" s="455"/>
      <c r="BEA14" s="455"/>
      <c r="BEB14" s="455"/>
      <c r="BEC14" s="455"/>
      <c r="BED14" s="455"/>
      <c r="BEE14" s="455"/>
      <c r="BEF14" s="1144"/>
      <c r="BEG14" s="1614"/>
      <c r="BEH14" s="455"/>
      <c r="BEI14" s="455"/>
      <c r="BEJ14" s="455"/>
      <c r="BEK14" s="455"/>
      <c r="BEL14" s="455"/>
      <c r="BEM14" s="455"/>
      <c r="BEN14" s="455"/>
      <c r="BEO14" s="455"/>
      <c r="BEP14" s="455"/>
      <c r="BEQ14" s="455"/>
      <c r="BER14" s="1144"/>
      <c r="BES14" s="1614"/>
      <c r="BET14" s="455"/>
      <c r="BEU14" s="455"/>
      <c r="BEV14" s="455"/>
      <c r="BEW14" s="455"/>
      <c r="BEX14" s="455"/>
      <c r="BEY14" s="455"/>
      <c r="BEZ14" s="455"/>
      <c r="BFA14" s="455"/>
      <c r="BFB14" s="455"/>
      <c r="BFC14" s="455"/>
      <c r="BFD14" s="1144"/>
      <c r="BFE14" s="1614"/>
      <c r="BFF14" s="455"/>
      <c r="BFG14" s="455"/>
      <c r="BFH14" s="455"/>
      <c r="BFI14" s="455"/>
      <c r="BFJ14" s="455"/>
      <c r="BFK14" s="455"/>
      <c r="BFL14" s="455"/>
      <c r="BFM14" s="455"/>
      <c r="BFN14" s="455"/>
      <c r="BFO14" s="455"/>
      <c r="BFP14" s="1144"/>
      <c r="BFQ14" s="1614"/>
      <c r="BFR14" s="455"/>
      <c r="BFS14" s="455"/>
      <c r="BFT14" s="455"/>
      <c r="BFU14" s="455"/>
      <c r="BFV14" s="455"/>
      <c r="BFW14" s="455"/>
      <c r="BFX14" s="455"/>
      <c r="BFY14" s="455"/>
      <c r="BFZ14" s="455"/>
      <c r="BGA14" s="455"/>
      <c r="BGB14" s="1144"/>
      <c r="BGC14" s="1614"/>
      <c r="BGD14" s="455"/>
      <c r="BGE14" s="455"/>
      <c r="BGF14" s="455"/>
      <c r="BGG14" s="455"/>
      <c r="BGH14" s="455"/>
      <c r="BGI14" s="455"/>
      <c r="BGJ14" s="455"/>
      <c r="BGK14" s="455"/>
      <c r="BGL14" s="455"/>
      <c r="BGM14" s="455"/>
      <c r="BGN14" s="1144"/>
      <c r="BGO14" s="1614"/>
      <c r="BGP14" s="455"/>
      <c r="BGQ14" s="455"/>
      <c r="BGR14" s="455"/>
      <c r="BGS14" s="455"/>
      <c r="BGT14" s="455"/>
      <c r="BGU14" s="455"/>
      <c r="BGV14" s="455"/>
      <c r="BGW14" s="455"/>
      <c r="BGX14" s="455"/>
      <c r="BGY14" s="455"/>
      <c r="BGZ14" s="1144"/>
      <c r="BHA14" s="1614"/>
      <c r="BHB14" s="455"/>
      <c r="BHC14" s="455"/>
      <c r="BHD14" s="455"/>
      <c r="BHE14" s="455"/>
      <c r="BHF14" s="455"/>
      <c r="BHG14" s="455"/>
      <c r="BHH14" s="455"/>
      <c r="BHI14" s="455"/>
      <c r="BHJ14" s="455"/>
      <c r="BHK14" s="455"/>
      <c r="BHL14" s="1144"/>
      <c r="BHM14" s="1614"/>
      <c r="BHN14" s="455"/>
      <c r="BHO14" s="455"/>
      <c r="BHP14" s="455"/>
      <c r="BHQ14" s="455"/>
      <c r="BHR14" s="455"/>
      <c r="BHS14" s="455"/>
      <c r="BHT14" s="455"/>
      <c r="BHU14" s="455"/>
      <c r="BHV14" s="455"/>
      <c r="BHW14" s="455"/>
      <c r="BHX14" s="1144"/>
      <c r="BHY14" s="1614"/>
      <c r="BHZ14" s="455"/>
      <c r="BIA14" s="455"/>
      <c r="BIB14" s="455"/>
      <c r="BIC14" s="455"/>
      <c r="BID14" s="455"/>
      <c r="BIE14" s="455"/>
      <c r="BIF14" s="455"/>
      <c r="BIG14" s="455"/>
      <c r="BIH14" s="455"/>
      <c r="BII14" s="455"/>
      <c r="BIJ14" s="1144"/>
      <c r="BIK14" s="1614"/>
      <c r="BIL14" s="455"/>
      <c r="BIM14" s="455"/>
      <c r="BIN14" s="455"/>
      <c r="BIO14" s="455"/>
      <c r="BIP14" s="455"/>
      <c r="BIQ14" s="455"/>
      <c r="BIR14" s="455"/>
      <c r="BIS14" s="455"/>
      <c r="BIT14" s="455"/>
      <c r="BIU14" s="455"/>
      <c r="BIV14" s="1144"/>
      <c r="BIW14" s="1614"/>
      <c r="BIX14" s="455"/>
      <c r="BIY14" s="455"/>
      <c r="BIZ14" s="455"/>
      <c r="BJA14" s="455"/>
      <c r="BJB14" s="455"/>
      <c r="BJC14" s="455"/>
      <c r="BJD14" s="455"/>
      <c r="BJE14" s="455"/>
      <c r="BJF14" s="455"/>
      <c r="BJG14" s="455"/>
      <c r="BJH14" s="1144"/>
      <c r="BJI14" s="1614"/>
      <c r="BJJ14" s="455"/>
      <c r="BJK14" s="455"/>
      <c r="BJL14" s="455"/>
      <c r="BJM14" s="455"/>
      <c r="BJN14" s="455"/>
      <c r="BJO14" s="455"/>
      <c r="BJP14" s="455"/>
      <c r="BJQ14" s="455"/>
      <c r="BJR14" s="455"/>
      <c r="BJS14" s="455"/>
      <c r="BJT14" s="1144"/>
      <c r="BJU14" s="1614"/>
      <c r="BJV14" s="455"/>
      <c r="BJW14" s="455"/>
      <c r="BJX14" s="455"/>
      <c r="BJY14" s="455"/>
      <c r="BJZ14" s="455"/>
      <c r="BKA14" s="455"/>
      <c r="BKB14" s="455"/>
      <c r="BKC14" s="455"/>
      <c r="BKD14" s="455"/>
      <c r="BKE14" s="455"/>
      <c r="BKF14" s="1144"/>
      <c r="BKG14" s="1614"/>
      <c r="BKH14" s="455"/>
      <c r="BKI14" s="455"/>
      <c r="BKJ14" s="455"/>
      <c r="BKK14" s="455"/>
      <c r="BKL14" s="455"/>
      <c r="BKM14" s="455"/>
      <c r="BKN14" s="455"/>
      <c r="BKO14" s="455"/>
      <c r="BKP14" s="455"/>
      <c r="BKQ14" s="455"/>
      <c r="BKR14" s="1144"/>
      <c r="BKS14" s="1614"/>
      <c r="BKT14" s="455"/>
      <c r="BKU14" s="455"/>
      <c r="BKV14" s="455"/>
      <c r="BKW14" s="455"/>
      <c r="BKX14" s="455"/>
      <c r="BKY14" s="455"/>
      <c r="BKZ14" s="455"/>
      <c r="BLA14" s="455"/>
      <c r="BLB14" s="455"/>
      <c r="BLC14" s="455"/>
      <c r="BLD14" s="1144"/>
      <c r="BLE14" s="1614"/>
      <c r="BLF14" s="455"/>
      <c r="BLG14" s="455"/>
      <c r="BLH14" s="455"/>
      <c r="BLI14" s="455"/>
      <c r="BLJ14" s="455"/>
      <c r="BLK14" s="455"/>
      <c r="BLL14" s="455"/>
      <c r="BLM14" s="455"/>
      <c r="BLN14" s="455"/>
      <c r="BLO14" s="455"/>
      <c r="BLP14" s="1144"/>
      <c r="BLQ14" s="1614"/>
      <c r="BLR14" s="455"/>
      <c r="BLS14" s="455"/>
      <c r="BLT14" s="455"/>
      <c r="BLU14" s="455"/>
      <c r="BLV14" s="455"/>
      <c r="BLW14" s="455"/>
      <c r="BLX14" s="455"/>
      <c r="BLY14" s="455"/>
      <c r="BLZ14" s="455"/>
      <c r="BMA14" s="455"/>
      <c r="BMB14" s="1144"/>
      <c r="BMC14" s="1614"/>
      <c r="BMD14" s="455"/>
      <c r="BME14" s="455"/>
      <c r="BMF14" s="455"/>
      <c r="BMG14" s="455"/>
      <c r="BMH14" s="455"/>
      <c r="BMI14" s="455"/>
      <c r="BMJ14" s="455"/>
      <c r="BMK14" s="455"/>
      <c r="BML14" s="455"/>
      <c r="BMM14" s="455"/>
      <c r="BMN14" s="1144"/>
      <c r="BMO14" s="1614"/>
      <c r="BMP14" s="455"/>
      <c r="BMQ14" s="455"/>
      <c r="BMR14" s="455"/>
      <c r="BMS14" s="455"/>
      <c r="BMT14" s="455"/>
      <c r="BMU14" s="455"/>
      <c r="BMV14" s="455"/>
      <c r="BMW14" s="455"/>
      <c r="BMX14" s="455"/>
      <c r="BMY14" s="455"/>
      <c r="BMZ14" s="1144"/>
      <c r="BNA14" s="1614"/>
      <c r="BNB14" s="455"/>
      <c r="BNC14" s="455"/>
      <c r="BND14" s="455"/>
      <c r="BNE14" s="455"/>
      <c r="BNF14" s="455"/>
      <c r="BNG14" s="455"/>
      <c r="BNH14" s="455"/>
      <c r="BNI14" s="455"/>
      <c r="BNJ14" s="455"/>
      <c r="BNK14" s="455"/>
      <c r="BNL14" s="1144"/>
      <c r="BNM14" s="1614"/>
      <c r="BNN14" s="455"/>
      <c r="BNO14" s="455"/>
      <c r="BNP14" s="455"/>
      <c r="BNQ14" s="455"/>
      <c r="BNR14" s="455"/>
      <c r="BNS14" s="455"/>
      <c r="BNT14" s="455"/>
      <c r="BNU14" s="455"/>
      <c r="BNV14" s="455"/>
      <c r="BNW14" s="455"/>
      <c r="BNX14" s="1144"/>
      <c r="BNY14" s="1614"/>
      <c r="BNZ14" s="455"/>
      <c r="BOA14" s="455"/>
      <c r="BOB14" s="455"/>
      <c r="BOC14" s="455"/>
      <c r="BOD14" s="455"/>
      <c r="BOE14" s="455"/>
      <c r="BOF14" s="455"/>
      <c r="BOG14" s="455"/>
      <c r="BOH14" s="455"/>
      <c r="BOI14" s="455"/>
      <c r="BOJ14" s="1144"/>
      <c r="BOK14" s="1614"/>
      <c r="BOL14" s="455"/>
      <c r="BOM14" s="455"/>
      <c r="BON14" s="455"/>
      <c r="BOO14" s="455"/>
      <c r="BOP14" s="455"/>
      <c r="BOQ14" s="455"/>
      <c r="BOR14" s="455"/>
      <c r="BOS14" s="455"/>
      <c r="BOT14" s="455"/>
      <c r="BOU14" s="455"/>
      <c r="BOV14" s="1144"/>
      <c r="BOW14" s="1614"/>
      <c r="BOX14" s="455"/>
      <c r="BOY14" s="455"/>
      <c r="BOZ14" s="455"/>
      <c r="BPA14" s="455"/>
      <c r="BPB14" s="455"/>
      <c r="BPC14" s="455"/>
      <c r="BPD14" s="455"/>
      <c r="BPE14" s="455"/>
      <c r="BPF14" s="455"/>
      <c r="BPG14" s="455"/>
      <c r="BPH14" s="1144"/>
      <c r="BPI14" s="1614"/>
      <c r="BPJ14" s="455"/>
      <c r="BPK14" s="455"/>
      <c r="BPL14" s="455"/>
      <c r="BPM14" s="455"/>
      <c r="BPN14" s="455"/>
      <c r="BPO14" s="455"/>
      <c r="BPP14" s="455"/>
      <c r="BPQ14" s="455"/>
      <c r="BPR14" s="455"/>
      <c r="BPS14" s="455"/>
      <c r="BPT14" s="1144"/>
      <c r="BPU14" s="1614"/>
      <c r="BPV14" s="455"/>
      <c r="BPW14" s="455"/>
      <c r="BPX14" s="455"/>
      <c r="BPY14" s="455"/>
      <c r="BPZ14" s="455"/>
      <c r="BQA14" s="455"/>
      <c r="BQB14" s="455"/>
      <c r="BQC14" s="455"/>
      <c r="BQD14" s="455"/>
      <c r="BQE14" s="455"/>
      <c r="BQF14" s="1144"/>
      <c r="BQG14" s="1614"/>
      <c r="BQH14" s="455"/>
      <c r="BQI14" s="455"/>
      <c r="BQJ14" s="455"/>
      <c r="BQK14" s="455"/>
      <c r="BQL14" s="455"/>
      <c r="BQM14" s="455"/>
      <c r="BQN14" s="455"/>
      <c r="BQO14" s="455"/>
      <c r="BQP14" s="455"/>
      <c r="BQQ14" s="455"/>
      <c r="BQR14" s="1144"/>
      <c r="BQS14" s="1614"/>
      <c r="BQT14" s="455"/>
      <c r="BQU14" s="455"/>
      <c r="BQV14" s="455"/>
      <c r="BQW14" s="455"/>
      <c r="BQX14" s="455"/>
      <c r="BQY14" s="455"/>
      <c r="BQZ14" s="455"/>
      <c r="BRA14" s="455"/>
      <c r="BRB14" s="455"/>
      <c r="BRC14" s="455"/>
      <c r="BRD14" s="1144"/>
      <c r="BRE14" s="1614"/>
      <c r="BRF14" s="455"/>
      <c r="BRG14" s="455"/>
      <c r="BRH14" s="455"/>
      <c r="BRI14" s="455"/>
      <c r="BRJ14" s="455"/>
      <c r="BRK14" s="455"/>
      <c r="BRL14" s="455"/>
      <c r="BRM14" s="455"/>
      <c r="BRN14" s="455"/>
      <c r="BRO14" s="455"/>
      <c r="BRP14" s="1144"/>
      <c r="BRQ14" s="1614"/>
      <c r="BRR14" s="455"/>
      <c r="BRS14" s="455"/>
      <c r="BRT14" s="455"/>
      <c r="BRU14" s="455"/>
      <c r="BRV14" s="455"/>
      <c r="BRW14" s="455"/>
      <c r="BRX14" s="455"/>
      <c r="BRY14" s="455"/>
      <c r="BRZ14" s="455"/>
      <c r="BSA14" s="455"/>
      <c r="BSB14" s="1144"/>
      <c r="BSC14" s="1614"/>
      <c r="BSD14" s="455"/>
      <c r="BSE14" s="455"/>
      <c r="BSF14" s="455"/>
      <c r="BSG14" s="455"/>
      <c r="BSH14" s="455"/>
      <c r="BSI14" s="455"/>
      <c r="BSJ14" s="455"/>
      <c r="BSK14" s="455"/>
      <c r="BSL14" s="455"/>
      <c r="BSM14" s="455"/>
      <c r="BSN14" s="1144"/>
      <c r="BSO14" s="1614"/>
      <c r="BSP14" s="455"/>
      <c r="BSQ14" s="455"/>
      <c r="BSR14" s="455"/>
      <c r="BSS14" s="455"/>
      <c r="BST14" s="455"/>
      <c r="BSU14" s="455"/>
      <c r="BSV14" s="455"/>
      <c r="BSW14" s="455"/>
      <c r="BSX14" s="455"/>
      <c r="BSY14" s="455"/>
      <c r="BSZ14" s="1144"/>
      <c r="BTA14" s="1614"/>
      <c r="BTB14" s="455"/>
      <c r="BTC14" s="455"/>
      <c r="BTD14" s="455"/>
      <c r="BTE14" s="455"/>
      <c r="BTF14" s="455"/>
      <c r="BTG14" s="455"/>
      <c r="BTH14" s="455"/>
      <c r="BTI14" s="455"/>
      <c r="BTJ14" s="455"/>
      <c r="BTK14" s="455"/>
      <c r="BTL14" s="1144"/>
      <c r="BTM14" s="1614"/>
      <c r="BTN14" s="455"/>
      <c r="BTO14" s="455"/>
      <c r="BTP14" s="455"/>
      <c r="BTQ14" s="455"/>
      <c r="BTR14" s="455"/>
      <c r="BTS14" s="455"/>
      <c r="BTT14" s="455"/>
      <c r="BTU14" s="455"/>
      <c r="BTV14" s="455"/>
      <c r="BTW14" s="455"/>
      <c r="BTX14" s="1144"/>
      <c r="BTY14" s="1614"/>
      <c r="BTZ14" s="455"/>
      <c r="BUA14" s="455"/>
      <c r="BUB14" s="455"/>
      <c r="BUC14" s="455"/>
      <c r="BUD14" s="455"/>
      <c r="BUE14" s="455"/>
      <c r="BUF14" s="455"/>
      <c r="BUG14" s="455"/>
      <c r="BUH14" s="455"/>
      <c r="BUI14" s="455"/>
      <c r="BUJ14" s="1144"/>
      <c r="BUK14" s="1614"/>
      <c r="BUL14" s="455"/>
      <c r="BUM14" s="455"/>
      <c r="BUN14" s="455"/>
      <c r="BUO14" s="455"/>
      <c r="BUP14" s="455"/>
      <c r="BUQ14" s="455"/>
      <c r="BUR14" s="455"/>
      <c r="BUS14" s="455"/>
      <c r="BUT14" s="455"/>
      <c r="BUU14" s="455"/>
      <c r="BUV14" s="1144"/>
      <c r="BUW14" s="1614"/>
      <c r="BUX14" s="455"/>
      <c r="BUY14" s="455"/>
      <c r="BUZ14" s="455"/>
      <c r="BVA14" s="455"/>
      <c r="BVB14" s="455"/>
      <c r="BVC14" s="455"/>
      <c r="BVD14" s="455"/>
      <c r="BVE14" s="455"/>
      <c r="BVF14" s="455"/>
      <c r="BVG14" s="455"/>
      <c r="BVH14" s="1144"/>
      <c r="BVI14" s="1614"/>
      <c r="BVJ14" s="455"/>
      <c r="BVK14" s="455"/>
      <c r="BVL14" s="455"/>
      <c r="BVM14" s="455"/>
      <c r="BVN14" s="455"/>
      <c r="BVO14" s="455"/>
      <c r="BVP14" s="455"/>
      <c r="BVQ14" s="455"/>
      <c r="BVR14" s="455"/>
      <c r="BVS14" s="455"/>
      <c r="BVT14" s="1144"/>
      <c r="BVU14" s="1614"/>
      <c r="BVV14" s="455"/>
      <c r="BVW14" s="455"/>
      <c r="BVX14" s="455"/>
      <c r="BVY14" s="455"/>
      <c r="BVZ14" s="455"/>
      <c r="BWA14" s="455"/>
      <c r="BWB14" s="455"/>
      <c r="BWC14" s="455"/>
      <c r="BWD14" s="455"/>
      <c r="BWE14" s="455"/>
      <c r="BWF14" s="1144"/>
      <c r="BWG14" s="1614"/>
      <c r="BWH14" s="455"/>
      <c r="BWI14" s="455"/>
      <c r="BWJ14" s="455"/>
      <c r="BWK14" s="455"/>
      <c r="BWL14" s="455"/>
      <c r="BWM14" s="455"/>
      <c r="BWN14" s="455"/>
      <c r="BWO14" s="455"/>
      <c r="BWP14" s="455"/>
      <c r="BWQ14" s="455"/>
      <c r="BWR14" s="1144"/>
      <c r="BWS14" s="1614"/>
      <c r="BWT14" s="455"/>
      <c r="BWU14" s="455"/>
      <c r="BWV14" s="455"/>
      <c r="BWW14" s="455"/>
      <c r="BWX14" s="455"/>
      <c r="BWY14" s="455"/>
      <c r="BWZ14" s="455"/>
      <c r="BXA14" s="455"/>
      <c r="BXB14" s="455"/>
      <c r="BXC14" s="455"/>
      <c r="BXD14" s="1144"/>
      <c r="BXE14" s="1614"/>
      <c r="BXF14" s="455"/>
      <c r="BXG14" s="455"/>
      <c r="BXH14" s="455"/>
      <c r="BXI14" s="455"/>
      <c r="BXJ14" s="455"/>
      <c r="BXK14" s="455"/>
      <c r="BXL14" s="455"/>
      <c r="BXM14" s="455"/>
      <c r="BXN14" s="455"/>
      <c r="BXO14" s="455"/>
      <c r="BXP14" s="1144"/>
      <c r="BXQ14" s="1614"/>
      <c r="BXR14" s="455"/>
      <c r="BXS14" s="455"/>
      <c r="BXT14" s="455"/>
      <c r="BXU14" s="455"/>
      <c r="BXV14" s="455"/>
      <c r="BXW14" s="455"/>
      <c r="BXX14" s="455"/>
      <c r="BXY14" s="455"/>
      <c r="BXZ14" s="455"/>
      <c r="BYA14" s="455"/>
      <c r="BYB14" s="1144"/>
      <c r="BYC14" s="1614"/>
      <c r="BYD14" s="455"/>
      <c r="BYE14" s="455"/>
      <c r="BYF14" s="455"/>
      <c r="BYG14" s="455"/>
      <c r="BYH14" s="455"/>
      <c r="BYI14" s="455"/>
      <c r="BYJ14" s="455"/>
      <c r="BYK14" s="455"/>
      <c r="BYL14" s="455"/>
      <c r="BYM14" s="455"/>
      <c r="BYN14" s="1144"/>
      <c r="BYO14" s="1614"/>
      <c r="BYP14" s="455"/>
      <c r="BYQ14" s="455"/>
      <c r="BYR14" s="455"/>
      <c r="BYS14" s="455"/>
      <c r="BYT14" s="455"/>
      <c r="BYU14" s="455"/>
      <c r="BYV14" s="455"/>
      <c r="BYW14" s="455"/>
      <c r="BYX14" s="455"/>
      <c r="BYY14" s="455"/>
      <c r="BYZ14" s="1144"/>
      <c r="BZA14" s="1614"/>
      <c r="BZB14" s="455"/>
      <c r="BZC14" s="455"/>
      <c r="BZD14" s="455"/>
      <c r="BZE14" s="455"/>
      <c r="BZF14" s="455"/>
      <c r="BZG14" s="455"/>
      <c r="BZH14" s="455"/>
      <c r="BZI14" s="455"/>
      <c r="BZJ14" s="455"/>
      <c r="BZK14" s="455"/>
      <c r="BZL14" s="1144"/>
      <c r="BZM14" s="1614"/>
      <c r="BZN14" s="455"/>
      <c r="BZO14" s="455"/>
      <c r="BZP14" s="455"/>
      <c r="BZQ14" s="455"/>
      <c r="BZR14" s="455"/>
      <c r="BZS14" s="455"/>
      <c r="BZT14" s="455"/>
      <c r="BZU14" s="455"/>
      <c r="BZV14" s="455"/>
      <c r="BZW14" s="455"/>
      <c r="BZX14" s="1144"/>
      <c r="BZY14" s="1614"/>
      <c r="BZZ14" s="455"/>
      <c r="CAA14" s="455"/>
      <c r="CAB14" s="455"/>
      <c r="CAC14" s="455"/>
      <c r="CAD14" s="455"/>
      <c r="CAE14" s="455"/>
      <c r="CAF14" s="455"/>
      <c r="CAG14" s="455"/>
      <c r="CAH14" s="455"/>
      <c r="CAI14" s="455"/>
      <c r="CAJ14" s="1144"/>
      <c r="CAK14" s="1614"/>
      <c r="CAL14" s="455"/>
      <c r="CAM14" s="455"/>
      <c r="CAN14" s="455"/>
      <c r="CAO14" s="455"/>
      <c r="CAP14" s="455"/>
      <c r="CAQ14" s="455"/>
      <c r="CAR14" s="455"/>
      <c r="CAS14" s="455"/>
      <c r="CAT14" s="455"/>
      <c r="CAU14" s="455"/>
      <c r="CAV14" s="1144"/>
      <c r="CAW14" s="1614"/>
      <c r="CAX14" s="455"/>
      <c r="CAY14" s="455"/>
      <c r="CAZ14" s="455"/>
      <c r="CBA14" s="455"/>
      <c r="CBB14" s="455"/>
      <c r="CBC14" s="455"/>
      <c r="CBD14" s="455"/>
      <c r="CBE14" s="455"/>
      <c r="CBF14" s="455"/>
      <c r="CBG14" s="455"/>
      <c r="CBH14" s="1144"/>
      <c r="CBI14" s="1614"/>
      <c r="CBJ14" s="455"/>
      <c r="CBK14" s="455"/>
      <c r="CBL14" s="455"/>
      <c r="CBM14" s="455"/>
      <c r="CBN14" s="455"/>
      <c r="CBO14" s="455"/>
      <c r="CBP14" s="455"/>
      <c r="CBQ14" s="455"/>
      <c r="CBR14" s="455"/>
      <c r="CBS14" s="455"/>
      <c r="CBT14" s="1144"/>
      <c r="CBU14" s="1614"/>
      <c r="CBV14" s="455"/>
      <c r="CBW14" s="455"/>
      <c r="CBX14" s="455"/>
      <c r="CBY14" s="455"/>
      <c r="CBZ14" s="455"/>
      <c r="CCA14" s="455"/>
      <c r="CCB14" s="455"/>
      <c r="CCC14" s="455"/>
      <c r="CCD14" s="455"/>
      <c r="CCE14" s="455"/>
      <c r="CCF14" s="1144"/>
      <c r="CCG14" s="1614"/>
      <c r="CCH14" s="455"/>
      <c r="CCI14" s="455"/>
      <c r="CCJ14" s="455"/>
      <c r="CCK14" s="455"/>
      <c r="CCL14" s="455"/>
      <c r="CCM14" s="455"/>
      <c r="CCN14" s="455"/>
      <c r="CCO14" s="455"/>
      <c r="CCP14" s="455"/>
      <c r="CCQ14" s="455"/>
      <c r="CCR14" s="1144"/>
      <c r="CCS14" s="1614"/>
      <c r="CCT14" s="455"/>
      <c r="CCU14" s="455"/>
      <c r="CCV14" s="455"/>
      <c r="CCW14" s="455"/>
      <c r="CCX14" s="455"/>
      <c r="CCY14" s="455"/>
      <c r="CCZ14" s="455"/>
      <c r="CDA14" s="455"/>
      <c r="CDB14" s="455"/>
      <c r="CDC14" s="455"/>
      <c r="CDD14" s="1144"/>
      <c r="CDE14" s="1614"/>
      <c r="CDF14" s="455"/>
      <c r="CDG14" s="455"/>
      <c r="CDH14" s="455"/>
      <c r="CDI14" s="455"/>
      <c r="CDJ14" s="455"/>
      <c r="CDK14" s="455"/>
      <c r="CDL14" s="455"/>
      <c r="CDM14" s="455"/>
      <c r="CDN14" s="455"/>
      <c r="CDO14" s="455"/>
      <c r="CDP14" s="1144"/>
      <c r="CDQ14" s="1614"/>
      <c r="CDR14" s="455"/>
      <c r="CDS14" s="455"/>
      <c r="CDT14" s="455"/>
      <c r="CDU14" s="455"/>
      <c r="CDV14" s="455"/>
      <c r="CDW14" s="455"/>
      <c r="CDX14" s="455"/>
      <c r="CDY14" s="455"/>
      <c r="CDZ14" s="455"/>
      <c r="CEA14" s="455"/>
      <c r="CEB14" s="1144"/>
      <c r="CEC14" s="1614"/>
      <c r="CED14" s="455"/>
      <c r="CEE14" s="455"/>
      <c r="CEF14" s="455"/>
      <c r="CEG14" s="455"/>
      <c r="CEH14" s="455"/>
      <c r="CEI14" s="455"/>
      <c r="CEJ14" s="455"/>
      <c r="CEK14" s="455"/>
      <c r="CEL14" s="455"/>
      <c r="CEM14" s="455"/>
      <c r="CEN14" s="1144"/>
      <c r="CEO14" s="1614"/>
      <c r="CEP14" s="455"/>
      <c r="CEQ14" s="455"/>
      <c r="CER14" s="455"/>
      <c r="CES14" s="455"/>
      <c r="CET14" s="455"/>
      <c r="CEU14" s="455"/>
      <c r="CEV14" s="455"/>
      <c r="CEW14" s="455"/>
      <c r="CEX14" s="455"/>
      <c r="CEY14" s="455"/>
      <c r="CEZ14" s="1144"/>
      <c r="CFA14" s="1614"/>
      <c r="CFB14" s="455"/>
      <c r="CFC14" s="455"/>
      <c r="CFD14" s="455"/>
      <c r="CFE14" s="455"/>
      <c r="CFF14" s="455"/>
      <c r="CFG14" s="455"/>
      <c r="CFH14" s="455"/>
      <c r="CFI14" s="455"/>
      <c r="CFJ14" s="455"/>
      <c r="CFK14" s="455"/>
      <c r="CFL14" s="1144"/>
      <c r="CFM14" s="1614"/>
      <c r="CFN14" s="455"/>
      <c r="CFO14" s="455"/>
      <c r="CFP14" s="455"/>
      <c r="CFQ14" s="455"/>
      <c r="CFR14" s="455"/>
      <c r="CFS14" s="455"/>
      <c r="CFT14" s="455"/>
      <c r="CFU14" s="455"/>
      <c r="CFV14" s="455"/>
      <c r="CFW14" s="455"/>
      <c r="CFX14" s="1144"/>
      <c r="CFY14" s="1614"/>
      <c r="CFZ14" s="455"/>
      <c r="CGA14" s="455"/>
      <c r="CGB14" s="455"/>
      <c r="CGC14" s="455"/>
      <c r="CGD14" s="455"/>
      <c r="CGE14" s="455"/>
      <c r="CGF14" s="455"/>
      <c r="CGG14" s="455"/>
      <c r="CGH14" s="455"/>
      <c r="CGI14" s="455"/>
      <c r="CGJ14" s="1144"/>
      <c r="CGK14" s="1614"/>
      <c r="CGL14" s="455"/>
      <c r="CGM14" s="455"/>
      <c r="CGN14" s="455"/>
      <c r="CGO14" s="455"/>
      <c r="CGP14" s="455"/>
      <c r="CGQ14" s="455"/>
      <c r="CGR14" s="455"/>
      <c r="CGS14" s="455"/>
      <c r="CGT14" s="455"/>
      <c r="CGU14" s="455"/>
      <c r="CGV14" s="1144"/>
      <c r="CGW14" s="1614"/>
      <c r="CGX14" s="455"/>
      <c r="CGY14" s="455"/>
      <c r="CGZ14" s="455"/>
      <c r="CHA14" s="455"/>
      <c r="CHB14" s="455"/>
      <c r="CHC14" s="455"/>
      <c r="CHD14" s="455"/>
      <c r="CHE14" s="455"/>
      <c r="CHF14" s="455"/>
      <c r="CHG14" s="455"/>
      <c r="CHH14" s="1144"/>
      <c r="CHI14" s="1614"/>
      <c r="CHJ14" s="455"/>
      <c r="CHK14" s="455"/>
      <c r="CHL14" s="455"/>
      <c r="CHM14" s="455"/>
      <c r="CHN14" s="455"/>
      <c r="CHO14" s="455"/>
      <c r="CHP14" s="455"/>
      <c r="CHQ14" s="455"/>
      <c r="CHR14" s="455"/>
      <c r="CHS14" s="455"/>
      <c r="CHT14" s="1144"/>
      <c r="CHU14" s="1614"/>
      <c r="CHV14" s="455"/>
      <c r="CHW14" s="455"/>
      <c r="CHX14" s="455"/>
      <c r="CHY14" s="455"/>
      <c r="CHZ14" s="455"/>
      <c r="CIA14" s="455"/>
      <c r="CIB14" s="455"/>
      <c r="CIC14" s="455"/>
      <c r="CID14" s="455"/>
      <c r="CIE14" s="455"/>
      <c r="CIF14" s="1144"/>
      <c r="CIG14" s="1614"/>
      <c r="CIH14" s="455"/>
      <c r="CII14" s="455"/>
      <c r="CIJ14" s="455"/>
      <c r="CIK14" s="455"/>
      <c r="CIL14" s="455"/>
      <c r="CIM14" s="455"/>
      <c r="CIN14" s="455"/>
      <c r="CIO14" s="455"/>
      <c r="CIP14" s="455"/>
      <c r="CIQ14" s="455"/>
      <c r="CIR14" s="1144"/>
      <c r="CIS14" s="1614"/>
      <c r="CIT14" s="455"/>
      <c r="CIU14" s="455"/>
      <c r="CIV14" s="455"/>
      <c r="CIW14" s="455"/>
      <c r="CIX14" s="455"/>
      <c r="CIY14" s="455"/>
      <c r="CIZ14" s="455"/>
      <c r="CJA14" s="455"/>
      <c r="CJB14" s="455"/>
      <c r="CJC14" s="455"/>
      <c r="CJD14" s="1144"/>
      <c r="CJE14" s="1614"/>
      <c r="CJF14" s="455"/>
      <c r="CJG14" s="455"/>
      <c r="CJH14" s="455"/>
      <c r="CJI14" s="455"/>
      <c r="CJJ14" s="455"/>
      <c r="CJK14" s="455"/>
      <c r="CJL14" s="455"/>
      <c r="CJM14" s="455"/>
      <c r="CJN14" s="455"/>
      <c r="CJO14" s="455"/>
      <c r="CJP14" s="1144"/>
      <c r="CJQ14" s="1614"/>
      <c r="CJR14" s="455"/>
      <c r="CJS14" s="455"/>
      <c r="CJT14" s="455"/>
      <c r="CJU14" s="455"/>
      <c r="CJV14" s="455"/>
      <c r="CJW14" s="455"/>
      <c r="CJX14" s="455"/>
      <c r="CJY14" s="455"/>
      <c r="CJZ14" s="455"/>
      <c r="CKA14" s="455"/>
      <c r="CKB14" s="1144"/>
      <c r="CKC14" s="1614"/>
      <c r="CKD14" s="455"/>
      <c r="CKE14" s="455"/>
      <c r="CKF14" s="455"/>
      <c r="CKG14" s="455"/>
      <c r="CKH14" s="455"/>
      <c r="CKI14" s="455"/>
      <c r="CKJ14" s="455"/>
      <c r="CKK14" s="455"/>
      <c r="CKL14" s="455"/>
      <c r="CKM14" s="455"/>
      <c r="CKN14" s="1144"/>
      <c r="CKO14" s="1614"/>
      <c r="CKP14" s="455"/>
      <c r="CKQ14" s="455"/>
      <c r="CKR14" s="455"/>
      <c r="CKS14" s="455"/>
      <c r="CKT14" s="455"/>
      <c r="CKU14" s="455"/>
      <c r="CKV14" s="455"/>
      <c r="CKW14" s="455"/>
      <c r="CKX14" s="455"/>
      <c r="CKY14" s="455"/>
      <c r="CKZ14" s="1144"/>
      <c r="CLA14" s="1614"/>
      <c r="CLB14" s="455"/>
      <c r="CLC14" s="455"/>
      <c r="CLD14" s="455"/>
      <c r="CLE14" s="455"/>
      <c r="CLF14" s="455"/>
      <c r="CLG14" s="455"/>
      <c r="CLH14" s="455"/>
      <c r="CLI14" s="455"/>
      <c r="CLJ14" s="455"/>
      <c r="CLK14" s="455"/>
      <c r="CLL14" s="1144"/>
      <c r="CLM14" s="1614"/>
      <c r="CLN14" s="455"/>
      <c r="CLO14" s="455"/>
      <c r="CLP14" s="455"/>
      <c r="CLQ14" s="455"/>
      <c r="CLR14" s="455"/>
      <c r="CLS14" s="455"/>
      <c r="CLT14" s="455"/>
      <c r="CLU14" s="455"/>
      <c r="CLV14" s="455"/>
      <c r="CLW14" s="455"/>
      <c r="CLX14" s="1144"/>
      <c r="CLY14" s="1614"/>
      <c r="CLZ14" s="455"/>
      <c r="CMA14" s="455"/>
      <c r="CMB14" s="455"/>
      <c r="CMC14" s="455"/>
      <c r="CMD14" s="455"/>
      <c r="CME14" s="455"/>
      <c r="CMF14" s="455"/>
      <c r="CMG14" s="455"/>
      <c r="CMH14" s="455"/>
      <c r="CMI14" s="455"/>
      <c r="CMJ14" s="1144"/>
      <c r="CMK14" s="1614"/>
      <c r="CML14" s="455"/>
      <c r="CMM14" s="455"/>
      <c r="CMN14" s="455"/>
      <c r="CMO14" s="455"/>
      <c r="CMP14" s="455"/>
      <c r="CMQ14" s="455"/>
      <c r="CMR14" s="455"/>
      <c r="CMS14" s="455"/>
      <c r="CMT14" s="455"/>
      <c r="CMU14" s="455"/>
      <c r="CMV14" s="1144"/>
      <c r="CMW14" s="1614"/>
      <c r="CMX14" s="455"/>
      <c r="CMY14" s="455"/>
      <c r="CMZ14" s="455"/>
      <c r="CNA14" s="455"/>
      <c r="CNB14" s="455"/>
      <c r="CNC14" s="455"/>
      <c r="CND14" s="455"/>
      <c r="CNE14" s="455"/>
      <c r="CNF14" s="455"/>
      <c r="CNG14" s="455"/>
      <c r="CNH14" s="1144"/>
      <c r="CNI14" s="1614"/>
      <c r="CNJ14" s="455"/>
      <c r="CNK14" s="455"/>
      <c r="CNL14" s="455"/>
      <c r="CNM14" s="455"/>
      <c r="CNN14" s="455"/>
      <c r="CNO14" s="455"/>
      <c r="CNP14" s="455"/>
      <c r="CNQ14" s="455"/>
      <c r="CNR14" s="455"/>
      <c r="CNS14" s="455"/>
      <c r="CNT14" s="1144"/>
      <c r="CNU14" s="1614"/>
      <c r="CNV14" s="455"/>
      <c r="CNW14" s="455"/>
      <c r="CNX14" s="455"/>
      <c r="CNY14" s="455"/>
      <c r="CNZ14" s="455"/>
      <c r="COA14" s="455"/>
      <c r="COB14" s="455"/>
      <c r="COC14" s="455"/>
      <c r="COD14" s="455"/>
      <c r="COE14" s="455"/>
      <c r="COF14" s="1144"/>
      <c r="COG14" s="1614"/>
      <c r="COH14" s="455"/>
      <c r="COI14" s="455"/>
      <c r="COJ14" s="455"/>
      <c r="COK14" s="455"/>
      <c r="COL14" s="455"/>
      <c r="COM14" s="455"/>
      <c r="CON14" s="455"/>
      <c r="COO14" s="455"/>
      <c r="COP14" s="455"/>
      <c r="COQ14" s="455"/>
      <c r="COR14" s="1144"/>
      <c r="COS14" s="1614"/>
      <c r="COT14" s="455"/>
      <c r="COU14" s="455"/>
      <c r="COV14" s="455"/>
      <c r="COW14" s="455"/>
      <c r="COX14" s="455"/>
      <c r="COY14" s="455"/>
      <c r="COZ14" s="455"/>
      <c r="CPA14" s="455"/>
      <c r="CPB14" s="455"/>
      <c r="CPC14" s="455"/>
      <c r="CPD14" s="1144"/>
      <c r="CPE14" s="1614"/>
      <c r="CPF14" s="455"/>
      <c r="CPG14" s="455"/>
      <c r="CPH14" s="455"/>
      <c r="CPI14" s="455"/>
      <c r="CPJ14" s="455"/>
      <c r="CPK14" s="455"/>
      <c r="CPL14" s="455"/>
      <c r="CPM14" s="455"/>
      <c r="CPN14" s="455"/>
      <c r="CPO14" s="455"/>
      <c r="CPP14" s="1144"/>
      <c r="CPQ14" s="1614"/>
      <c r="CPR14" s="455"/>
      <c r="CPS14" s="455"/>
      <c r="CPT14" s="455"/>
      <c r="CPU14" s="455"/>
      <c r="CPV14" s="455"/>
      <c r="CPW14" s="455"/>
      <c r="CPX14" s="455"/>
      <c r="CPY14" s="455"/>
      <c r="CPZ14" s="455"/>
      <c r="CQA14" s="455"/>
      <c r="CQB14" s="1144"/>
      <c r="CQC14" s="1614"/>
      <c r="CQD14" s="455"/>
      <c r="CQE14" s="455"/>
      <c r="CQF14" s="455"/>
      <c r="CQG14" s="455"/>
      <c r="CQH14" s="455"/>
      <c r="CQI14" s="455"/>
      <c r="CQJ14" s="455"/>
      <c r="CQK14" s="455"/>
      <c r="CQL14" s="455"/>
      <c r="CQM14" s="455"/>
      <c r="CQN14" s="1144"/>
      <c r="CQO14" s="1614"/>
      <c r="CQP14" s="455"/>
      <c r="CQQ14" s="455"/>
      <c r="CQR14" s="455"/>
      <c r="CQS14" s="455"/>
      <c r="CQT14" s="455"/>
      <c r="CQU14" s="455"/>
      <c r="CQV14" s="455"/>
      <c r="CQW14" s="455"/>
      <c r="CQX14" s="455"/>
      <c r="CQY14" s="455"/>
      <c r="CQZ14" s="1144"/>
      <c r="CRA14" s="1614"/>
      <c r="CRB14" s="455"/>
      <c r="CRC14" s="455"/>
      <c r="CRD14" s="455"/>
      <c r="CRE14" s="455"/>
      <c r="CRF14" s="455"/>
      <c r="CRG14" s="455"/>
      <c r="CRH14" s="455"/>
      <c r="CRI14" s="455"/>
      <c r="CRJ14" s="455"/>
      <c r="CRK14" s="455"/>
      <c r="CRL14" s="1144"/>
      <c r="CRM14" s="1614"/>
      <c r="CRN14" s="455"/>
      <c r="CRO14" s="455"/>
      <c r="CRP14" s="455"/>
      <c r="CRQ14" s="455"/>
      <c r="CRR14" s="455"/>
      <c r="CRS14" s="455"/>
      <c r="CRT14" s="455"/>
      <c r="CRU14" s="455"/>
      <c r="CRV14" s="455"/>
      <c r="CRW14" s="455"/>
      <c r="CRX14" s="1144"/>
      <c r="CRY14" s="1614"/>
      <c r="CRZ14" s="455"/>
      <c r="CSA14" s="455"/>
      <c r="CSB14" s="455"/>
      <c r="CSC14" s="455"/>
      <c r="CSD14" s="455"/>
      <c r="CSE14" s="455"/>
      <c r="CSF14" s="455"/>
      <c r="CSG14" s="455"/>
      <c r="CSH14" s="455"/>
      <c r="CSI14" s="455"/>
      <c r="CSJ14" s="1144"/>
      <c r="CSK14" s="1614"/>
      <c r="CSL14" s="455"/>
      <c r="CSM14" s="455"/>
      <c r="CSN14" s="455"/>
      <c r="CSO14" s="455"/>
      <c r="CSP14" s="455"/>
      <c r="CSQ14" s="455"/>
      <c r="CSR14" s="455"/>
      <c r="CSS14" s="455"/>
      <c r="CST14" s="455"/>
      <c r="CSU14" s="455"/>
      <c r="CSV14" s="1144"/>
      <c r="CSW14" s="1614"/>
      <c r="CSX14" s="455"/>
      <c r="CSY14" s="455"/>
      <c r="CSZ14" s="455"/>
      <c r="CTA14" s="455"/>
      <c r="CTB14" s="455"/>
      <c r="CTC14" s="455"/>
      <c r="CTD14" s="455"/>
      <c r="CTE14" s="455"/>
      <c r="CTF14" s="455"/>
      <c r="CTG14" s="455"/>
      <c r="CTH14" s="1144"/>
      <c r="CTI14" s="1614"/>
      <c r="CTJ14" s="455"/>
      <c r="CTK14" s="455"/>
      <c r="CTL14" s="455"/>
      <c r="CTM14" s="455"/>
      <c r="CTN14" s="455"/>
      <c r="CTO14" s="455"/>
      <c r="CTP14" s="455"/>
      <c r="CTQ14" s="455"/>
      <c r="CTR14" s="455"/>
      <c r="CTS14" s="455"/>
      <c r="CTT14" s="1144"/>
      <c r="CTU14" s="1614"/>
      <c r="CTV14" s="455"/>
      <c r="CTW14" s="455"/>
      <c r="CTX14" s="455"/>
      <c r="CTY14" s="455"/>
      <c r="CTZ14" s="455"/>
      <c r="CUA14" s="455"/>
      <c r="CUB14" s="455"/>
      <c r="CUC14" s="455"/>
      <c r="CUD14" s="455"/>
      <c r="CUE14" s="455"/>
      <c r="CUF14" s="1144"/>
      <c r="CUG14" s="1614"/>
      <c r="CUH14" s="455"/>
      <c r="CUI14" s="455"/>
      <c r="CUJ14" s="455"/>
      <c r="CUK14" s="455"/>
      <c r="CUL14" s="455"/>
      <c r="CUM14" s="455"/>
      <c r="CUN14" s="455"/>
      <c r="CUO14" s="455"/>
      <c r="CUP14" s="455"/>
      <c r="CUQ14" s="455"/>
      <c r="CUR14" s="1144"/>
      <c r="CUS14" s="1614"/>
      <c r="CUT14" s="455"/>
      <c r="CUU14" s="455"/>
      <c r="CUV14" s="455"/>
      <c r="CUW14" s="455"/>
      <c r="CUX14" s="455"/>
      <c r="CUY14" s="455"/>
      <c r="CUZ14" s="455"/>
      <c r="CVA14" s="455"/>
      <c r="CVB14" s="455"/>
      <c r="CVC14" s="455"/>
      <c r="CVD14" s="1144"/>
      <c r="CVE14" s="1614"/>
      <c r="CVF14" s="455"/>
      <c r="CVG14" s="455"/>
      <c r="CVH14" s="455"/>
      <c r="CVI14" s="455"/>
      <c r="CVJ14" s="455"/>
      <c r="CVK14" s="455"/>
      <c r="CVL14" s="455"/>
      <c r="CVM14" s="455"/>
      <c r="CVN14" s="455"/>
      <c r="CVO14" s="455"/>
      <c r="CVP14" s="1144"/>
      <c r="CVQ14" s="1614"/>
      <c r="CVR14" s="455"/>
      <c r="CVS14" s="455"/>
      <c r="CVT14" s="455"/>
      <c r="CVU14" s="455"/>
      <c r="CVV14" s="455"/>
      <c r="CVW14" s="455"/>
      <c r="CVX14" s="455"/>
      <c r="CVY14" s="455"/>
      <c r="CVZ14" s="455"/>
      <c r="CWA14" s="455"/>
      <c r="CWB14" s="1144"/>
      <c r="CWC14" s="1614"/>
      <c r="CWD14" s="455"/>
      <c r="CWE14" s="455"/>
      <c r="CWF14" s="455"/>
      <c r="CWG14" s="455"/>
      <c r="CWH14" s="455"/>
      <c r="CWI14" s="455"/>
      <c r="CWJ14" s="455"/>
      <c r="CWK14" s="455"/>
      <c r="CWL14" s="455"/>
      <c r="CWM14" s="455"/>
      <c r="CWN14" s="1144"/>
      <c r="CWO14" s="1614"/>
      <c r="CWP14" s="455"/>
      <c r="CWQ14" s="455"/>
      <c r="CWR14" s="455"/>
      <c r="CWS14" s="455"/>
      <c r="CWT14" s="455"/>
      <c r="CWU14" s="455"/>
      <c r="CWV14" s="455"/>
      <c r="CWW14" s="455"/>
      <c r="CWX14" s="455"/>
      <c r="CWY14" s="455"/>
      <c r="CWZ14" s="1144"/>
      <c r="CXA14" s="1614"/>
      <c r="CXB14" s="455"/>
      <c r="CXC14" s="455"/>
      <c r="CXD14" s="455"/>
      <c r="CXE14" s="455"/>
      <c r="CXF14" s="455"/>
      <c r="CXG14" s="455"/>
      <c r="CXH14" s="455"/>
      <c r="CXI14" s="455"/>
      <c r="CXJ14" s="455"/>
      <c r="CXK14" s="455"/>
      <c r="CXL14" s="1144"/>
      <c r="CXM14" s="1614"/>
      <c r="CXN14" s="455"/>
      <c r="CXO14" s="455"/>
      <c r="CXP14" s="455"/>
      <c r="CXQ14" s="455"/>
      <c r="CXR14" s="455"/>
      <c r="CXS14" s="455"/>
      <c r="CXT14" s="455"/>
      <c r="CXU14" s="455"/>
      <c r="CXV14" s="455"/>
      <c r="CXW14" s="455"/>
      <c r="CXX14" s="1144"/>
      <c r="CXY14" s="1614"/>
      <c r="CXZ14" s="455"/>
      <c r="CYA14" s="455"/>
      <c r="CYB14" s="455"/>
      <c r="CYC14" s="455"/>
      <c r="CYD14" s="455"/>
      <c r="CYE14" s="455"/>
      <c r="CYF14" s="455"/>
      <c r="CYG14" s="455"/>
      <c r="CYH14" s="455"/>
      <c r="CYI14" s="455"/>
      <c r="CYJ14" s="1144"/>
      <c r="CYK14" s="1614"/>
      <c r="CYL14" s="455"/>
      <c r="CYM14" s="455"/>
      <c r="CYN14" s="455"/>
      <c r="CYO14" s="455"/>
      <c r="CYP14" s="455"/>
      <c r="CYQ14" s="455"/>
      <c r="CYR14" s="455"/>
      <c r="CYS14" s="455"/>
      <c r="CYT14" s="455"/>
      <c r="CYU14" s="455"/>
      <c r="CYV14" s="1144"/>
      <c r="CYW14" s="1614"/>
      <c r="CYX14" s="455"/>
      <c r="CYY14" s="455"/>
      <c r="CYZ14" s="455"/>
      <c r="CZA14" s="455"/>
      <c r="CZB14" s="455"/>
      <c r="CZC14" s="455"/>
      <c r="CZD14" s="455"/>
      <c r="CZE14" s="455"/>
      <c r="CZF14" s="455"/>
      <c r="CZG14" s="455"/>
      <c r="CZH14" s="1144"/>
      <c r="CZI14" s="1614"/>
      <c r="CZJ14" s="455"/>
      <c r="CZK14" s="455"/>
      <c r="CZL14" s="455"/>
      <c r="CZM14" s="455"/>
      <c r="CZN14" s="455"/>
      <c r="CZO14" s="455"/>
      <c r="CZP14" s="455"/>
      <c r="CZQ14" s="455"/>
      <c r="CZR14" s="455"/>
      <c r="CZS14" s="455"/>
      <c r="CZT14" s="1144"/>
      <c r="CZU14" s="1614"/>
      <c r="CZV14" s="455"/>
      <c r="CZW14" s="455"/>
      <c r="CZX14" s="455"/>
      <c r="CZY14" s="455"/>
      <c r="CZZ14" s="455"/>
      <c r="DAA14" s="455"/>
      <c r="DAB14" s="455"/>
      <c r="DAC14" s="455"/>
      <c r="DAD14" s="455"/>
      <c r="DAE14" s="455"/>
      <c r="DAF14" s="1144"/>
      <c r="DAG14" s="1614"/>
      <c r="DAH14" s="455"/>
      <c r="DAI14" s="455"/>
      <c r="DAJ14" s="455"/>
      <c r="DAK14" s="455"/>
      <c r="DAL14" s="455"/>
      <c r="DAM14" s="455"/>
      <c r="DAN14" s="455"/>
      <c r="DAO14" s="455"/>
      <c r="DAP14" s="455"/>
      <c r="DAQ14" s="455"/>
      <c r="DAR14" s="1144"/>
      <c r="DAS14" s="1614"/>
      <c r="DAT14" s="455"/>
      <c r="DAU14" s="455"/>
      <c r="DAV14" s="455"/>
      <c r="DAW14" s="455"/>
      <c r="DAX14" s="455"/>
      <c r="DAY14" s="455"/>
      <c r="DAZ14" s="455"/>
      <c r="DBA14" s="455"/>
      <c r="DBB14" s="455"/>
      <c r="DBC14" s="455"/>
      <c r="DBD14" s="1144"/>
      <c r="DBE14" s="1614"/>
      <c r="DBF14" s="455"/>
      <c r="DBG14" s="455"/>
      <c r="DBH14" s="455"/>
      <c r="DBI14" s="455"/>
      <c r="DBJ14" s="455"/>
      <c r="DBK14" s="455"/>
      <c r="DBL14" s="455"/>
      <c r="DBM14" s="455"/>
      <c r="DBN14" s="455"/>
      <c r="DBO14" s="455"/>
      <c r="DBP14" s="1144"/>
      <c r="DBQ14" s="1614"/>
      <c r="DBR14" s="455"/>
      <c r="DBS14" s="455"/>
      <c r="DBT14" s="455"/>
      <c r="DBU14" s="455"/>
      <c r="DBV14" s="455"/>
      <c r="DBW14" s="455"/>
      <c r="DBX14" s="455"/>
      <c r="DBY14" s="455"/>
      <c r="DBZ14" s="455"/>
      <c r="DCA14" s="455"/>
      <c r="DCB14" s="1144"/>
      <c r="DCC14" s="1614"/>
      <c r="DCD14" s="455"/>
      <c r="DCE14" s="455"/>
      <c r="DCF14" s="455"/>
      <c r="DCG14" s="455"/>
      <c r="DCH14" s="455"/>
      <c r="DCI14" s="455"/>
      <c r="DCJ14" s="455"/>
      <c r="DCK14" s="455"/>
      <c r="DCL14" s="455"/>
      <c r="DCM14" s="455"/>
      <c r="DCN14" s="1144"/>
      <c r="DCO14" s="1614"/>
      <c r="DCP14" s="455"/>
      <c r="DCQ14" s="455"/>
      <c r="DCR14" s="455"/>
      <c r="DCS14" s="455"/>
      <c r="DCT14" s="455"/>
      <c r="DCU14" s="455"/>
      <c r="DCV14" s="455"/>
      <c r="DCW14" s="455"/>
      <c r="DCX14" s="455"/>
      <c r="DCY14" s="455"/>
      <c r="DCZ14" s="1144"/>
      <c r="DDA14" s="1614"/>
      <c r="DDB14" s="455"/>
      <c r="DDC14" s="455"/>
      <c r="DDD14" s="455"/>
      <c r="DDE14" s="455"/>
      <c r="DDF14" s="455"/>
      <c r="DDG14" s="455"/>
      <c r="DDH14" s="455"/>
      <c r="DDI14" s="455"/>
      <c r="DDJ14" s="455"/>
      <c r="DDK14" s="455"/>
      <c r="DDL14" s="1144"/>
      <c r="DDM14" s="1614"/>
      <c r="DDN14" s="455"/>
      <c r="DDO14" s="455"/>
      <c r="DDP14" s="455"/>
      <c r="DDQ14" s="455"/>
      <c r="DDR14" s="455"/>
      <c r="DDS14" s="455"/>
      <c r="DDT14" s="455"/>
      <c r="DDU14" s="455"/>
      <c r="DDV14" s="455"/>
      <c r="DDW14" s="455"/>
      <c r="DDX14" s="1144"/>
      <c r="DDY14" s="1614"/>
      <c r="DDZ14" s="455"/>
      <c r="DEA14" s="455"/>
      <c r="DEB14" s="455"/>
      <c r="DEC14" s="455"/>
      <c r="DED14" s="455"/>
      <c r="DEE14" s="455"/>
      <c r="DEF14" s="455"/>
      <c r="DEG14" s="455"/>
      <c r="DEH14" s="455"/>
      <c r="DEI14" s="455"/>
      <c r="DEJ14" s="1144"/>
      <c r="DEK14" s="1614"/>
      <c r="DEL14" s="455"/>
      <c r="DEM14" s="455"/>
      <c r="DEN14" s="455"/>
      <c r="DEO14" s="455"/>
      <c r="DEP14" s="455"/>
      <c r="DEQ14" s="455"/>
      <c r="DER14" s="455"/>
      <c r="DES14" s="455"/>
      <c r="DET14" s="455"/>
      <c r="DEU14" s="455"/>
      <c r="DEV14" s="1144"/>
      <c r="DEW14" s="1614"/>
      <c r="DEX14" s="455"/>
      <c r="DEY14" s="455"/>
      <c r="DEZ14" s="455"/>
      <c r="DFA14" s="455"/>
      <c r="DFB14" s="455"/>
      <c r="DFC14" s="455"/>
      <c r="DFD14" s="455"/>
      <c r="DFE14" s="455"/>
      <c r="DFF14" s="455"/>
      <c r="DFG14" s="455"/>
      <c r="DFH14" s="1144"/>
      <c r="DFI14" s="1614"/>
      <c r="DFJ14" s="455"/>
      <c r="DFK14" s="455"/>
      <c r="DFL14" s="455"/>
      <c r="DFM14" s="455"/>
      <c r="DFN14" s="455"/>
      <c r="DFO14" s="455"/>
      <c r="DFP14" s="455"/>
      <c r="DFQ14" s="455"/>
      <c r="DFR14" s="455"/>
      <c r="DFS14" s="455"/>
      <c r="DFT14" s="1144"/>
      <c r="DFU14" s="1614"/>
      <c r="DFV14" s="455"/>
      <c r="DFW14" s="455"/>
      <c r="DFX14" s="455"/>
      <c r="DFY14" s="455"/>
      <c r="DFZ14" s="455"/>
      <c r="DGA14" s="455"/>
      <c r="DGB14" s="455"/>
      <c r="DGC14" s="455"/>
      <c r="DGD14" s="455"/>
      <c r="DGE14" s="455"/>
      <c r="DGF14" s="1144"/>
      <c r="DGG14" s="1614"/>
      <c r="DGH14" s="455"/>
      <c r="DGI14" s="455"/>
      <c r="DGJ14" s="455"/>
      <c r="DGK14" s="455"/>
      <c r="DGL14" s="455"/>
      <c r="DGM14" s="455"/>
      <c r="DGN14" s="455"/>
      <c r="DGO14" s="455"/>
      <c r="DGP14" s="455"/>
      <c r="DGQ14" s="455"/>
      <c r="DGR14" s="1144"/>
      <c r="DGS14" s="1614"/>
      <c r="DGT14" s="455"/>
      <c r="DGU14" s="455"/>
      <c r="DGV14" s="455"/>
      <c r="DGW14" s="455"/>
      <c r="DGX14" s="455"/>
      <c r="DGY14" s="455"/>
      <c r="DGZ14" s="455"/>
      <c r="DHA14" s="455"/>
      <c r="DHB14" s="455"/>
      <c r="DHC14" s="455"/>
      <c r="DHD14" s="1144"/>
      <c r="DHE14" s="1614"/>
      <c r="DHF14" s="455"/>
      <c r="DHG14" s="455"/>
      <c r="DHH14" s="455"/>
      <c r="DHI14" s="455"/>
      <c r="DHJ14" s="455"/>
      <c r="DHK14" s="455"/>
      <c r="DHL14" s="455"/>
      <c r="DHM14" s="455"/>
      <c r="DHN14" s="455"/>
      <c r="DHO14" s="455"/>
      <c r="DHP14" s="1144"/>
      <c r="DHQ14" s="1614"/>
      <c r="DHR14" s="455"/>
      <c r="DHS14" s="455"/>
      <c r="DHT14" s="455"/>
      <c r="DHU14" s="455"/>
      <c r="DHV14" s="455"/>
      <c r="DHW14" s="455"/>
      <c r="DHX14" s="455"/>
      <c r="DHY14" s="455"/>
      <c r="DHZ14" s="455"/>
      <c r="DIA14" s="455"/>
      <c r="DIB14" s="1144"/>
      <c r="DIC14" s="1614"/>
      <c r="DID14" s="455"/>
      <c r="DIE14" s="455"/>
      <c r="DIF14" s="455"/>
      <c r="DIG14" s="455"/>
      <c r="DIH14" s="455"/>
      <c r="DII14" s="455"/>
      <c r="DIJ14" s="455"/>
      <c r="DIK14" s="455"/>
      <c r="DIL14" s="455"/>
      <c r="DIM14" s="455"/>
      <c r="DIN14" s="1144"/>
      <c r="DIO14" s="1614"/>
      <c r="DIP14" s="455"/>
      <c r="DIQ14" s="455"/>
      <c r="DIR14" s="455"/>
      <c r="DIS14" s="455"/>
      <c r="DIT14" s="455"/>
      <c r="DIU14" s="455"/>
      <c r="DIV14" s="455"/>
      <c r="DIW14" s="455"/>
      <c r="DIX14" s="455"/>
      <c r="DIY14" s="455"/>
      <c r="DIZ14" s="1144"/>
      <c r="DJA14" s="1614"/>
      <c r="DJB14" s="455"/>
      <c r="DJC14" s="455"/>
      <c r="DJD14" s="455"/>
      <c r="DJE14" s="455"/>
      <c r="DJF14" s="455"/>
      <c r="DJG14" s="455"/>
      <c r="DJH14" s="455"/>
      <c r="DJI14" s="455"/>
      <c r="DJJ14" s="455"/>
      <c r="DJK14" s="455"/>
      <c r="DJL14" s="1144"/>
      <c r="DJM14" s="1614"/>
      <c r="DJN14" s="455"/>
      <c r="DJO14" s="455"/>
      <c r="DJP14" s="455"/>
      <c r="DJQ14" s="455"/>
      <c r="DJR14" s="455"/>
      <c r="DJS14" s="455"/>
      <c r="DJT14" s="455"/>
      <c r="DJU14" s="455"/>
      <c r="DJV14" s="455"/>
      <c r="DJW14" s="455"/>
      <c r="DJX14" s="1144"/>
      <c r="DJY14" s="1614"/>
      <c r="DJZ14" s="455"/>
      <c r="DKA14" s="455"/>
      <c r="DKB14" s="455"/>
      <c r="DKC14" s="455"/>
      <c r="DKD14" s="455"/>
      <c r="DKE14" s="455"/>
      <c r="DKF14" s="455"/>
      <c r="DKG14" s="455"/>
      <c r="DKH14" s="455"/>
      <c r="DKI14" s="455"/>
      <c r="DKJ14" s="1144"/>
      <c r="DKK14" s="1614"/>
      <c r="DKL14" s="455"/>
      <c r="DKM14" s="455"/>
      <c r="DKN14" s="455"/>
      <c r="DKO14" s="455"/>
      <c r="DKP14" s="455"/>
      <c r="DKQ14" s="455"/>
      <c r="DKR14" s="455"/>
      <c r="DKS14" s="455"/>
      <c r="DKT14" s="455"/>
      <c r="DKU14" s="455"/>
      <c r="DKV14" s="1144"/>
      <c r="DKW14" s="1614"/>
      <c r="DKX14" s="455"/>
      <c r="DKY14" s="455"/>
      <c r="DKZ14" s="455"/>
      <c r="DLA14" s="455"/>
      <c r="DLB14" s="455"/>
      <c r="DLC14" s="455"/>
      <c r="DLD14" s="455"/>
      <c r="DLE14" s="455"/>
      <c r="DLF14" s="455"/>
      <c r="DLG14" s="455"/>
      <c r="DLH14" s="1144"/>
      <c r="DLI14" s="1614"/>
      <c r="DLJ14" s="455"/>
      <c r="DLK14" s="455"/>
      <c r="DLL14" s="455"/>
      <c r="DLM14" s="455"/>
      <c r="DLN14" s="455"/>
      <c r="DLO14" s="455"/>
      <c r="DLP14" s="455"/>
      <c r="DLQ14" s="455"/>
      <c r="DLR14" s="455"/>
      <c r="DLS14" s="455"/>
      <c r="DLT14" s="1144"/>
      <c r="DLU14" s="1614"/>
      <c r="DLV14" s="455"/>
      <c r="DLW14" s="455"/>
      <c r="DLX14" s="455"/>
      <c r="DLY14" s="455"/>
      <c r="DLZ14" s="455"/>
      <c r="DMA14" s="455"/>
      <c r="DMB14" s="455"/>
      <c r="DMC14" s="455"/>
      <c r="DMD14" s="455"/>
      <c r="DME14" s="455"/>
      <c r="DMF14" s="1144"/>
      <c r="DMG14" s="1614"/>
      <c r="DMH14" s="455"/>
      <c r="DMI14" s="455"/>
      <c r="DMJ14" s="455"/>
      <c r="DMK14" s="455"/>
      <c r="DML14" s="455"/>
      <c r="DMM14" s="455"/>
      <c r="DMN14" s="455"/>
      <c r="DMO14" s="455"/>
      <c r="DMP14" s="455"/>
      <c r="DMQ14" s="455"/>
      <c r="DMR14" s="1144"/>
      <c r="DMS14" s="1614"/>
      <c r="DMT14" s="455"/>
      <c r="DMU14" s="455"/>
      <c r="DMV14" s="455"/>
      <c r="DMW14" s="455"/>
      <c r="DMX14" s="455"/>
      <c r="DMY14" s="455"/>
      <c r="DMZ14" s="455"/>
      <c r="DNA14" s="455"/>
      <c r="DNB14" s="455"/>
      <c r="DNC14" s="455"/>
      <c r="DND14" s="1144"/>
      <c r="DNE14" s="1614"/>
      <c r="DNF14" s="455"/>
      <c r="DNG14" s="455"/>
      <c r="DNH14" s="455"/>
      <c r="DNI14" s="455"/>
      <c r="DNJ14" s="455"/>
      <c r="DNK14" s="455"/>
      <c r="DNL14" s="455"/>
      <c r="DNM14" s="455"/>
      <c r="DNN14" s="455"/>
      <c r="DNO14" s="455"/>
      <c r="DNP14" s="1144"/>
      <c r="DNQ14" s="1614"/>
      <c r="DNR14" s="455"/>
      <c r="DNS14" s="455"/>
      <c r="DNT14" s="455"/>
      <c r="DNU14" s="455"/>
      <c r="DNV14" s="455"/>
      <c r="DNW14" s="455"/>
      <c r="DNX14" s="455"/>
      <c r="DNY14" s="455"/>
      <c r="DNZ14" s="455"/>
      <c r="DOA14" s="455"/>
      <c r="DOB14" s="1144"/>
      <c r="DOC14" s="1614"/>
      <c r="DOD14" s="455"/>
      <c r="DOE14" s="455"/>
      <c r="DOF14" s="455"/>
      <c r="DOG14" s="455"/>
      <c r="DOH14" s="455"/>
      <c r="DOI14" s="455"/>
      <c r="DOJ14" s="455"/>
      <c r="DOK14" s="455"/>
      <c r="DOL14" s="455"/>
      <c r="DOM14" s="455"/>
      <c r="DON14" s="1144"/>
      <c r="DOO14" s="1614"/>
      <c r="DOP14" s="455"/>
      <c r="DOQ14" s="455"/>
      <c r="DOR14" s="455"/>
      <c r="DOS14" s="455"/>
      <c r="DOT14" s="455"/>
      <c r="DOU14" s="455"/>
      <c r="DOV14" s="455"/>
      <c r="DOW14" s="455"/>
      <c r="DOX14" s="455"/>
      <c r="DOY14" s="455"/>
      <c r="DOZ14" s="1144"/>
      <c r="DPA14" s="1614"/>
      <c r="DPB14" s="455"/>
      <c r="DPC14" s="455"/>
      <c r="DPD14" s="455"/>
      <c r="DPE14" s="455"/>
      <c r="DPF14" s="455"/>
      <c r="DPG14" s="455"/>
      <c r="DPH14" s="455"/>
      <c r="DPI14" s="455"/>
      <c r="DPJ14" s="455"/>
      <c r="DPK14" s="455"/>
      <c r="DPL14" s="1144"/>
      <c r="DPM14" s="1614"/>
      <c r="DPN14" s="455"/>
      <c r="DPO14" s="455"/>
      <c r="DPP14" s="455"/>
      <c r="DPQ14" s="455"/>
      <c r="DPR14" s="455"/>
      <c r="DPS14" s="455"/>
      <c r="DPT14" s="455"/>
      <c r="DPU14" s="455"/>
      <c r="DPV14" s="455"/>
      <c r="DPW14" s="455"/>
      <c r="DPX14" s="1144"/>
      <c r="DPY14" s="1614"/>
      <c r="DPZ14" s="455"/>
      <c r="DQA14" s="455"/>
      <c r="DQB14" s="455"/>
      <c r="DQC14" s="455"/>
      <c r="DQD14" s="455"/>
      <c r="DQE14" s="455"/>
      <c r="DQF14" s="455"/>
      <c r="DQG14" s="455"/>
      <c r="DQH14" s="455"/>
      <c r="DQI14" s="455"/>
      <c r="DQJ14" s="1144"/>
      <c r="DQK14" s="1614"/>
      <c r="DQL14" s="455"/>
      <c r="DQM14" s="455"/>
      <c r="DQN14" s="455"/>
      <c r="DQO14" s="455"/>
      <c r="DQP14" s="455"/>
      <c r="DQQ14" s="455"/>
      <c r="DQR14" s="455"/>
      <c r="DQS14" s="455"/>
      <c r="DQT14" s="455"/>
      <c r="DQU14" s="455"/>
      <c r="DQV14" s="1144"/>
      <c r="DQW14" s="1614"/>
      <c r="DQX14" s="455"/>
      <c r="DQY14" s="455"/>
      <c r="DQZ14" s="455"/>
      <c r="DRA14" s="455"/>
      <c r="DRB14" s="455"/>
      <c r="DRC14" s="455"/>
      <c r="DRD14" s="455"/>
      <c r="DRE14" s="455"/>
      <c r="DRF14" s="455"/>
      <c r="DRG14" s="455"/>
      <c r="DRH14" s="1144"/>
      <c r="DRI14" s="1614"/>
      <c r="DRJ14" s="455"/>
      <c r="DRK14" s="455"/>
      <c r="DRL14" s="455"/>
      <c r="DRM14" s="455"/>
      <c r="DRN14" s="455"/>
      <c r="DRO14" s="455"/>
      <c r="DRP14" s="455"/>
      <c r="DRQ14" s="455"/>
      <c r="DRR14" s="455"/>
      <c r="DRS14" s="455"/>
      <c r="DRT14" s="1144"/>
      <c r="DRU14" s="1614"/>
      <c r="DRV14" s="455"/>
      <c r="DRW14" s="455"/>
      <c r="DRX14" s="455"/>
      <c r="DRY14" s="455"/>
      <c r="DRZ14" s="455"/>
      <c r="DSA14" s="455"/>
      <c r="DSB14" s="455"/>
      <c r="DSC14" s="455"/>
      <c r="DSD14" s="455"/>
      <c r="DSE14" s="455"/>
      <c r="DSF14" s="1144"/>
      <c r="DSG14" s="1614"/>
      <c r="DSH14" s="455"/>
      <c r="DSI14" s="455"/>
      <c r="DSJ14" s="455"/>
      <c r="DSK14" s="455"/>
      <c r="DSL14" s="455"/>
      <c r="DSM14" s="455"/>
      <c r="DSN14" s="455"/>
      <c r="DSO14" s="455"/>
      <c r="DSP14" s="455"/>
      <c r="DSQ14" s="455"/>
      <c r="DSR14" s="1144"/>
      <c r="DSS14" s="1614"/>
      <c r="DST14" s="455"/>
      <c r="DSU14" s="455"/>
      <c r="DSV14" s="455"/>
      <c r="DSW14" s="455"/>
      <c r="DSX14" s="455"/>
      <c r="DSY14" s="455"/>
      <c r="DSZ14" s="455"/>
      <c r="DTA14" s="455"/>
      <c r="DTB14" s="455"/>
      <c r="DTC14" s="455"/>
      <c r="DTD14" s="1144"/>
      <c r="DTE14" s="1614"/>
      <c r="DTF14" s="455"/>
      <c r="DTG14" s="455"/>
      <c r="DTH14" s="455"/>
      <c r="DTI14" s="455"/>
      <c r="DTJ14" s="455"/>
      <c r="DTK14" s="455"/>
      <c r="DTL14" s="455"/>
      <c r="DTM14" s="455"/>
      <c r="DTN14" s="455"/>
      <c r="DTO14" s="455"/>
      <c r="DTP14" s="1144"/>
      <c r="DTQ14" s="1614"/>
      <c r="DTR14" s="455"/>
      <c r="DTS14" s="455"/>
      <c r="DTT14" s="455"/>
      <c r="DTU14" s="455"/>
      <c r="DTV14" s="455"/>
      <c r="DTW14" s="455"/>
      <c r="DTX14" s="455"/>
      <c r="DTY14" s="455"/>
      <c r="DTZ14" s="455"/>
      <c r="DUA14" s="455"/>
      <c r="DUB14" s="1144"/>
      <c r="DUC14" s="1614"/>
      <c r="DUD14" s="455"/>
      <c r="DUE14" s="455"/>
      <c r="DUF14" s="455"/>
      <c r="DUG14" s="455"/>
      <c r="DUH14" s="455"/>
      <c r="DUI14" s="455"/>
      <c r="DUJ14" s="455"/>
      <c r="DUK14" s="455"/>
      <c r="DUL14" s="455"/>
      <c r="DUM14" s="455"/>
      <c r="DUN14" s="1144"/>
      <c r="DUO14" s="1614"/>
      <c r="DUP14" s="455"/>
      <c r="DUQ14" s="455"/>
      <c r="DUR14" s="455"/>
      <c r="DUS14" s="455"/>
      <c r="DUT14" s="455"/>
      <c r="DUU14" s="455"/>
      <c r="DUV14" s="455"/>
      <c r="DUW14" s="455"/>
      <c r="DUX14" s="455"/>
      <c r="DUY14" s="455"/>
      <c r="DUZ14" s="1144"/>
      <c r="DVA14" s="1614"/>
      <c r="DVB14" s="455"/>
      <c r="DVC14" s="455"/>
      <c r="DVD14" s="455"/>
      <c r="DVE14" s="455"/>
      <c r="DVF14" s="455"/>
      <c r="DVG14" s="455"/>
      <c r="DVH14" s="455"/>
      <c r="DVI14" s="455"/>
      <c r="DVJ14" s="455"/>
      <c r="DVK14" s="455"/>
      <c r="DVL14" s="1144"/>
      <c r="DVM14" s="1614"/>
      <c r="DVN14" s="455"/>
      <c r="DVO14" s="455"/>
      <c r="DVP14" s="455"/>
      <c r="DVQ14" s="455"/>
      <c r="DVR14" s="455"/>
      <c r="DVS14" s="455"/>
      <c r="DVT14" s="455"/>
      <c r="DVU14" s="455"/>
      <c r="DVV14" s="455"/>
      <c r="DVW14" s="455"/>
      <c r="DVX14" s="1144"/>
      <c r="DVY14" s="1614"/>
      <c r="DVZ14" s="455"/>
      <c r="DWA14" s="455"/>
      <c r="DWB14" s="455"/>
      <c r="DWC14" s="455"/>
      <c r="DWD14" s="455"/>
      <c r="DWE14" s="455"/>
      <c r="DWF14" s="455"/>
      <c r="DWG14" s="455"/>
      <c r="DWH14" s="455"/>
      <c r="DWI14" s="455"/>
      <c r="DWJ14" s="1144"/>
      <c r="DWK14" s="1614"/>
      <c r="DWL14" s="455"/>
      <c r="DWM14" s="455"/>
      <c r="DWN14" s="455"/>
      <c r="DWO14" s="455"/>
      <c r="DWP14" s="455"/>
      <c r="DWQ14" s="455"/>
      <c r="DWR14" s="455"/>
      <c r="DWS14" s="455"/>
      <c r="DWT14" s="455"/>
      <c r="DWU14" s="455"/>
      <c r="DWV14" s="1144"/>
      <c r="DWW14" s="1614"/>
      <c r="DWX14" s="455"/>
      <c r="DWY14" s="455"/>
      <c r="DWZ14" s="455"/>
      <c r="DXA14" s="455"/>
      <c r="DXB14" s="455"/>
      <c r="DXC14" s="455"/>
      <c r="DXD14" s="455"/>
      <c r="DXE14" s="455"/>
      <c r="DXF14" s="455"/>
      <c r="DXG14" s="455"/>
      <c r="DXH14" s="1144"/>
      <c r="DXI14" s="1614"/>
      <c r="DXJ14" s="455"/>
      <c r="DXK14" s="455"/>
      <c r="DXL14" s="455"/>
      <c r="DXM14" s="455"/>
      <c r="DXN14" s="455"/>
      <c r="DXO14" s="455"/>
      <c r="DXP14" s="455"/>
      <c r="DXQ14" s="455"/>
      <c r="DXR14" s="455"/>
      <c r="DXS14" s="455"/>
      <c r="DXT14" s="1144"/>
      <c r="DXU14" s="1614"/>
      <c r="DXV14" s="455"/>
      <c r="DXW14" s="455"/>
      <c r="DXX14" s="455"/>
      <c r="DXY14" s="455"/>
      <c r="DXZ14" s="455"/>
      <c r="DYA14" s="455"/>
      <c r="DYB14" s="455"/>
      <c r="DYC14" s="455"/>
      <c r="DYD14" s="455"/>
      <c r="DYE14" s="455"/>
      <c r="DYF14" s="1144"/>
      <c r="DYG14" s="1614"/>
      <c r="DYH14" s="455"/>
      <c r="DYI14" s="455"/>
      <c r="DYJ14" s="455"/>
      <c r="DYK14" s="455"/>
      <c r="DYL14" s="455"/>
      <c r="DYM14" s="455"/>
      <c r="DYN14" s="455"/>
      <c r="DYO14" s="455"/>
      <c r="DYP14" s="455"/>
      <c r="DYQ14" s="455"/>
      <c r="DYR14" s="1144"/>
      <c r="DYS14" s="1614"/>
      <c r="DYT14" s="455"/>
      <c r="DYU14" s="455"/>
      <c r="DYV14" s="455"/>
      <c r="DYW14" s="455"/>
      <c r="DYX14" s="455"/>
      <c r="DYY14" s="455"/>
      <c r="DYZ14" s="455"/>
      <c r="DZA14" s="455"/>
      <c r="DZB14" s="455"/>
      <c r="DZC14" s="455"/>
      <c r="DZD14" s="1144"/>
      <c r="DZE14" s="1614"/>
      <c r="DZF14" s="455"/>
      <c r="DZG14" s="455"/>
      <c r="DZH14" s="455"/>
      <c r="DZI14" s="455"/>
      <c r="DZJ14" s="455"/>
      <c r="DZK14" s="455"/>
      <c r="DZL14" s="455"/>
      <c r="DZM14" s="455"/>
      <c r="DZN14" s="455"/>
      <c r="DZO14" s="455"/>
      <c r="DZP14" s="1144"/>
      <c r="DZQ14" s="1614"/>
      <c r="DZR14" s="455"/>
      <c r="DZS14" s="455"/>
      <c r="DZT14" s="455"/>
      <c r="DZU14" s="455"/>
      <c r="DZV14" s="455"/>
      <c r="DZW14" s="455"/>
      <c r="DZX14" s="455"/>
      <c r="DZY14" s="455"/>
      <c r="DZZ14" s="455"/>
      <c r="EAA14" s="455"/>
      <c r="EAB14" s="1144"/>
      <c r="EAC14" s="1614"/>
      <c r="EAD14" s="455"/>
      <c r="EAE14" s="455"/>
      <c r="EAF14" s="455"/>
      <c r="EAG14" s="455"/>
      <c r="EAH14" s="455"/>
      <c r="EAI14" s="455"/>
      <c r="EAJ14" s="455"/>
      <c r="EAK14" s="455"/>
      <c r="EAL14" s="455"/>
      <c r="EAM14" s="455"/>
      <c r="EAN14" s="1144"/>
      <c r="EAO14" s="1614"/>
      <c r="EAP14" s="455"/>
      <c r="EAQ14" s="455"/>
      <c r="EAR14" s="455"/>
      <c r="EAS14" s="455"/>
      <c r="EAT14" s="455"/>
      <c r="EAU14" s="455"/>
      <c r="EAV14" s="455"/>
      <c r="EAW14" s="455"/>
      <c r="EAX14" s="455"/>
      <c r="EAY14" s="455"/>
      <c r="EAZ14" s="1144"/>
      <c r="EBA14" s="1614"/>
      <c r="EBB14" s="455"/>
      <c r="EBC14" s="455"/>
      <c r="EBD14" s="455"/>
      <c r="EBE14" s="455"/>
      <c r="EBF14" s="455"/>
      <c r="EBG14" s="455"/>
      <c r="EBH14" s="455"/>
      <c r="EBI14" s="455"/>
      <c r="EBJ14" s="455"/>
      <c r="EBK14" s="455"/>
      <c r="EBL14" s="1144"/>
      <c r="EBM14" s="1614"/>
      <c r="EBN14" s="455"/>
      <c r="EBO14" s="455"/>
      <c r="EBP14" s="455"/>
      <c r="EBQ14" s="455"/>
      <c r="EBR14" s="455"/>
      <c r="EBS14" s="455"/>
      <c r="EBT14" s="455"/>
      <c r="EBU14" s="455"/>
      <c r="EBV14" s="455"/>
      <c r="EBW14" s="455"/>
      <c r="EBX14" s="1144"/>
      <c r="EBY14" s="1614"/>
      <c r="EBZ14" s="455"/>
      <c r="ECA14" s="455"/>
      <c r="ECB14" s="455"/>
      <c r="ECC14" s="455"/>
      <c r="ECD14" s="455"/>
      <c r="ECE14" s="455"/>
      <c r="ECF14" s="455"/>
      <c r="ECG14" s="455"/>
      <c r="ECH14" s="455"/>
      <c r="ECI14" s="455"/>
      <c r="ECJ14" s="1144"/>
      <c r="ECK14" s="1614"/>
      <c r="ECL14" s="455"/>
      <c r="ECM14" s="455"/>
      <c r="ECN14" s="455"/>
      <c r="ECO14" s="455"/>
      <c r="ECP14" s="455"/>
      <c r="ECQ14" s="455"/>
      <c r="ECR14" s="455"/>
      <c r="ECS14" s="455"/>
      <c r="ECT14" s="455"/>
      <c r="ECU14" s="455"/>
      <c r="ECV14" s="1144"/>
      <c r="ECW14" s="1614"/>
      <c r="ECX14" s="455"/>
      <c r="ECY14" s="455"/>
      <c r="ECZ14" s="455"/>
      <c r="EDA14" s="455"/>
      <c r="EDB14" s="455"/>
      <c r="EDC14" s="455"/>
      <c r="EDD14" s="455"/>
      <c r="EDE14" s="455"/>
      <c r="EDF14" s="455"/>
      <c r="EDG14" s="455"/>
      <c r="EDH14" s="1144"/>
      <c r="EDI14" s="1614"/>
      <c r="EDJ14" s="455"/>
      <c r="EDK14" s="455"/>
      <c r="EDL14" s="455"/>
      <c r="EDM14" s="455"/>
      <c r="EDN14" s="455"/>
      <c r="EDO14" s="455"/>
      <c r="EDP14" s="455"/>
      <c r="EDQ14" s="455"/>
      <c r="EDR14" s="455"/>
      <c r="EDS14" s="455"/>
      <c r="EDT14" s="1144"/>
      <c r="EDU14" s="1614"/>
      <c r="EDV14" s="455"/>
      <c r="EDW14" s="455"/>
      <c r="EDX14" s="455"/>
      <c r="EDY14" s="455"/>
      <c r="EDZ14" s="455"/>
      <c r="EEA14" s="455"/>
      <c r="EEB14" s="455"/>
      <c r="EEC14" s="455"/>
      <c r="EED14" s="455"/>
      <c r="EEE14" s="455"/>
      <c r="EEF14" s="1144"/>
      <c r="EEG14" s="1614"/>
      <c r="EEH14" s="455"/>
      <c r="EEI14" s="455"/>
      <c r="EEJ14" s="455"/>
      <c r="EEK14" s="455"/>
      <c r="EEL14" s="455"/>
      <c r="EEM14" s="455"/>
      <c r="EEN14" s="455"/>
      <c r="EEO14" s="455"/>
      <c r="EEP14" s="455"/>
      <c r="EEQ14" s="455"/>
      <c r="EER14" s="1144"/>
      <c r="EES14" s="1614"/>
      <c r="EET14" s="455"/>
      <c r="EEU14" s="455"/>
      <c r="EEV14" s="455"/>
      <c r="EEW14" s="455"/>
      <c r="EEX14" s="455"/>
      <c r="EEY14" s="455"/>
      <c r="EEZ14" s="455"/>
      <c r="EFA14" s="455"/>
      <c r="EFB14" s="455"/>
      <c r="EFC14" s="455"/>
      <c r="EFD14" s="1144"/>
      <c r="EFE14" s="1614"/>
      <c r="EFF14" s="455"/>
      <c r="EFG14" s="455"/>
      <c r="EFH14" s="455"/>
      <c r="EFI14" s="455"/>
      <c r="EFJ14" s="455"/>
      <c r="EFK14" s="455"/>
      <c r="EFL14" s="455"/>
      <c r="EFM14" s="455"/>
      <c r="EFN14" s="455"/>
      <c r="EFO14" s="455"/>
      <c r="EFP14" s="1144"/>
      <c r="EFQ14" s="1614"/>
      <c r="EFR14" s="455"/>
      <c r="EFS14" s="455"/>
      <c r="EFT14" s="455"/>
      <c r="EFU14" s="455"/>
      <c r="EFV14" s="455"/>
      <c r="EFW14" s="455"/>
      <c r="EFX14" s="455"/>
      <c r="EFY14" s="455"/>
      <c r="EFZ14" s="455"/>
      <c r="EGA14" s="455"/>
      <c r="EGB14" s="1144"/>
      <c r="EGC14" s="1614"/>
      <c r="EGD14" s="455"/>
      <c r="EGE14" s="455"/>
      <c r="EGF14" s="455"/>
      <c r="EGG14" s="455"/>
      <c r="EGH14" s="455"/>
      <c r="EGI14" s="455"/>
      <c r="EGJ14" s="455"/>
      <c r="EGK14" s="455"/>
      <c r="EGL14" s="455"/>
      <c r="EGM14" s="455"/>
      <c r="EGN14" s="1144"/>
      <c r="EGO14" s="1614"/>
      <c r="EGP14" s="455"/>
      <c r="EGQ14" s="455"/>
      <c r="EGR14" s="455"/>
      <c r="EGS14" s="455"/>
      <c r="EGT14" s="455"/>
      <c r="EGU14" s="455"/>
      <c r="EGV14" s="455"/>
      <c r="EGW14" s="455"/>
      <c r="EGX14" s="455"/>
      <c r="EGY14" s="455"/>
      <c r="EGZ14" s="1144"/>
      <c r="EHA14" s="1614"/>
      <c r="EHB14" s="455"/>
      <c r="EHC14" s="455"/>
      <c r="EHD14" s="455"/>
      <c r="EHE14" s="455"/>
      <c r="EHF14" s="455"/>
      <c r="EHG14" s="455"/>
      <c r="EHH14" s="455"/>
      <c r="EHI14" s="455"/>
      <c r="EHJ14" s="455"/>
      <c r="EHK14" s="455"/>
      <c r="EHL14" s="1144"/>
      <c r="EHM14" s="1614"/>
      <c r="EHN14" s="455"/>
      <c r="EHO14" s="455"/>
      <c r="EHP14" s="455"/>
      <c r="EHQ14" s="455"/>
      <c r="EHR14" s="455"/>
      <c r="EHS14" s="455"/>
      <c r="EHT14" s="455"/>
      <c r="EHU14" s="455"/>
      <c r="EHV14" s="455"/>
      <c r="EHW14" s="455"/>
      <c r="EHX14" s="1144"/>
      <c r="EHY14" s="1614"/>
      <c r="EHZ14" s="455"/>
      <c r="EIA14" s="455"/>
      <c r="EIB14" s="455"/>
      <c r="EIC14" s="455"/>
      <c r="EID14" s="455"/>
      <c r="EIE14" s="455"/>
      <c r="EIF14" s="455"/>
      <c r="EIG14" s="455"/>
      <c r="EIH14" s="455"/>
      <c r="EII14" s="455"/>
      <c r="EIJ14" s="1144"/>
      <c r="EIK14" s="1614"/>
      <c r="EIL14" s="455"/>
      <c r="EIM14" s="455"/>
      <c r="EIN14" s="455"/>
      <c r="EIO14" s="455"/>
      <c r="EIP14" s="455"/>
      <c r="EIQ14" s="455"/>
      <c r="EIR14" s="455"/>
      <c r="EIS14" s="455"/>
      <c r="EIT14" s="455"/>
      <c r="EIU14" s="455"/>
      <c r="EIV14" s="1144"/>
      <c r="EIW14" s="1614"/>
      <c r="EIX14" s="455"/>
      <c r="EIY14" s="455"/>
      <c r="EIZ14" s="455"/>
      <c r="EJA14" s="455"/>
      <c r="EJB14" s="455"/>
      <c r="EJC14" s="455"/>
      <c r="EJD14" s="455"/>
      <c r="EJE14" s="455"/>
      <c r="EJF14" s="455"/>
      <c r="EJG14" s="455"/>
      <c r="EJH14" s="1144"/>
      <c r="EJI14" s="1614"/>
      <c r="EJJ14" s="455"/>
      <c r="EJK14" s="455"/>
      <c r="EJL14" s="455"/>
      <c r="EJM14" s="455"/>
      <c r="EJN14" s="455"/>
      <c r="EJO14" s="455"/>
      <c r="EJP14" s="455"/>
      <c r="EJQ14" s="455"/>
      <c r="EJR14" s="455"/>
      <c r="EJS14" s="455"/>
      <c r="EJT14" s="1144"/>
      <c r="EJU14" s="1614"/>
      <c r="EJV14" s="455"/>
      <c r="EJW14" s="455"/>
      <c r="EJX14" s="455"/>
      <c r="EJY14" s="455"/>
      <c r="EJZ14" s="455"/>
      <c r="EKA14" s="455"/>
      <c r="EKB14" s="455"/>
      <c r="EKC14" s="455"/>
      <c r="EKD14" s="455"/>
      <c r="EKE14" s="455"/>
      <c r="EKF14" s="1144"/>
      <c r="EKG14" s="1614"/>
      <c r="EKH14" s="455"/>
      <c r="EKI14" s="455"/>
      <c r="EKJ14" s="455"/>
      <c r="EKK14" s="455"/>
      <c r="EKL14" s="455"/>
      <c r="EKM14" s="455"/>
      <c r="EKN14" s="455"/>
      <c r="EKO14" s="455"/>
      <c r="EKP14" s="455"/>
      <c r="EKQ14" s="455"/>
      <c r="EKR14" s="1144"/>
      <c r="EKS14" s="1614"/>
      <c r="EKT14" s="455"/>
      <c r="EKU14" s="455"/>
      <c r="EKV14" s="455"/>
      <c r="EKW14" s="455"/>
      <c r="EKX14" s="455"/>
      <c r="EKY14" s="455"/>
      <c r="EKZ14" s="455"/>
      <c r="ELA14" s="455"/>
      <c r="ELB14" s="455"/>
      <c r="ELC14" s="455"/>
      <c r="ELD14" s="1144"/>
      <c r="ELE14" s="1614"/>
      <c r="ELF14" s="455"/>
      <c r="ELG14" s="455"/>
      <c r="ELH14" s="455"/>
      <c r="ELI14" s="455"/>
      <c r="ELJ14" s="455"/>
      <c r="ELK14" s="455"/>
      <c r="ELL14" s="455"/>
      <c r="ELM14" s="455"/>
      <c r="ELN14" s="455"/>
      <c r="ELO14" s="455"/>
      <c r="ELP14" s="1144"/>
      <c r="ELQ14" s="1614"/>
      <c r="ELR14" s="455"/>
      <c r="ELS14" s="455"/>
      <c r="ELT14" s="455"/>
      <c r="ELU14" s="455"/>
      <c r="ELV14" s="455"/>
      <c r="ELW14" s="455"/>
      <c r="ELX14" s="455"/>
      <c r="ELY14" s="455"/>
      <c r="ELZ14" s="455"/>
      <c r="EMA14" s="455"/>
      <c r="EMB14" s="1144"/>
      <c r="EMC14" s="1614"/>
      <c r="EMD14" s="455"/>
      <c r="EME14" s="455"/>
      <c r="EMF14" s="455"/>
      <c r="EMG14" s="455"/>
      <c r="EMH14" s="455"/>
      <c r="EMI14" s="455"/>
      <c r="EMJ14" s="455"/>
      <c r="EMK14" s="455"/>
      <c r="EML14" s="455"/>
      <c r="EMM14" s="455"/>
      <c r="EMN14" s="1144"/>
      <c r="EMO14" s="1614"/>
      <c r="EMP14" s="455"/>
      <c r="EMQ14" s="455"/>
      <c r="EMR14" s="455"/>
      <c r="EMS14" s="455"/>
      <c r="EMT14" s="455"/>
      <c r="EMU14" s="455"/>
      <c r="EMV14" s="455"/>
      <c r="EMW14" s="455"/>
      <c r="EMX14" s="455"/>
      <c r="EMY14" s="455"/>
      <c r="EMZ14" s="1144"/>
      <c r="ENA14" s="1614"/>
      <c r="ENB14" s="455"/>
      <c r="ENC14" s="455"/>
      <c r="END14" s="455"/>
      <c r="ENE14" s="455"/>
      <c r="ENF14" s="455"/>
      <c r="ENG14" s="455"/>
      <c r="ENH14" s="455"/>
      <c r="ENI14" s="455"/>
      <c r="ENJ14" s="455"/>
      <c r="ENK14" s="455"/>
      <c r="ENL14" s="1144"/>
      <c r="ENM14" s="1614"/>
      <c r="ENN14" s="455"/>
      <c r="ENO14" s="455"/>
      <c r="ENP14" s="455"/>
      <c r="ENQ14" s="455"/>
      <c r="ENR14" s="455"/>
      <c r="ENS14" s="455"/>
      <c r="ENT14" s="455"/>
      <c r="ENU14" s="455"/>
      <c r="ENV14" s="455"/>
      <c r="ENW14" s="455"/>
      <c r="ENX14" s="1144"/>
      <c r="ENY14" s="1614"/>
      <c r="ENZ14" s="455"/>
      <c r="EOA14" s="455"/>
      <c r="EOB14" s="455"/>
      <c r="EOC14" s="455"/>
      <c r="EOD14" s="455"/>
      <c r="EOE14" s="455"/>
      <c r="EOF14" s="455"/>
      <c r="EOG14" s="455"/>
      <c r="EOH14" s="455"/>
      <c r="EOI14" s="455"/>
      <c r="EOJ14" s="1144"/>
      <c r="EOK14" s="1614"/>
      <c r="EOL14" s="455"/>
      <c r="EOM14" s="455"/>
      <c r="EON14" s="455"/>
      <c r="EOO14" s="455"/>
      <c r="EOP14" s="455"/>
      <c r="EOQ14" s="455"/>
      <c r="EOR14" s="455"/>
      <c r="EOS14" s="455"/>
      <c r="EOT14" s="455"/>
      <c r="EOU14" s="455"/>
      <c r="EOV14" s="1144"/>
      <c r="EOW14" s="1614"/>
      <c r="EOX14" s="455"/>
      <c r="EOY14" s="455"/>
      <c r="EOZ14" s="455"/>
      <c r="EPA14" s="455"/>
      <c r="EPB14" s="455"/>
      <c r="EPC14" s="455"/>
      <c r="EPD14" s="455"/>
      <c r="EPE14" s="455"/>
      <c r="EPF14" s="455"/>
      <c r="EPG14" s="455"/>
      <c r="EPH14" s="1144"/>
      <c r="EPI14" s="1614"/>
      <c r="EPJ14" s="455"/>
      <c r="EPK14" s="455"/>
      <c r="EPL14" s="455"/>
      <c r="EPM14" s="455"/>
      <c r="EPN14" s="455"/>
      <c r="EPO14" s="455"/>
      <c r="EPP14" s="455"/>
      <c r="EPQ14" s="455"/>
      <c r="EPR14" s="455"/>
      <c r="EPS14" s="455"/>
      <c r="EPT14" s="1144"/>
      <c r="EPU14" s="1614"/>
      <c r="EPV14" s="455"/>
      <c r="EPW14" s="455"/>
      <c r="EPX14" s="455"/>
      <c r="EPY14" s="455"/>
      <c r="EPZ14" s="455"/>
      <c r="EQA14" s="455"/>
      <c r="EQB14" s="455"/>
      <c r="EQC14" s="455"/>
      <c r="EQD14" s="455"/>
      <c r="EQE14" s="455"/>
      <c r="EQF14" s="1144"/>
      <c r="EQG14" s="1614"/>
      <c r="EQH14" s="455"/>
      <c r="EQI14" s="455"/>
      <c r="EQJ14" s="455"/>
      <c r="EQK14" s="455"/>
      <c r="EQL14" s="455"/>
      <c r="EQM14" s="455"/>
      <c r="EQN14" s="455"/>
      <c r="EQO14" s="455"/>
      <c r="EQP14" s="455"/>
      <c r="EQQ14" s="455"/>
      <c r="EQR14" s="1144"/>
      <c r="EQS14" s="1614"/>
      <c r="EQT14" s="455"/>
      <c r="EQU14" s="455"/>
      <c r="EQV14" s="455"/>
      <c r="EQW14" s="455"/>
      <c r="EQX14" s="455"/>
      <c r="EQY14" s="455"/>
      <c r="EQZ14" s="455"/>
      <c r="ERA14" s="455"/>
      <c r="ERB14" s="455"/>
      <c r="ERC14" s="455"/>
      <c r="ERD14" s="1144"/>
      <c r="ERE14" s="1614"/>
      <c r="ERF14" s="455"/>
      <c r="ERG14" s="455"/>
      <c r="ERH14" s="455"/>
      <c r="ERI14" s="455"/>
      <c r="ERJ14" s="455"/>
      <c r="ERK14" s="455"/>
      <c r="ERL14" s="455"/>
      <c r="ERM14" s="455"/>
      <c r="ERN14" s="455"/>
      <c r="ERO14" s="455"/>
      <c r="ERP14" s="1144"/>
      <c r="ERQ14" s="1614"/>
      <c r="ERR14" s="455"/>
      <c r="ERS14" s="455"/>
      <c r="ERT14" s="455"/>
      <c r="ERU14" s="455"/>
      <c r="ERV14" s="455"/>
      <c r="ERW14" s="455"/>
      <c r="ERX14" s="455"/>
      <c r="ERY14" s="455"/>
      <c r="ERZ14" s="455"/>
      <c r="ESA14" s="455"/>
      <c r="ESB14" s="1144"/>
      <c r="ESC14" s="1614"/>
      <c r="ESD14" s="455"/>
      <c r="ESE14" s="455"/>
      <c r="ESF14" s="455"/>
      <c r="ESG14" s="455"/>
      <c r="ESH14" s="455"/>
      <c r="ESI14" s="455"/>
      <c r="ESJ14" s="455"/>
      <c r="ESK14" s="455"/>
      <c r="ESL14" s="455"/>
      <c r="ESM14" s="455"/>
      <c r="ESN14" s="1144"/>
      <c r="ESO14" s="1614"/>
      <c r="ESP14" s="455"/>
      <c r="ESQ14" s="455"/>
      <c r="ESR14" s="455"/>
      <c r="ESS14" s="455"/>
      <c r="EST14" s="455"/>
      <c r="ESU14" s="455"/>
      <c r="ESV14" s="455"/>
      <c r="ESW14" s="455"/>
      <c r="ESX14" s="455"/>
      <c r="ESY14" s="455"/>
      <c r="ESZ14" s="1144"/>
      <c r="ETA14" s="1614"/>
      <c r="ETB14" s="455"/>
      <c r="ETC14" s="455"/>
      <c r="ETD14" s="455"/>
      <c r="ETE14" s="455"/>
      <c r="ETF14" s="455"/>
      <c r="ETG14" s="455"/>
      <c r="ETH14" s="455"/>
      <c r="ETI14" s="455"/>
      <c r="ETJ14" s="455"/>
      <c r="ETK14" s="455"/>
      <c r="ETL14" s="1144"/>
      <c r="ETM14" s="1614"/>
      <c r="ETN14" s="455"/>
      <c r="ETO14" s="455"/>
      <c r="ETP14" s="455"/>
      <c r="ETQ14" s="455"/>
      <c r="ETR14" s="455"/>
      <c r="ETS14" s="455"/>
      <c r="ETT14" s="455"/>
      <c r="ETU14" s="455"/>
      <c r="ETV14" s="455"/>
      <c r="ETW14" s="455"/>
      <c r="ETX14" s="1144"/>
      <c r="ETY14" s="1614"/>
      <c r="ETZ14" s="455"/>
      <c r="EUA14" s="455"/>
      <c r="EUB14" s="455"/>
      <c r="EUC14" s="455"/>
      <c r="EUD14" s="455"/>
      <c r="EUE14" s="455"/>
      <c r="EUF14" s="455"/>
      <c r="EUG14" s="455"/>
      <c r="EUH14" s="455"/>
      <c r="EUI14" s="455"/>
      <c r="EUJ14" s="1144"/>
      <c r="EUK14" s="1614"/>
      <c r="EUL14" s="455"/>
      <c r="EUM14" s="455"/>
      <c r="EUN14" s="455"/>
      <c r="EUO14" s="455"/>
      <c r="EUP14" s="455"/>
      <c r="EUQ14" s="455"/>
      <c r="EUR14" s="455"/>
      <c r="EUS14" s="455"/>
      <c r="EUT14" s="455"/>
      <c r="EUU14" s="455"/>
      <c r="EUV14" s="1144"/>
      <c r="EUW14" s="1614"/>
      <c r="EUX14" s="455"/>
      <c r="EUY14" s="455"/>
      <c r="EUZ14" s="455"/>
      <c r="EVA14" s="455"/>
      <c r="EVB14" s="455"/>
      <c r="EVC14" s="455"/>
      <c r="EVD14" s="455"/>
      <c r="EVE14" s="455"/>
      <c r="EVF14" s="455"/>
      <c r="EVG14" s="455"/>
      <c r="EVH14" s="1144"/>
      <c r="EVI14" s="1614"/>
      <c r="EVJ14" s="455"/>
      <c r="EVK14" s="455"/>
      <c r="EVL14" s="455"/>
      <c r="EVM14" s="455"/>
      <c r="EVN14" s="455"/>
      <c r="EVO14" s="455"/>
      <c r="EVP14" s="455"/>
      <c r="EVQ14" s="455"/>
      <c r="EVR14" s="455"/>
      <c r="EVS14" s="455"/>
      <c r="EVT14" s="1144"/>
      <c r="EVU14" s="1614"/>
      <c r="EVV14" s="455"/>
      <c r="EVW14" s="455"/>
      <c r="EVX14" s="455"/>
      <c r="EVY14" s="455"/>
      <c r="EVZ14" s="455"/>
      <c r="EWA14" s="455"/>
      <c r="EWB14" s="455"/>
      <c r="EWC14" s="455"/>
      <c r="EWD14" s="455"/>
      <c r="EWE14" s="455"/>
      <c r="EWF14" s="1144"/>
      <c r="EWG14" s="1614"/>
      <c r="EWH14" s="455"/>
      <c r="EWI14" s="455"/>
      <c r="EWJ14" s="455"/>
      <c r="EWK14" s="455"/>
      <c r="EWL14" s="455"/>
      <c r="EWM14" s="455"/>
      <c r="EWN14" s="455"/>
      <c r="EWO14" s="455"/>
      <c r="EWP14" s="455"/>
      <c r="EWQ14" s="455"/>
      <c r="EWR14" s="1144"/>
      <c r="EWS14" s="1614"/>
      <c r="EWT14" s="455"/>
      <c r="EWU14" s="455"/>
      <c r="EWV14" s="455"/>
      <c r="EWW14" s="455"/>
      <c r="EWX14" s="455"/>
      <c r="EWY14" s="455"/>
      <c r="EWZ14" s="455"/>
      <c r="EXA14" s="455"/>
      <c r="EXB14" s="455"/>
      <c r="EXC14" s="455"/>
      <c r="EXD14" s="1144"/>
      <c r="EXE14" s="1614"/>
      <c r="EXF14" s="455"/>
      <c r="EXG14" s="455"/>
      <c r="EXH14" s="455"/>
      <c r="EXI14" s="455"/>
      <c r="EXJ14" s="455"/>
      <c r="EXK14" s="455"/>
      <c r="EXL14" s="455"/>
      <c r="EXM14" s="455"/>
      <c r="EXN14" s="455"/>
      <c r="EXO14" s="455"/>
      <c r="EXP14" s="1144"/>
      <c r="EXQ14" s="1614"/>
      <c r="EXR14" s="455"/>
      <c r="EXS14" s="455"/>
      <c r="EXT14" s="455"/>
      <c r="EXU14" s="455"/>
      <c r="EXV14" s="455"/>
      <c r="EXW14" s="455"/>
      <c r="EXX14" s="455"/>
      <c r="EXY14" s="455"/>
      <c r="EXZ14" s="455"/>
      <c r="EYA14" s="455"/>
      <c r="EYB14" s="1144"/>
      <c r="EYC14" s="1614"/>
      <c r="EYD14" s="455"/>
      <c r="EYE14" s="455"/>
      <c r="EYF14" s="455"/>
      <c r="EYG14" s="455"/>
      <c r="EYH14" s="455"/>
      <c r="EYI14" s="455"/>
      <c r="EYJ14" s="455"/>
      <c r="EYK14" s="455"/>
      <c r="EYL14" s="455"/>
      <c r="EYM14" s="455"/>
      <c r="EYN14" s="1144"/>
      <c r="EYO14" s="1614"/>
      <c r="EYP14" s="455"/>
      <c r="EYQ14" s="455"/>
      <c r="EYR14" s="455"/>
      <c r="EYS14" s="455"/>
      <c r="EYT14" s="455"/>
      <c r="EYU14" s="455"/>
      <c r="EYV14" s="455"/>
      <c r="EYW14" s="455"/>
      <c r="EYX14" s="455"/>
      <c r="EYY14" s="455"/>
      <c r="EYZ14" s="1144"/>
      <c r="EZA14" s="1614"/>
      <c r="EZB14" s="455"/>
      <c r="EZC14" s="455"/>
      <c r="EZD14" s="455"/>
      <c r="EZE14" s="455"/>
      <c r="EZF14" s="455"/>
      <c r="EZG14" s="455"/>
      <c r="EZH14" s="455"/>
      <c r="EZI14" s="455"/>
      <c r="EZJ14" s="455"/>
      <c r="EZK14" s="455"/>
      <c r="EZL14" s="1144"/>
      <c r="EZM14" s="1614"/>
      <c r="EZN14" s="455"/>
      <c r="EZO14" s="455"/>
      <c r="EZP14" s="455"/>
      <c r="EZQ14" s="455"/>
      <c r="EZR14" s="455"/>
      <c r="EZS14" s="455"/>
      <c r="EZT14" s="455"/>
      <c r="EZU14" s="455"/>
      <c r="EZV14" s="455"/>
      <c r="EZW14" s="455"/>
      <c r="EZX14" s="1144"/>
      <c r="EZY14" s="1614"/>
      <c r="EZZ14" s="455"/>
      <c r="FAA14" s="455"/>
      <c r="FAB14" s="455"/>
      <c r="FAC14" s="455"/>
      <c r="FAD14" s="455"/>
      <c r="FAE14" s="455"/>
      <c r="FAF14" s="455"/>
      <c r="FAG14" s="455"/>
      <c r="FAH14" s="455"/>
      <c r="FAI14" s="455"/>
      <c r="FAJ14" s="1144"/>
      <c r="FAK14" s="1614"/>
      <c r="FAL14" s="455"/>
      <c r="FAM14" s="455"/>
      <c r="FAN14" s="455"/>
      <c r="FAO14" s="455"/>
      <c r="FAP14" s="455"/>
      <c r="FAQ14" s="455"/>
      <c r="FAR14" s="455"/>
      <c r="FAS14" s="455"/>
      <c r="FAT14" s="455"/>
      <c r="FAU14" s="455"/>
      <c r="FAV14" s="1144"/>
      <c r="FAW14" s="1614"/>
      <c r="FAX14" s="455"/>
      <c r="FAY14" s="455"/>
      <c r="FAZ14" s="455"/>
      <c r="FBA14" s="455"/>
      <c r="FBB14" s="455"/>
      <c r="FBC14" s="455"/>
      <c r="FBD14" s="455"/>
      <c r="FBE14" s="455"/>
      <c r="FBF14" s="455"/>
      <c r="FBG14" s="455"/>
      <c r="FBH14" s="1144"/>
      <c r="FBI14" s="1614"/>
      <c r="FBJ14" s="455"/>
      <c r="FBK14" s="455"/>
      <c r="FBL14" s="455"/>
      <c r="FBM14" s="455"/>
      <c r="FBN14" s="455"/>
      <c r="FBO14" s="455"/>
      <c r="FBP14" s="455"/>
      <c r="FBQ14" s="455"/>
      <c r="FBR14" s="455"/>
      <c r="FBS14" s="455"/>
      <c r="FBT14" s="1144"/>
      <c r="FBU14" s="1614"/>
      <c r="FBV14" s="455"/>
      <c r="FBW14" s="455"/>
      <c r="FBX14" s="455"/>
      <c r="FBY14" s="455"/>
      <c r="FBZ14" s="455"/>
      <c r="FCA14" s="455"/>
      <c r="FCB14" s="455"/>
      <c r="FCC14" s="455"/>
      <c r="FCD14" s="455"/>
      <c r="FCE14" s="455"/>
      <c r="FCF14" s="1144"/>
      <c r="FCG14" s="1614"/>
      <c r="FCH14" s="455"/>
      <c r="FCI14" s="455"/>
      <c r="FCJ14" s="455"/>
      <c r="FCK14" s="455"/>
      <c r="FCL14" s="455"/>
      <c r="FCM14" s="455"/>
      <c r="FCN14" s="455"/>
      <c r="FCO14" s="455"/>
      <c r="FCP14" s="455"/>
      <c r="FCQ14" s="455"/>
      <c r="FCR14" s="1144"/>
      <c r="FCS14" s="1614"/>
      <c r="FCT14" s="455"/>
      <c r="FCU14" s="455"/>
      <c r="FCV14" s="455"/>
      <c r="FCW14" s="455"/>
      <c r="FCX14" s="455"/>
      <c r="FCY14" s="455"/>
      <c r="FCZ14" s="455"/>
      <c r="FDA14" s="455"/>
      <c r="FDB14" s="455"/>
      <c r="FDC14" s="455"/>
      <c r="FDD14" s="1144"/>
      <c r="FDE14" s="1614"/>
      <c r="FDF14" s="455"/>
      <c r="FDG14" s="455"/>
      <c r="FDH14" s="455"/>
      <c r="FDI14" s="455"/>
      <c r="FDJ14" s="455"/>
      <c r="FDK14" s="455"/>
      <c r="FDL14" s="455"/>
      <c r="FDM14" s="455"/>
      <c r="FDN14" s="455"/>
      <c r="FDO14" s="455"/>
      <c r="FDP14" s="1144"/>
      <c r="FDQ14" s="1614"/>
      <c r="FDR14" s="455"/>
      <c r="FDS14" s="455"/>
      <c r="FDT14" s="455"/>
      <c r="FDU14" s="455"/>
      <c r="FDV14" s="455"/>
      <c r="FDW14" s="455"/>
      <c r="FDX14" s="455"/>
      <c r="FDY14" s="455"/>
      <c r="FDZ14" s="455"/>
      <c r="FEA14" s="455"/>
      <c r="FEB14" s="1144"/>
      <c r="FEC14" s="1614"/>
      <c r="FED14" s="455"/>
      <c r="FEE14" s="455"/>
      <c r="FEF14" s="455"/>
      <c r="FEG14" s="455"/>
      <c r="FEH14" s="455"/>
      <c r="FEI14" s="455"/>
      <c r="FEJ14" s="455"/>
      <c r="FEK14" s="455"/>
      <c r="FEL14" s="455"/>
      <c r="FEM14" s="455"/>
      <c r="FEN14" s="1144"/>
      <c r="FEO14" s="1614"/>
      <c r="FEP14" s="455"/>
      <c r="FEQ14" s="455"/>
      <c r="FER14" s="455"/>
      <c r="FES14" s="455"/>
      <c r="FET14" s="455"/>
      <c r="FEU14" s="455"/>
      <c r="FEV14" s="455"/>
      <c r="FEW14" s="455"/>
      <c r="FEX14" s="455"/>
      <c r="FEY14" s="455"/>
      <c r="FEZ14" s="1144"/>
      <c r="FFA14" s="1614"/>
      <c r="FFB14" s="455"/>
      <c r="FFC14" s="455"/>
      <c r="FFD14" s="455"/>
      <c r="FFE14" s="455"/>
      <c r="FFF14" s="455"/>
      <c r="FFG14" s="455"/>
      <c r="FFH14" s="455"/>
      <c r="FFI14" s="455"/>
      <c r="FFJ14" s="455"/>
      <c r="FFK14" s="455"/>
      <c r="FFL14" s="1144"/>
      <c r="FFM14" s="1614"/>
      <c r="FFN14" s="455"/>
      <c r="FFO14" s="455"/>
      <c r="FFP14" s="455"/>
      <c r="FFQ14" s="455"/>
      <c r="FFR14" s="455"/>
      <c r="FFS14" s="455"/>
      <c r="FFT14" s="455"/>
      <c r="FFU14" s="455"/>
      <c r="FFV14" s="455"/>
      <c r="FFW14" s="455"/>
      <c r="FFX14" s="1144"/>
      <c r="FFY14" s="1614"/>
      <c r="FFZ14" s="455"/>
      <c r="FGA14" s="455"/>
      <c r="FGB14" s="455"/>
      <c r="FGC14" s="455"/>
      <c r="FGD14" s="455"/>
      <c r="FGE14" s="455"/>
      <c r="FGF14" s="455"/>
      <c r="FGG14" s="455"/>
      <c r="FGH14" s="455"/>
      <c r="FGI14" s="455"/>
      <c r="FGJ14" s="1144"/>
      <c r="FGK14" s="1614"/>
      <c r="FGL14" s="455"/>
      <c r="FGM14" s="455"/>
      <c r="FGN14" s="455"/>
      <c r="FGO14" s="455"/>
      <c r="FGP14" s="455"/>
      <c r="FGQ14" s="455"/>
      <c r="FGR14" s="455"/>
      <c r="FGS14" s="455"/>
      <c r="FGT14" s="455"/>
      <c r="FGU14" s="455"/>
      <c r="FGV14" s="1144"/>
      <c r="FGW14" s="1614"/>
      <c r="FGX14" s="455"/>
      <c r="FGY14" s="455"/>
      <c r="FGZ14" s="455"/>
      <c r="FHA14" s="455"/>
      <c r="FHB14" s="455"/>
      <c r="FHC14" s="455"/>
      <c r="FHD14" s="455"/>
      <c r="FHE14" s="455"/>
      <c r="FHF14" s="455"/>
      <c r="FHG14" s="455"/>
      <c r="FHH14" s="1144"/>
      <c r="FHI14" s="1614"/>
      <c r="FHJ14" s="455"/>
      <c r="FHK14" s="455"/>
      <c r="FHL14" s="455"/>
      <c r="FHM14" s="455"/>
      <c r="FHN14" s="455"/>
      <c r="FHO14" s="455"/>
      <c r="FHP14" s="455"/>
      <c r="FHQ14" s="455"/>
      <c r="FHR14" s="455"/>
      <c r="FHS14" s="455"/>
      <c r="FHT14" s="1144"/>
      <c r="FHU14" s="1614"/>
      <c r="FHV14" s="455"/>
      <c r="FHW14" s="455"/>
      <c r="FHX14" s="455"/>
      <c r="FHY14" s="455"/>
      <c r="FHZ14" s="455"/>
      <c r="FIA14" s="455"/>
      <c r="FIB14" s="455"/>
      <c r="FIC14" s="455"/>
      <c r="FID14" s="455"/>
      <c r="FIE14" s="455"/>
      <c r="FIF14" s="1144"/>
      <c r="FIG14" s="1614"/>
      <c r="FIH14" s="455"/>
      <c r="FII14" s="455"/>
      <c r="FIJ14" s="455"/>
      <c r="FIK14" s="455"/>
      <c r="FIL14" s="455"/>
      <c r="FIM14" s="455"/>
      <c r="FIN14" s="455"/>
      <c r="FIO14" s="455"/>
      <c r="FIP14" s="455"/>
      <c r="FIQ14" s="455"/>
      <c r="FIR14" s="1144"/>
      <c r="FIS14" s="1614"/>
      <c r="FIT14" s="455"/>
      <c r="FIU14" s="455"/>
      <c r="FIV14" s="455"/>
      <c r="FIW14" s="455"/>
      <c r="FIX14" s="455"/>
      <c r="FIY14" s="455"/>
      <c r="FIZ14" s="455"/>
      <c r="FJA14" s="455"/>
      <c r="FJB14" s="455"/>
      <c r="FJC14" s="455"/>
      <c r="FJD14" s="1144"/>
      <c r="FJE14" s="1614"/>
      <c r="FJF14" s="455"/>
      <c r="FJG14" s="455"/>
      <c r="FJH14" s="455"/>
      <c r="FJI14" s="455"/>
      <c r="FJJ14" s="455"/>
      <c r="FJK14" s="455"/>
      <c r="FJL14" s="455"/>
      <c r="FJM14" s="455"/>
      <c r="FJN14" s="455"/>
      <c r="FJO14" s="455"/>
      <c r="FJP14" s="1144"/>
      <c r="FJQ14" s="1614"/>
      <c r="FJR14" s="455"/>
      <c r="FJS14" s="455"/>
      <c r="FJT14" s="455"/>
      <c r="FJU14" s="455"/>
      <c r="FJV14" s="455"/>
      <c r="FJW14" s="455"/>
      <c r="FJX14" s="455"/>
      <c r="FJY14" s="455"/>
      <c r="FJZ14" s="455"/>
      <c r="FKA14" s="455"/>
      <c r="FKB14" s="1144"/>
      <c r="FKC14" s="1614"/>
      <c r="FKD14" s="455"/>
      <c r="FKE14" s="455"/>
      <c r="FKF14" s="455"/>
      <c r="FKG14" s="455"/>
      <c r="FKH14" s="455"/>
      <c r="FKI14" s="455"/>
      <c r="FKJ14" s="455"/>
      <c r="FKK14" s="455"/>
      <c r="FKL14" s="455"/>
      <c r="FKM14" s="455"/>
      <c r="FKN14" s="1144"/>
      <c r="FKO14" s="1614"/>
      <c r="FKP14" s="455"/>
      <c r="FKQ14" s="455"/>
      <c r="FKR14" s="455"/>
      <c r="FKS14" s="455"/>
      <c r="FKT14" s="455"/>
      <c r="FKU14" s="455"/>
      <c r="FKV14" s="455"/>
      <c r="FKW14" s="455"/>
      <c r="FKX14" s="455"/>
      <c r="FKY14" s="455"/>
      <c r="FKZ14" s="1144"/>
      <c r="FLA14" s="1614"/>
      <c r="FLB14" s="455"/>
      <c r="FLC14" s="455"/>
      <c r="FLD14" s="455"/>
      <c r="FLE14" s="455"/>
      <c r="FLF14" s="455"/>
      <c r="FLG14" s="455"/>
      <c r="FLH14" s="455"/>
      <c r="FLI14" s="455"/>
      <c r="FLJ14" s="455"/>
      <c r="FLK14" s="455"/>
      <c r="FLL14" s="1144"/>
      <c r="FLM14" s="1614"/>
      <c r="FLN14" s="455"/>
      <c r="FLO14" s="455"/>
      <c r="FLP14" s="455"/>
      <c r="FLQ14" s="455"/>
      <c r="FLR14" s="455"/>
      <c r="FLS14" s="455"/>
      <c r="FLT14" s="455"/>
      <c r="FLU14" s="455"/>
      <c r="FLV14" s="455"/>
      <c r="FLW14" s="455"/>
      <c r="FLX14" s="1144"/>
      <c r="FLY14" s="1614"/>
      <c r="FLZ14" s="455"/>
      <c r="FMA14" s="455"/>
      <c r="FMB14" s="455"/>
      <c r="FMC14" s="455"/>
      <c r="FMD14" s="455"/>
      <c r="FME14" s="455"/>
      <c r="FMF14" s="455"/>
      <c r="FMG14" s="455"/>
      <c r="FMH14" s="455"/>
      <c r="FMI14" s="455"/>
      <c r="FMJ14" s="1144"/>
      <c r="FMK14" s="1614"/>
      <c r="FML14" s="455"/>
      <c r="FMM14" s="455"/>
      <c r="FMN14" s="455"/>
      <c r="FMO14" s="455"/>
      <c r="FMP14" s="455"/>
      <c r="FMQ14" s="455"/>
      <c r="FMR14" s="455"/>
      <c r="FMS14" s="455"/>
      <c r="FMT14" s="455"/>
      <c r="FMU14" s="455"/>
      <c r="FMV14" s="1144"/>
      <c r="FMW14" s="1614"/>
      <c r="FMX14" s="455"/>
      <c r="FMY14" s="455"/>
      <c r="FMZ14" s="455"/>
      <c r="FNA14" s="455"/>
      <c r="FNB14" s="455"/>
      <c r="FNC14" s="455"/>
      <c r="FND14" s="455"/>
      <c r="FNE14" s="455"/>
      <c r="FNF14" s="455"/>
      <c r="FNG14" s="455"/>
      <c r="FNH14" s="1144"/>
      <c r="FNI14" s="1614"/>
      <c r="FNJ14" s="455"/>
      <c r="FNK14" s="455"/>
      <c r="FNL14" s="455"/>
      <c r="FNM14" s="455"/>
      <c r="FNN14" s="455"/>
      <c r="FNO14" s="455"/>
      <c r="FNP14" s="455"/>
      <c r="FNQ14" s="455"/>
      <c r="FNR14" s="455"/>
      <c r="FNS14" s="455"/>
      <c r="FNT14" s="1144"/>
      <c r="FNU14" s="1614"/>
      <c r="FNV14" s="455"/>
      <c r="FNW14" s="455"/>
      <c r="FNX14" s="455"/>
      <c r="FNY14" s="455"/>
      <c r="FNZ14" s="455"/>
      <c r="FOA14" s="455"/>
      <c r="FOB14" s="455"/>
      <c r="FOC14" s="455"/>
      <c r="FOD14" s="455"/>
      <c r="FOE14" s="455"/>
      <c r="FOF14" s="1144"/>
      <c r="FOG14" s="1614"/>
      <c r="FOH14" s="455"/>
      <c r="FOI14" s="455"/>
      <c r="FOJ14" s="455"/>
      <c r="FOK14" s="455"/>
      <c r="FOL14" s="455"/>
      <c r="FOM14" s="455"/>
      <c r="FON14" s="455"/>
      <c r="FOO14" s="455"/>
      <c r="FOP14" s="455"/>
      <c r="FOQ14" s="455"/>
      <c r="FOR14" s="1144"/>
      <c r="FOS14" s="1614"/>
      <c r="FOT14" s="455"/>
      <c r="FOU14" s="455"/>
      <c r="FOV14" s="455"/>
      <c r="FOW14" s="455"/>
      <c r="FOX14" s="455"/>
      <c r="FOY14" s="455"/>
      <c r="FOZ14" s="455"/>
      <c r="FPA14" s="455"/>
      <c r="FPB14" s="455"/>
      <c r="FPC14" s="455"/>
      <c r="FPD14" s="1144"/>
      <c r="FPE14" s="1614"/>
      <c r="FPF14" s="455"/>
      <c r="FPG14" s="455"/>
      <c r="FPH14" s="455"/>
      <c r="FPI14" s="455"/>
      <c r="FPJ14" s="455"/>
      <c r="FPK14" s="455"/>
      <c r="FPL14" s="455"/>
      <c r="FPM14" s="455"/>
      <c r="FPN14" s="455"/>
      <c r="FPO14" s="455"/>
      <c r="FPP14" s="1144"/>
      <c r="FPQ14" s="1614"/>
      <c r="FPR14" s="455"/>
      <c r="FPS14" s="455"/>
      <c r="FPT14" s="455"/>
      <c r="FPU14" s="455"/>
      <c r="FPV14" s="455"/>
      <c r="FPW14" s="455"/>
      <c r="FPX14" s="455"/>
      <c r="FPY14" s="455"/>
      <c r="FPZ14" s="455"/>
      <c r="FQA14" s="455"/>
      <c r="FQB14" s="1144"/>
      <c r="FQC14" s="1614"/>
      <c r="FQD14" s="455"/>
      <c r="FQE14" s="455"/>
      <c r="FQF14" s="455"/>
      <c r="FQG14" s="455"/>
      <c r="FQH14" s="455"/>
      <c r="FQI14" s="455"/>
      <c r="FQJ14" s="455"/>
      <c r="FQK14" s="455"/>
      <c r="FQL14" s="455"/>
      <c r="FQM14" s="455"/>
      <c r="FQN14" s="1144"/>
      <c r="FQO14" s="1614"/>
      <c r="FQP14" s="455"/>
      <c r="FQQ14" s="455"/>
      <c r="FQR14" s="455"/>
      <c r="FQS14" s="455"/>
      <c r="FQT14" s="455"/>
      <c r="FQU14" s="455"/>
      <c r="FQV14" s="455"/>
      <c r="FQW14" s="455"/>
      <c r="FQX14" s="455"/>
      <c r="FQY14" s="455"/>
      <c r="FQZ14" s="1144"/>
      <c r="FRA14" s="1614"/>
      <c r="FRB14" s="455"/>
      <c r="FRC14" s="455"/>
      <c r="FRD14" s="455"/>
      <c r="FRE14" s="455"/>
      <c r="FRF14" s="455"/>
      <c r="FRG14" s="455"/>
      <c r="FRH14" s="455"/>
      <c r="FRI14" s="455"/>
      <c r="FRJ14" s="455"/>
      <c r="FRK14" s="455"/>
      <c r="FRL14" s="1144"/>
      <c r="FRM14" s="1614"/>
      <c r="FRN14" s="455"/>
      <c r="FRO14" s="455"/>
      <c r="FRP14" s="455"/>
      <c r="FRQ14" s="455"/>
      <c r="FRR14" s="455"/>
      <c r="FRS14" s="455"/>
      <c r="FRT14" s="455"/>
      <c r="FRU14" s="455"/>
      <c r="FRV14" s="455"/>
      <c r="FRW14" s="455"/>
      <c r="FRX14" s="1144"/>
      <c r="FRY14" s="1614"/>
      <c r="FRZ14" s="455"/>
      <c r="FSA14" s="455"/>
      <c r="FSB14" s="455"/>
      <c r="FSC14" s="455"/>
      <c r="FSD14" s="455"/>
      <c r="FSE14" s="455"/>
      <c r="FSF14" s="455"/>
      <c r="FSG14" s="455"/>
      <c r="FSH14" s="455"/>
      <c r="FSI14" s="455"/>
      <c r="FSJ14" s="1144"/>
      <c r="FSK14" s="1614"/>
      <c r="FSL14" s="455"/>
      <c r="FSM14" s="455"/>
      <c r="FSN14" s="455"/>
      <c r="FSO14" s="455"/>
      <c r="FSP14" s="455"/>
      <c r="FSQ14" s="455"/>
      <c r="FSR14" s="455"/>
      <c r="FSS14" s="455"/>
      <c r="FST14" s="455"/>
      <c r="FSU14" s="455"/>
      <c r="FSV14" s="1144"/>
      <c r="FSW14" s="1614"/>
      <c r="FSX14" s="455"/>
      <c r="FSY14" s="455"/>
      <c r="FSZ14" s="455"/>
      <c r="FTA14" s="455"/>
      <c r="FTB14" s="455"/>
      <c r="FTC14" s="455"/>
      <c r="FTD14" s="455"/>
      <c r="FTE14" s="455"/>
      <c r="FTF14" s="455"/>
      <c r="FTG14" s="455"/>
      <c r="FTH14" s="1144"/>
      <c r="FTI14" s="1614"/>
      <c r="FTJ14" s="455"/>
      <c r="FTK14" s="455"/>
      <c r="FTL14" s="455"/>
      <c r="FTM14" s="455"/>
      <c r="FTN14" s="455"/>
      <c r="FTO14" s="455"/>
      <c r="FTP14" s="455"/>
      <c r="FTQ14" s="455"/>
      <c r="FTR14" s="455"/>
      <c r="FTS14" s="455"/>
      <c r="FTT14" s="1144"/>
      <c r="FTU14" s="1614"/>
      <c r="FTV14" s="455"/>
      <c r="FTW14" s="455"/>
      <c r="FTX14" s="455"/>
      <c r="FTY14" s="455"/>
      <c r="FTZ14" s="455"/>
      <c r="FUA14" s="455"/>
      <c r="FUB14" s="455"/>
      <c r="FUC14" s="455"/>
      <c r="FUD14" s="455"/>
      <c r="FUE14" s="455"/>
      <c r="FUF14" s="1144"/>
      <c r="FUG14" s="1614"/>
      <c r="FUH14" s="455"/>
      <c r="FUI14" s="455"/>
      <c r="FUJ14" s="455"/>
      <c r="FUK14" s="455"/>
      <c r="FUL14" s="455"/>
      <c r="FUM14" s="455"/>
      <c r="FUN14" s="455"/>
      <c r="FUO14" s="455"/>
      <c r="FUP14" s="455"/>
      <c r="FUQ14" s="455"/>
      <c r="FUR14" s="1144"/>
      <c r="FUS14" s="1614"/>
      <c r="FUT14" s="455"/>
      <c r="FUU14" s="455"/>
      <c r="FUV14" s="455"/>
      <c r="FUW14" s="455"/>
      <c r="FUX14" s="455"/>
      <c r="FUY14" s="455"/>
      <c r="FUZ14" s="455"/>
      <c r="FVA14" s="455"/>
      <c r="FVB14" s="455"/>
      <c r="FVC14" s="455"/>
      <c r="FVD14" s="1144"/>
      <c r="FVE14" s="1614"/>
      <c r="FVF14" s="455"/>
      <c r="FVG14" s="455"/>
      <c r="FVH14" s="455"/>
      <c r="FVI14" s="455"/>
      <c r="FVJ14" s="455"/>
      <c r="FVK14" s="455"/>
      <c r="FVL14" s="455"/>
      <c r="FVM14" s="455"/>
      <c r="FVN14" s="455"/>
      <c r="FVO14" s="455"/>
      <c r="FVP14" s="1144"/>
      <c r="FVQ14" s="1614"/>
      <c r="FVR14" s="455"/>
      <c r="FVS14" s="455"/>
      <c r="FVT14" s="455"/>
      <c r="FVU14" s="455"/>
      <c r="FVV14" s="455"/>
      <c r="FVW14" s="455"/>
      <c r="FVX14" s="455"/>
      <c r="FVY14" s="455"/>
      <c r="FVZ14" s="455"/>
      <c r="FWA14" s="455"/>
      <c r="FWB14" s="1144"/>
      <c r="FWC14" s="1614"/>
      <c r="FWD14" s="455"/>
      <c r="FWE14" s="455"/>
      <c r="FWF14" s="455"/>
      <c r="FWG14" s="455"/>
      <c r="FWH14" s="455"/>
      <c r="FWI14" s="455"/>
      <c r="FWJ14" s="455"/>
      <c r="FWK14" s="455"/>
      <c r="FWL14" s="455"/>
      <c r="FWM14" s="455"/>
      <c r="FWN14" s="1144"/>
      <c r="FWO14" s="1614"/>
      <c r="FWP14" s="455"/>
      <c r="FWQ14" s="455"/>
      <c r="FWR14" s="455"/>
      <c r="FWS14" s="455"/>
      <c r="FWT14" s="455"/>
      <c r="FWU14" s="455"/>
      <c r="FWV14" s="455"/>
      <c r="FWW14" s="455"/>
      <c r="FWX14" s="455"/>
      <c r="FWY14" s="455"/>
      <c r="FWZ14" s="1144"/>
      <c r="FXA14" s="1614"/>
      <c r="FXB14" s="455"/>
      <c r="FXC14" s="455"/>
      <c r="FXD14" s="455"/>
      <c r="FXE14" s="455"/>
      <c r="FXF14" s="455"/>
      <c r="FXG14" s="455"/>
      <c r="FXH14" s="455"/>
      <c r="FXI14" s="455"/>
      <c r="FXJ14" s="455"/>
      <c r="FXK14" s="455"/>
      <c r="FXL14" s="1144"/>
      <c r="FXM14" s="1614"/>
      <c r="FXN14" s="455"/>
      <c r="FXO14" s="455"/>
      <c r="FXP14" s="455"/>
      <c r="FXQ14" s="455"/>
      <c r="FXR14" s="455"/>
      <c r="FXS14" s="455"/>
      <c r="FXT14" s="455"/>
      <c r="FXU14" s="455"/>
      <c r="FXV14" s="455"/>
      <c r="FXW14" s="455"/>
      <c r="FXX14" s="1144"/>
      <c r="FXY14" s="1614"/>
      <c r="FXZ14" s="455"/>
      <c r="FYA14" s="455"/>
      <c r="FYB14" s="455"/>
      <c r="FYC14" s="455"/>
      <c r="FYD14" s="455"/>
      <c r="FYE14" s="455"/>
      <c r="FYF14" s="455"/>
      <c r="FYG14" s="455"/>
      <c r="FYH14" s="455"/>
      <c r="FYI14" s="455"/>
      <c r="FYJ14" s="1144"/>
      <c r="FYK14" s="1614"/>
      <c r="FYL14" s="455"/>
      <c r="FYM14" s="455"/>
      <c r="FYN14" s="455"/>
      <c r="FYO14" s="455"/>
      <c r="FYP14" s="455"/>
      <c r="FYQ14" s="455"/>
      <c r="FYR14" s="455"/>
      <c r="FYS14" s="455"/>
      <c r="FYT14" s="455"/>
      <c r="FYU14" s="455"/>
      <c r="FYV14" s="1144"/>
      <c r="FYW14" s="1614"/>
      <c r="FYX14" s="455"/>
      <c r="FYY14" s="455"/>
      <c r="FYZ14" s="455"/>
      <c r="FZA14" s="455"/>
      <c r="FZB14" s="455"/>
      <c r="FZC14" s="455"/>
      <c r="FZD14" s="455"/>
      <c r="FZE14" s="455"/>
      <c r="FZF14" s="455"/>
      <c r="FZG14" s="455"/>
      <c r="FZH14" s="1144"/>
      <c r="FZI14" s="1614"/>
      <c r="FZJ14" s="455"/>
      <c r="FZK14" s="455"/>
      <c r="FZL14" s="455"/>
      <c r="FZM14" s="455"/>
      <c r="FZN14" s="455"/>
      <c r="FZO14" s="455"/>
      <c r="FZP14" s="455"/>
      <c r="FZQ14" s="455"/>
      <c r="FZR14" s="455"/>
      <c r="FZS14" s="455"/>
      <c r="FZT14" s="1144"/>
      <c r="FZU14" s="1614"/>
      <c r="FZV14" s="455"/>
      <c r="FZW14" s="455"/>
      <c r="FZX14" s="455"/>
      <c r="FZY14" s="455"/>
      <c r="FZZ14" s="455"/>
      <c r="GAA14" s="455"/>
      <c r="GAB14" s="455"/>
      <c r="GAC14" s="455"/>
      <c r="GAD14" s="455"/>
      <c r="GAE14" s="455"/>
      <c r="GAF14" s="1144"/>
      <c r="GAG14" s="1614"/>
      <c r="GAH14" s="455"/>
      <c r="GAI14" s="455"/>
      <c r="GAJ14" s="455"/>
      <c r="GAK14" s="455"/>
      <c r="GAL14" s="455"/>
      <c r="GAM14" s="455"/>
      <c r="GAN14" s="455"/>
      <c r="GAO14" s="455"/>
      <c r="GAP14" s="455"/>
      <c r="GAQ14" s="455"/>
      <c r="GAR14" s="1144"/>
      <c r="GAS14" s="1614"/>
      <c r="GAT14" s="455"/>
      <c r="GAU14" s="455"/>
      <c r="GAV14" s="455"/>
      <c r="GAW14" s="455"/>
      <c r="GAX14" s="455"/>
      <c r="GAY14" s="455"/>
      <c r="GAZ14" s="455"/>
      <c r="GBA14" s="455"/>
      <c r="GBB14" s="455"/>
      <c r="GBC14" s="455"/>
      <c r="GBD14" s="1144"/>
      <c r="GBE14" s="1614"/>
      <c r="GBF14" s="455"/>
      <c r="GBG14" s="455"/>
      <c r="GBH14" s="455"/>
      <c r="GBI14" s="455"/>
      <c r="GBJ14" s="455"/>
      <c r="GBK14" s="455"/>
      <c r="GBL14" s="455"/>
      <c r="GBM14" s="455"/>
      <c r="GBN14" s="455"/>
      <c r="GBO14" s="455"/>
      <c r="GBP14" s="1144"/>
      <c r="GBQ14" s="1614"/>
      <c r="GBR14" s="455"/>
      <c r="GBS14" s="455"/>
      <c r="GBT14" s="455"/>
      <c r="GBU14" s="455"/>
      <c r="GBV14" s="455"/>
      <c r="GBW14" s="455"/>
      <c r="GBX14" s="455"/>
      <c r="GBY14" s="455"/>
      <c r="GBZ14" s="455"/>
      <c r="GCA14" s="455"/>
      <c r="GCB14" s="1144"/>
      <c r="GCC14" s="1614"/>
      <c r="GCD14" s="455"/>
      <c r="GCE14" s="455"/>
      <c r="GCF14" s="455"/>
      <c r="GCG14" s="455"/>
      <c r="GCH14" s="455"/>
      <c r="GCI14" s="455"/>
      <c r="GCJ14" s="455"/>
      <c r="GCK14" s="455"/>
      <c r="GCL14" s="455"/>
      <c r="GCM14" s="455"/>
      <c r="GCN14" s="1144"/>
      <c r="GCO14" s="1614"/>
      <c r="GCP14" s="455"/>
      <c r="GCQ14" s="455"/>
      <c r="GCR14" s="455"/>
      <c r="GCS14" s="455"/>
      <c r="GCT14" s="455"/>
      <c r="GCU14" s="455"/>
      <c r="GCV14" s="455"/>
      <c r="GCW14" s="455"/>
      <c r="GCX14" s="455"/>
      <c r="GCY14" s="455"/>
      <c r="GCZ14" s="1144"/>
      <c r="GDA14" s="1614"/>
      <c r="GDB14" s="455"/>
      <c r="GDC14" s="455"/>
      <c r="GDD14" s="455"/>
      <c r="GDE14" s="455"/>
      <c r="GDF14" s="455"/>
      <c r="GDG14" s="455"/>
      <c r="GDH14" s="455"/>
      <c r="GDI14" s="455"/>
      <c r="GDJ14" s="455"/>
      <c r="GDK14" s="455"/>
      <c r="GDL14" s="1144"/>
      <c r="GDM14" s="1614"/>
      <c r="GDN14" s="455"/>
      <c r="GDO14" s="455"/>
      <c r="GDP14" s="455"/>
      <c r="GDQ14" s="455"/>
      <c r="GDR14" s="455"/>
      <c r="GDS14" s="455"/>
      <c r="GDT14" s="455"/>
      <c r="GDU14" s="455"/>
      <c r="GDV14" s="455"/>
      <c r="GDW14" s="455"/>
      <c r="GDX14" s="1144"/>
      <c r="GDY14" s="1614"/>
      <c r="GDZ14" s="455"/>
      <c r="GEA14" s="455"/>
      <c r="GEB14" s="455"/>
      <c r="GEC14" s="455"/>
      <c r="GED14" s="455"/>
      <c r="GEE14" s="455"/>
      <c r="GEF14" s="455"/>
      <c r="GEG14" s="455"/>
      <c r="GEH14" s="455"/>
      <c r="GEI14" s="455"/>
      <c r="GEJ14" s="1144"/>
      <c r="GEK14" s="1614"/>
      <c r="GEL14" s="455"/>
      <c r="GEM14" s="455"/>
      <c r="GEN14" s="455"/>
      <c r="GEO14" s="455"/>
      <c r="GEP14" s="455"/>
      <c r="GEQ14" s="455"/>
      <c r="GER14" s="455"/>
      <c r="GES14" s="455"/>
      <c r="GET14" s="455"/>
      <c r="GEU14" s="455"/>
      <c r="GEV14" s="1144"/>
      <c r="GEW14" s="1614"/>
      <c r="GEX14" s="455"/>
      <c r="GEY14" s="455"/>
      <c r="GEZ14" s="455"/>
      <c r="GFA14" s="455"/>
      <c r="GFB14" s="455"/>
      <c r="GFC14" s="455"/>
      <c r="GFD14" s="455"/>
      <c r="GFE14" s="455"/>
      <c r="GFF14" s="455"/>
      <c r="GFG14" s="455"/>
      <c r="GFH14" s="1144"/>
      <c r="GFI14" s="1614"/>
      <c r="GFJ14" s="455"/>
      <c r="GFK14" s="455"/>
      <c r="GFL14" s="455"/>
      <c r="GFM14" s="455"/>
      <c r="GFN14" s="455"/>
      <c r="GFO14" s="455"/>
      <c r="GFP14" s="455"/>
      <c r="GFQ14" s="455"/>
      <c r="GFR14" s="455"/>
      <c r="GFS14" s="455"/>
      <c r="GFT14" s="1144"/>
      <c r="GFU14" s="1614"/>
      <c r="GFV14" s="455"/>
      <c r="GFW14" s="455"/>
      <c r="GFX14" s="455"/>
      <c r="GFY14" s="455"/>
      <c r="GFZ14" s="455"/>
      <c r="GGA14" s="455"/>
      <c r="GGB14" s="455"/>
      <c r="GGC14" s="455"/>
      <c r="GGD14" s="455"/>
      <c r="GGE14" s="455"/>
      <c r="GGF14" s="1144"/>
      <c r="GGG14" s="1614"/>
      <c r="GGH14" s="455"/>
      <c r="GGI14" s="455"/>
      <c r="GGJ14" s="455"/>
      <c r="GGK14" s="455"/>
      <c r="GGL14" s="455"/>
      <c r="GGM14" s="455"/>
      <c r="GGN14" s="455"/>
      <c r="GGO14" s="455"/>
      <c r="GGP14" s="455"/>
      <c r="GGQ14" s="455"/>
      <c r="GGR14" s="1144"/>
      <c r="GGS14" s="1614"/>
      <c r="GGT14" s="455"/>
      <c r="GGU14" s="455"/>
      <c r="GGV14" s="455"/>
      <c r="GGW14" s="455"/>
      <c r="GGX14" s="455"/>
      <c r="GGY14" s="455"/>
      <c r="GGZ14" s="455"/>
      <c r="GHA14" s="455"/>
      <c r="GHB14" s="455"/>
      <c r="GHC14" s="455"/>
      <c r="GHD14" s="1144"/>
      <c r="GHE14" s="1614"/>
      <c r="GHF14" s="455"/>
      <c r="GHG14" s="455"/>
      <c r="GHH14" s="455"/>
      <c r="GHI14" s="455"/>
      <c r="GHJ14" s="455"/>
      <c r="GHK14" s="455"/>
      <c r="GHL14" s="455"/>
      <c r="GHM14" s="455"/>
      <c r="GHN14" s="455"/>
      <c r="GHO14" s="455"/>
      <c r="GHP14" s="1144"/>
      <c r="GHQ14" s="1614"/>
      <c r="GHR14" s="455"/>
      <c r="GHS14" s="455"/>
      <c r="GHT14" s="455"/>
      <c r="GHU14" s="455"/>
      <c r="GHV14" s="455"/>
      <c r="GHW14" s="455"/>
      <c r="GHX14" s="455"/>
      <c r="GHY14" s="455"/>
      <c r="GHZ14" s="455"/>
      <c r="GIA14" s="455"/>
      <c r="GIB14" s="1144"/>
      <c r="GIC14" s="1614"/>
      <c r="GID14" s="455"/>
      <c r="GIE14" s="455"/>
      <c r="GIF14" s="455"/>
      <c r="GIG14" s="455"/>
      <c r="GIH14" s="455"/>
      <c r="GII14" s="455"/>
      <c r="GIJ14" s="455"/>
      <c r="GIK14" s="455"/>
      <c r="GIL14" s="455"/>
      <c r="GIM14" s="455"/>
      <c r="GIN14" s="1144"/>
      <c r="GIO14" s="1614"/>
      <c r="GIP14" s="455"/>
      <c r="GIQ14" s="455"/>
      <c r="GIR14" s="455"/>
      <c r="GIS14" s="455"/>
      <c r="GIT14" s="455"/>
      <c r="GIU14" s="455"/>
      <c r="GIV14" s="455"/>
      <c r="GIW14" s="455"/>
      <c r="GIX14" s="455"/>
      <c r="GIY14" s="455"/>
      <c r="GIZ14" s="1144"/>
      <c r="GJA14" s="1614"/>
      <c r="GJB14" s="455"/>
      <c r="GJC14" s="455"/>
      <c r="GJD14" s="455"/>
      <c r="GJE14" s="455"/>
      <c r="GJF14" s="455"/>
      <c r="GJG14" s="455"/>
      <c r="GJH14" s="455"/>
      <c r="GJI14" s="455"/>
      <c r="GJJ14" s="455"/>
      <c r="GJK14" s="455"/>
      <c r="GJL14" s="1144"/>
      <c r="GJM14" s="1614"/>
      <c r="GJN14" s="455"/>
      <c r="GJO14" s="455"/>
      <c r="GJP14" s="455"/>
      <c r="GJQ14" s="455"/>
      <c r="GJR14" s="455"/>
      <c r="GJS14" s="455"/>
      <c r="GJT14" s="455"/>
      <c r="GJU14" s="455"/>
      <c r="GJV14" s="455"/>
      <c r="GJW14" s="455"/>
      <c r="GJX14" s="1144"/>
      <c r="GJY14" s="1614"/>
      <c r="GJZ14" s="455"/>
      <c r="GKA14" s="455"/>
      <c r="GKB14" s="455"/>
      <c r="GKC14" s="455"/>
      <c r="GKD14" s="455"/>
      <c r="GKE14" s="455"/>
      <c r="GKF14" s="455"/>
      <c r="GKG14" s="455"/>
      <c r="GKH14" s="455"/>
      <c r="GKI14" s="455"/>
      <c r="GKJ14" s="1144"/>
      <c r="GKK14" s="1614"/>
      <c r="GKL14" s="455"/>
      <c r="GKM14" s="455"/>
      <c r="GKN14" s="455"/>
      <c r="GKO14" s="455"/>
      <c r="GKP14" s="455"/>
      <c r="GKQ14" s="455"/>
      <c r="GKR14" s="455"/>
      <c r="GKS14" s="455"/>
      <c r="GKT14" s="455"/>
      <c r="GKU14" s="455"/>
      <c r="GKV14" s="1144"/>
      <c r="GKW14" s="1614"/>
      <c r="GKX14" s="455"/>
      <c r="GKY14" s="455"/>
      <c r="GKZ14" s="455"/>
      <c r="GLA14" s="455"/>
      <c r="GLB14" s="455"/>
      <c r="GLC14" s="455"/>
      <c r="GLD14" s="455"/>
      <c r="GLE14" s="455"/>
      <c r="GLF14" s="455"/>
      <c r="GLG14" s="455"/>
      <c r="GLH14" s="1144"/>
      <c r="GLI14" s="1614"/>
      <c r="GLJ14" s="455"/>
      <c r="GLK14" s="455"/>
      <c r="GLL14" s="455"/>
      <c r="GLM14" s="455"/>
      <c r="GLN14" s="455"/>
      <c r="GLO14" s="455"/>
      <c r="GLP14" s="455"/>
      <c r="GLQ14" s="455"/>
      <c r="GLR14" s="455"/>
      <c r="GLS14" s="455"/>
      <c r="GLT14" s="1144"/>
      <c r="GLU14" s="1614"/>
      <c r="GLV14" s="455"/>
      <c r="GLW14" s="455"/>
      <c r="GLX14" s="455"/>
      <c r="GLY14" s="455"/>
      <c r="GLZ14" s="455"/>
      <c r="GMA14" s="455"/>
      <c r="GMB14" s="455"/>
      <c r="GMC14" s="455"/>
      <c r="GMD14" s="455"/>
      <c r="GME14" s="455"/>
      <c r="GMF14" s="1144"/>
      <c r="GMG14" s="1614"/>
      <c r="GMH14" s="455"/>
      <c r="GMI14" s="455"/>
      <c r="GMJ14" s="455"/>
      <c r="GMK14" s="455"/>
      <c r="GML14" s="455"/>
      <c r="GMM14" s="455"/>
      <c r="GMN14" s="455"/>
      <c r="GMO14" s="455"/>
      <c r="GMP14" s="455"/>
      <c r="GMQ14" s="455"/>
      <c r="GMR14" s="1144"/>
      <c r="GMS14" s="1614"/>
      <c r="GMT14" s="455"/>
      <c r="GMU14" s="455"/>
      <c r="GMV14" s="455"/>
      <c r="GMW14" s="455"/>
      <c r="GMX14" s="455"/>
      <c r="GMY14" s="455"/>
      <c r="GMZ14" s="455"/>
      <c r="GNA14" s="455"/>
      <c r="GNB14" s="455"/>
      <c r="GNC14" s="455"/>
      <c r="GND14" s="1144"/>
      <c r="GNE14" s="1614"/>
      <c r="GNF14" s="455"/>
      <c r="GNG14" s="455"/>
      <c r="GNH14" s="455"/>
      <c r="GNI14" s="455"/>
      <c r="GNJ14" s="455"/>
      <c r="GNK14" s="455"/>
      <c r="GNL14" s="455"/>
      <c r="GNM14" s="455"/>
      <c r="GNN14" s="455"/>
      <c r="GNO14" s="455"/>
      <c r="GNP14" s="1144"/>
      <c r="GNQ14" s="1614"/>
      <c r="GNR14" s="455"/>
      <c r="GNS14" s="455"/>
      <c r="GNT14" s="455"/>
      <c r="GNU14" s="455"/>
      <c r="GNV14" s="455"/>
      <c r="GNW14" s="455"/>
      <c r="GNX14" s="455"/>
      <c r="GNY14" s="455"/>
      <c r="GNZ14" s="455"/>
      <c r="GOA14" s="455"/>
      <c r="GOB14" s="1144"/>
      <c r="GOC14" s="1614"/>
      <c r="GOD14" s="455"/>
      <c r="GOE14" s="455"/>
      <c r="GOF14" s="455"/>
      <c r="GOG14" s="455"/>
      <c r="GOH14" s="455"/>
      <c r="GOI14" s="455"/>
      <c r="GOJ14" s="455"/>
      <c r="GOK14" s="455"/>
      <c r="GOL14" s="455"/>
      <c r="GOM14" s="455"/>
      <c r="GON14" s="1144"/>
      <c r="GOO14" s="1614"/>
      <c r="GOP14" s="455"/>
      <c r="GOQ14" s="455"/>
      <c r="GOR14" s="455"/>
      <c r="GOS14" s="455"/>
      <c r="GOT14" s="455"/>
      <c r="GOU14" s="455"/>
      <c r="GOV14" s="455"/>
      <c r="GOW14" s="455"/>
      <c r="GOX14" s="455"/>
      <c r="GOY14" s="455"/>
      <c r="GOZ14" s="1144"/>
      <c r="GPA14" s="1614"/>
      <c r="GPB14" s="455"/>
      <c r="GPC14" s="455"/>
      <c r="GPD14" s="455"/>
      <c r="GPE14" s="455"/>
      <c r="GPF14" s="455"/>
      <c r="GPG14" s="455"/>
      <c r="GPH14" s="455"/>
      <c r="GPI14" s="455"/>
      <c r="GPJ14" s="455"/>
      <c r="GPK14" s="455"/>
      <c r="GPL14" s="1144"/>
      <c r="GPM14" s="1614"/>
      <c r="GPN14" s="455"/>
      <c r="GPO14" s="455"/>
      <c r="GPP14" s="455"/>
      <c r="GPQ14" s="455"/>
      <c r="GPR14" s="455"/>
      <c r="GPS14" s="455"/>
      <c r="GPT14" s="455"/>
      <c r="GPU14" s="455"/>
      <c r="GPV14" s="455"/>
      <c r="GPW14" s="455"/>
      <c r="GPX14" s="1144"/>
      <c r="GPY14" s="1614"/>
      <c r="GPZ14" s="455"/>
      <c r="GQA14" s="455"/>
      <c r="GQB14" s="455"/>
      <c r="GQC14" s="455"/>
      <c r="GQD14" s="455"/>
      <c r="GQE14" s="455"/>
      <c r="GQF14" s="455"/>
      <c r="GQG14" s="455"/>
      <c r="GQH14" s="455"/>
      <c r="GQI14" s="455"/>
      <c r="GQJ14" s="1144"/>
      <c r="GQK14" s="1614"/>
      <c r="GQL14" s="455"/>
      <c r="GQM14" s="455"/>
      <c r="GQN14" s="455"/>
      <c r="GQO14" s="455"/>
      <c r="GQP14" s="455"/>
      <c r="GQQ14" s="455"/>
      <c r="GQR14" s="455"/>
      <c r="GQS14" s="455"/>
      <c r="GQT14" s="455"/>
      <c r="GQU14" s="455"/>
      <c r="GQV14" s="1144"/>
      <c r="GQW14" s="1614"/>
      <c r="GQX14" s="455"/>
      <c r="GQY14" s="455"/>
      <c r="GQZ14" s="455"/>
      <c r="GRA14" s="455"/>
      <c r="GRB14" s="455"/>
      <c r="GRC14" s="455"/>
      <c r="GRD14" s="455"/>
      <c r="GRE14" s="455"/>
      <c r="GRF14" s="455"/>
      <c r="GRG14" s="455"/>
      <c r="GRH14" s="1144"/>
      <c r="GRI14" s="1614"/>
      <c r="GRJ14" s="455"/>
      <c r="GRK14" s="455"/>
      <c r="GRL14" s="455"/>
      <c r="GRM14" s="455"/>
      <c r="GRN14" s="455"/>
      <c r="GRO14" s="455"/>
      <c r="GRP14" s="455"/>
      <c r="GRQ14" s="455"/>
      <c r="GRR14" s="455"/>
      <c r="GRS14" s="455"/>
      <c r="GRT14" s="1144"/>
      <c r="GRU14" s="1614"/>
      <c r="GRV14" s="455"/>
      <c r="GRW14" s="455"/>
      <c r="GRX14" s="455"/>
      <c r="GRY14" s="455"/>
      <c r="GRZ14" s="455"/>
      <c r="GSA14" s="455"/>
      <c r="GSB14" s="455"/>
      <c r="GSC14" s="455"/>
      <c r="GSD14" s="455"/>
      <c r="GSE14" s="455"/>
      <c r="GSF14" s="1144"/>
      <c r="GSG14" s="1614"/>
      <c r="GSH14" s="455"/>
      <c r="GSI14" s="455"/>
      <c r="GSJ14" s="455"/>
      <c r="GSK14" s="455"/>
      <c r="GSL14" s="455"/>
      <c r="GSM14" s="455"/>
      <c r="GSN14" s="455"/>
      <c r="GSO14" s="455"/>
      <c r="GSP14" s="455"/>
      <c r="GSQ14" s="455"/>
      <c r="GSR14" s="1144"/>
      <c r="GSS14" s="1614"/>
      <c r="GST14" s="455"/>
      <c r="GSU14" s="455"/>
      <c r="GSV14" s="455"/>
      <c r="GSW14" s="455"/>
      <c r="GSX14" s="455"/>
      <c r="GSY14" s="455"/>
      <c r="GSZ14" s="455"/>
      <c r="GTA14" s="455"/>
      <c r="GTB14" s="455"/>
      <c r="GTC14" s="455"/>
      <c r="GTD14" s="1144"/>
      <c r="GTE14" s="1614"/>
      <c r="GTF14" s="455"/>
      <c r="GTG14" s="455"/>
      <c r="GTH14" s="455"/>
      <c r="GTI14" s="455"/>
      <c r="GTJ14" s="455"/>
      <c r="GTK14" s="455"/>
      <c r="GTL14" s="455"/>
      <c r="GTM14" s="455"/>
      <c r="GTN14" s="455"/>
      <c r="GTO14" s="455"/>
      <c r="GTP14" s="1144"/>
      <c r="GTQ14" s="1614"/>
      <c r="GTR14" s="455"/>
      <c r="GTS14" s="455"/>
      <c r="GTT14" s="455"/>
      <c r="GTU14" s="455"/>
      <c r="GTV14" s="455"/>
      <c r="GTW14" s="455"/>
      <c r="GTX14" s="455"/>
      <c r="GTY14" s="455"/>
      <c r="GTZ14" s="455"/>
      <c r="GUA14" s="455"/>
      <c r="GUB14" s="1144"/>
      <c r="GUC14" s="1614"/>
      <c r="GUD14" s="455"/>
      <c r="GUE14" s="455"/>
      <c r="GUF14" s="455"/>
      <c r="GUG14" s="455"/>
      <c r="GUH14" s="455"/>
      <c r="GUI14" s="455"/>
      <c r="GUJ14" s="455"/>
      <c r="GUK14" s="455"/>
      <c r="GUL14" s="455"/>
      <c r="GUM14" s="455"/>
      <c r="GUN14" s="1144"/>
      <c r="GUO14" s="1614"/>
      <c r="GUP14" s="455"/>
      <c r="GUQ14" s="455"/>
      <c r="GUR14" s="455"/>
      <c r="GUS14" s="455"/>
      <c r="GUT14" s="455"/>
      <c r="GUU14" s="455"/>
      <c r="GUV14" s="455"/>
      <c r="GUW14" s="455"/>
      <c r="GUX14" s="455"/>
      <c r="GUY14" s="455"/>
      <c r="GUZ14" s="1144"/>
      <c r="GVA14" s="1614"/>
      <c r="GVB14" s="455"/>
      <c r="GVC14" s="455"/>
      <c r="GVD14" s="455"/>
      <c r="GVE14" s="455"/>
      <c r="GVF14" s="455"/>
      <c r="GVG14" s="455"/>
      <c r="GVH14" s="455"/>
      <c r="GVI14" s="455"/>
      <c r="GVJ14" s="455"/>
      <c r="GVK14" s="455"/>
      <c r="GVL14" s="1144"/>
      <c r="GVM14" s="1614"/>
      <c r="GVN14" s="455"/>
      <c r="GVO14" s="455"/>
      <c r="GVP14" s="455"/>
      <c r="GVQ14" s="455"/>
      <c r="GVR14" s="455"/>
      <c r="GVS14" s="455"/>
      <c r="GVT14" s="455"/>
      <c r="GVU14" s="455"/>
      <c r="GVV14" s="455"/>
      <c r="GVW14" s="455"/>
      <c r="GVX14" s="1144"/>
      <c r="GVY14" s="1614"/>
      <c r="GVZ14" s="455"/>
      <c r="GWA14" s="455"/>
      <c r="GWB14" s="455"/>
      <c r="GWC14" s="455"/>
      <c r="GWD14" s="455"/>
      <c r="GWE14" s="455"/>
      <c r="GWF14" s="455"/>
      <c r="GWG14" s="455"/>
      <c r="GWH14" s="455"/>
      <c r="GWI14" s="455"/>
      <c r="GWJ14" s="1144"/>
      <c r="GWK14" s="1614"/>
      <c r="GWL14" s="455"/>
      <c r="GWM14" s="455"/>
      <c r="GWN14" s="455"/>
      <c r="GWO14" s="455"/>
      <c r="GWP14" s="455"/>
      <c r="GWQ14" s="455"/>
      <c r="GWR14" s="455"/>
      <c r="GWS14" s="455"/>
      <c r="GWT14" s="455"/>
      <c r="GWU14" s="455"/>
      <c r="GWV14" s="1144"/>
      <c r="GWW14" s="1614"/>
      <c r="GWX14" s="455"/>
      <c r="GWY14" s="455"/>
      <c r="GWZ14" s="455"/>
      <c r="GXA14" s="455"/>
      <c r="GXB14" s="455"/>
      <c r="GXC14" s="455"/>
      <c r="GXD14" s="455"/>
      <c r="GXE14" s="455"/>
      <c r="GXF14" s="455"/>
      <c r="GXG14" s="455"/>
      <c r="GXH14" s="1144"/>
      <c r="GXI14" s="1614"/>
      <c r="GXJ14" s="455"/>
      <c r="GXK14" s="455"/>
      <c r="GXL14" s="455"/>
      <c r="GXM14" s="455"/>
      <c r="GXN14" s="455"/>
      <c r="GXO14" s="455"/>
      <c r="GXP14" s="455"/>
      <c r="GXQ14" s="455"/>
      <c r="GXR14" s="455"/>
      <c r="GXS14" s="455"/>
      <c r="GXT14" s="1144"/>
      <c r="GXU14" s="1614"/>
      <c r="GXV14" s="455"/>
      <c r="GXW14" s="455"/>
      <c r="GXX14" s="455"/>
      <c r="GXY14" s="455"/>
      <c r="GXZ14" s="455"/>
      <c r="GYA14" s="455"/>
      <c r="GYB14" s="455"/>
      <c r="GYC14" s="455"/>
      <c r="GYD14" s="455"/>
      <c r="GYE14" s="455"/>
      <c r="GYF14" s="1144"/>
      <c r="GYG14" s="1614"/>
      <c r="GYH14" s="455"/>
      <c r="GYI14" s="455"/>
      <c r="GYJ14" s="455"/>
      <c r="GYK14" s="455"/>
      <c r="GYL14" s="455"/>
      <c r="GYM14" s="455"/>
      <c r="GYN14" s="455"/>
      <c r="GYO14" s="455"/>
      <c r="GYP14" s="455"/>
      <c r="GYQ14" s="455"/>
      <c r="GYR14" s="1144"/>
      <c r="GYS14" s="1614"/>
      <c r="GYT14" s="455"/>
      <c r="GYU14" s="455"/>
      <c r="GYV14" s="455"/>
      <c r="GYW14" s="455"/>
      <c r="GYX14" s="455"/>
      <c r="GYY14" s="455"/>
      <c r="GYZ14" s="455"/>
      <c r="GZA14" s="455"/>
      <c r="GZB14" s="455"/>
      <c r="GZC14" s="455"/>
      <c r="GZD14" s="1144"/>
      <c r="GZE14" s="1614"/>
      <c r="GZF14" s="455"/>
      <c r="GZG14" s="455"/>
      <c r="GZH14" s="455"/>
      <c r="GZI14" s="455"/>
      <c r="GZJ14" s="455"/>
      <c r="GZK14" s="455"/>
      <c r="GZL14" s="455"/>
      <c r="GZM14" s="455"/>
      <c r="GZN14" s="455"/>
      <c r="GZO14" s="455"/>
      <c r="GZP14" s="1144"/>
      <c r="GZQ14" s="1614"/>
      <c r="GZR14" s="455"/>
      <c r="GZS14" s="455"/>
      <c r="GZT14" s="455"/>
      <c r="GZU14" s="455"/>
      <c r="GZV14" s="455"/>
      <c r="GZW14" s="455"/>
      <c r="GZX14" s="455"/>
      <c r="GZY14" s="455"/>
      <c r="GZZ14" s="455"/>
      <c r="HAA14" s="455"/>
      <c r="HAB14" s="1144"/>
      <c r="HAC14" s="1614"/>
      <c r="HAD14" s="455"/>
      <c r="HAE14" s="455"/>
      <c r="HAF14" s="455"/>
      <c r="HAG14" s="455"/>
      <c r="HAH14" s="455"/>
      <c r="HAI14" s="455"/>
      <c r="HAJ14" s="455"/>
      <c r="HAK14" s="455"/>
      <c r="HAL14" s="455"/>
      <c r="HAM14" s="455"/>
      <c r="HAN14" s="1144"/>
      <c r="HAO14" s="1614"/>
      <c r="HAP14" s="455"/>
      <c r="HAQ14" s="455"/>
      <c r="HAR14" s="455"/>
      <c r="HAS14" s="455"/>
      <c r="HAT14" s="455"/>
      <c r="HAU14" s="455"/>
      <c r="HAV14" s="455"/>
      <c r="HAW14" s="455"/>
      <c r="HAX14" s="455"/>
      <c r="HAY14" s="455"/>
      <c r="HAZ14" s="1144"/>
      <c r="HBA14" s="1614"/>
      <c r="HBB14" s="455"/>
      <c r="HBC14" s="455"/>
      <c r="HBD14" s="455"/>
      <c r="HBE14" s="455"/>
      <c r="HBF14" s="455"/>
      <c r="HBG14" s="455"/>
      <c r="HBH14" s="455"/>
      <c r="HBI14" s="455"/>
      <c r="HBJ14" s="455"/>
      <c r="HBK14" s="455"/>
      <c r="HBL14" s="1144"/>
      <c r="HBM14" s="1614"/>
      <c r="HBN14" s="455"/>
      <c r="HBO14" s="455"/>
      <c r="HBP14" s="455"/>
      <c r="HBQ14" s="455"/>
      <c r="HBR14" s="455"/>
      <c r="HBS14" s="455"/>
      <c r="HBT14" s="455"/>
      <c r="HBU14" s="455"/>
      <c r="HBV14" s="455"/>
      <c r="HBW14" s="455"/>
      <c r="HBX14" s="1144"/>
      <c r="HBY14" s="1614"/>
      <c r="HBZ14" s="455"/>
      <c r="HCA14" s="455"/>
      <c r="HCB14" s="455"/>
      <c r="HCC14" s="455"/>
      <c r="HCD14" s="455"/>
      <c r="HCE14" s="455"/>
      <c r="HCF14" s="455"/>
      <c r="HCG14" s="455"/>
      <c r="HCH14" s="455"/>
      <c r="HCI14" s="455"/>
      <c r="HCJ14" s="1144"/>
      <c r="HCK14" s="1614"/>
      <c r="HCL14" s="455"/>
      <c r="HCM14" s="455"/>
      <c r="HCN14" s="455"/>
      <c r="HCO14" s="455"/>
      <c r="HCP14" s="455"/>
      <c r="HCQ14" s="455"/>
      <c r="HCR14" s="455"/>
      <c r="HCS14" s="455"/>
      <c r="HCT14" s="455"/>
      <c r="HCU14" s="455"/>
      <c r="HCV14" s="1144"/>
      <c r="HCW14" s="1614"/>
      <c r="HCX14" s="455"/>
      <c r="HCY14" s="455"/>
      <c r="HCZ14" s="455"/>
      <c r="HDA14" s="455"/>
      <c r="HDB14" s="455"/>
      <c r="HDC14" s="455"/>
      <c r="HDD14" s="455"/>
      <c r="HDE14" s="455"/>
      <c r="HDF14" s="455"/>
      <c r="HDG14" s="455"/>
      <c r="HDH14" s="1144"/>
      <c r="HDI14" s="1614"/>
      <c r="HDJ14" s="455"/>
      <c r="HDK14" s="455"/>
      <c r="HDL14" s="455"/>
      <c r="HDM14" s="455"/>
      <c r="HDN14" s="455"/>
      <c r="HDO14" s="455"/>
      <c r="HDP14" s="455"/>
      <c r="HDQ14" s="455"/>
      <c r="HDR14" s="455"/>
      <c r="HDS14" s="455"/>
      <c r="HDT14" s="1144"/>
      <c r="HDU14" s="1614"/>
      <c r="HDV14" s="455"/>
      <c r="HDW14" s="455"/>
      <c r="HDX14" s="455"/>
      <c r="HDY14" s="455"/>
      <c r="HDZ14" s="455"/>
      <c r="HEA14" s="455"/>
      <c r="HEB14" s="455"/>
      <c r="HEC14" s="455"/>
      <c r="HED14" s="455"/>
      <c r="HEE14" s="455"/>
      <c r="HEF14" s="1144"/>
      <c r="HEG14" s="1614"/>
      <c r="HEH14" s="455"/>
      <c r="HEI14" s="455"/>
      <c r="HEJ14" s="455"/>
      <c r="HEK14" s="455"/>
      <c r="HEL14" s="455"/>
      <c r="HEM14" s="455"/>
      <c r="HEN14" s="455"/>
      <c r="HEO14" s="455"/>
      <c r="HEP14" s="455"/>
      <c r="HEQ14" s="455"/>
      <c r="HER14" s="1144"/>
      <c r="HES14" s="1614"/>
      <c r="HET14" s="455"/>
      <c r="HEU14" s="455"/>
      <c r="HEV14" s="455"/>
      <c r="HEW14" s="455"/>
      <c r="HEX14" s="455"/>
      <c r="HEY14" s="455"/>
      <c r="HEZ14" s="455"/>
      <c r="HFA14" s="455"/>
      <c r="HFB14" s="455"/>
      <c r="HFC14" s="455"/>
      <c r="HFD14" s="1144"/>
      <c r="HFE14" s="1614"/>
      <c r="HFF14" s="455"/>
      <c r="HFG14" s="455"/>
      <c r="HFH14" s="455"/>
      <c r="HFI14" s="455"/>
      <c r="HFJ14" s="455"/>
      <c r="HFK14" s="455"/>
      <c r="HFL14" s="455"/>
      <c r="HFM14" s="455"/>
      <c r="HFN14" s="455"/>
      <c r="HFO14" s="455"/>
      <c r="HFP14" s="1144"/>
      <c r="HFQ14" s="1614"/>
      <c r="HFR14" s="455"/>
      <c r="HFS14" s="455"/>
      <c r="HFT14" s="455"/>
      <c r="HFU14" s="455"/>
      <c r="HFV14" s="455"/>
      <c r="HFW14" s="455"/>
      <c r="HFX14" s="455"/>
      <c r="HFY14" s="455"/>
      <c r="HFZ14" s="455"/>
      <c r="HGA14" s="455"/>
      <c r="HGB14" s="1144"/>
      <c r="HGC14" s="1614"/>
      <c r="HGD14" s="455"/>
      <c r="HGE14" s="455"/>
      <c r="HGF14" s="455"/>
      <c r="HGG14" s="455"/>
      <c r="HGH14" s="455"/>
      <c r="HGI14" s="455"/>
      <c r="HGJ14" s="455"/>
      <c r="HGK14" s="455"/>
      <c r="HGL14" s="455"/>
      <c r="HGM14" s="455"/>
      <c r="HGN14" s="1144"/>
      <c r="HGO14" s="1614"/>
      <c r="HGP14" s="455"/>
      <c r="HGQ14" s="455"/>
      <c r="HGR14" s="455"/>
      <c r="HGS14" s="455"/>
      <c r="HGT14" s="455"/>
      <c r="HGU14" s="455"/>
      <c r="HGV14" s="455"/>
      <c r="HGW14" s="455"/>
      <c r="HGX14" s="455"/>
      <c r="HGY14" s="455"/>
      <c r="HGZ14" s="1144"/>
      <c r="HHA14" s="1614"/>
      <c r="HHB14" s="455"/>
      <c r="HHC14" s="455"/>
      <c r="HHD14" s="455"/>
      <c r="HHE14" s="455"/>
      <c r="HHF14" s="455"/>
      <c r="HHG14" s="455"/>
      <c r="HHH14" s="455"/>
      <c r="HHI14" s="455"/>
      <c r="HHJ14" s="455"/>
      <c r="HHK14" s="455"/>
      <c r="HHL14" s="1144"/>
      <c r="HHM14" s="1614"/>
      <c r="HHN14" s="455"/>
      <c r="HHO14" s="455"/>
      <c r="HHP14" s="455"/>
      <c r="HHQ14" s="455"/>
      <c r="HHR14" s="455"/>
      <c r="HHS14" s="455"/>
      <c r="HHT14" s="455"/>
      <c r="HHU14" s="455"/>
      <c r="HHV14" s="455"/>
      <c r="HHW14" s="455"/>
      <c r="HHX14" s="1144"/>
      <c r="HHY14" s="1614"/>
      <c r="HHZ14" s="455"/>
      <c r="HIA14" s="455"/>
      <c r="HIB14" s="455"/>
      <c r="HIC14" s="455"/>
      <c r="HID14" s="455"/>
      <c r="HIE14" s="455"/>
      <c r="HIF14" s="455"/>
      <c r="HIG14" s="455"/>
      <c r="HIH14" s="455"/>
      <c r="HII14" s="455"/>
      <c r="HIJ14" s="1144"/>
      <c r="HIK14" s="1614"/>
      <c r="HIL14" s="455"/>
      <c r="HIM14" s="455"/>
      <c r="HIN14" s="455"/>
      <c r="HIO14" s="455"/>
      <c r="HIP14" s="455"/>
      <c r="HIQ14" s="455"/>
      <c r="HIR14" s="455"/>
      <c r="HIS14" s="455"/>
      <c r="HIT14" s="455"/>
      <c r="HIU14" s="455"/>
      <c r="HIV14" s="1144"/>
      <c r="HIW14" s="1614"/>
      <c r="HIX14" s="455"/>
      <c r="HIY14" s="455"/>
      <c r="HIZ14" s="455"/>
      <c r="HJA14" s="455"/>
      <c r="HJB14" s="455"/>
      <c r="HJC14" s="455"/>
      <c r="HJD14" s="455"/>
      <c r="HJE14" s="455"/>
      <c r="HJF14" s="455"/>
      <c r="HJG14" s="455"/>
      <c r="HJH14" s="1144"/>
      <c r="HJI14" s="1614"/>
      <c r="HJJ14" s="455"/>
      <c r="HJK14" s="455"/>
      <c r="HJL14" s="455"/>
      <c r="HJM14" s="455"/>
      <c r="HJN14" s="455"/>
      <c r="HJO14" s="455"/>
      <c r="HJP14" s="455"/>
      <c r="HJQ14" s="455"/>
      <c r="HJR14" s="455"/>
      <c r="HJS14" s="455"/>
      <c r="HJT14" s="1144"/>
      <c r="HJU14" s="1614"/>
      <c r="HJV14" s="455"/>
      <c r="HJW14" s="455"/>
      <c r="HJX14" s="455"/>
      <c r="HJY14" s="455"/>
      <c r="HJZ14" s="455"/>
      <c r="HKA14" s="455"/>
      <c r="HKB14" s="455"/>
      <c r="HKC14" s="455"/>
      <c r="HKD14" s="455"/>
      <c r="HKE14" s="455"/>
      <c r="HKF14" s="1144"/>
      <c r="HKG14" s="1614"/>
      <c r="HKH14" s="455"/>
      <c r="HKI14" s="455"/>
      <c r="HKJ14" s="455"/>
      <c r="HKK14" s="455"/>
      <c r="HKL14" s="455"/>
      <c r="HKM14" s="455"/>
      <c r="HKN14" s="455"/>
      <c r="HKO14" s="455"/>
      <c r="HKP14" s="455"/>
      <c r="HKQ14" s="455"/>
      <c r="HKR14" s="1144"/>
      <c r="HKS14" s="1614"/>
      <c r="HKT14" s="455"/>
      <c r="HKU14" s="455"/>
      <c r="HKV14" s="455"/>
      <c r="HKW14" s="455"/>
      <c r="HKX14" s="455"/>
      <c r="HKY14" s="455"/>
      <c r="HKZ14" s="455"/>
      <c r="HLA14" s="455"/>
      <c r="HLB14" s="455"/>
      <c r="HLC14" s="455"/>
      <c r="HLD14" s="1144"/>
      <c r="HLE14" s="1614"/>
      <c r="HLF14" s="455"/>
      <c r="HLG14" s="455"/>
      <c r="HLH14" s="455"/>
      <c r="HLI14" s="455"/>
      <c r="HLJ14" s="455"/>
      <c r="HLK14" s="455"/>
      <c r="HLL14" s="455"/>
      <c r="HLM14" s="455"/>
      <c r="HLN14" s="455"/>
      <c r="HLO14" s="455"/>
      <c r="HLP14" s="1144"/>
      <c r="HLQ14" s="1614"/>
      <c r="HLR14" s="455"/>
      <c r="HLS14" s="455"/>
      <c r="HLT14" s="455"/>
      <c r="HLU14" s="455"/>
      <c r="HLV14" s="455"/>
      <c r="HLW14" s="455"/>
      <c r="HLX14" s="455"/>
      <c r="HLY14" s="455"/>
      <c r="HLZ14" s="455"/>
      <c r="HMA14" s="455"/>
      <c r="HMB14" s="1144"/>
      <c r="HMC14" s="1614"/>
      <c r="HMD14" s="455"/>
      <c r="HME14" s="455"/>
      <c r="HMF14" s="455"/>
      <c r="HMG14" s="455"/>
      <c r="HMH14" s="455"/>
      <c r="HMI14" s="455"/>
      <c r="HMJ14" s="455"/>
      <c r="HMK14" s="455"/>
      <c r="HML14" s="455"/>
      <c r="HMM14" s="455"/>
      <c r="HMN14" s="1144"/>
      <c r="HMO14" s="1614"/>
      <c r="HMP14" s="455"/>
      <c r="HMQ14" s="455"/>
      <c r="HMR14" s="455"/>
      <c r="HMS14" s="455"/>
      <c r="HMT14" s="455"/>
      <c r="HMU14" s="455"/>
      <c r="HMV14" s="455"/>
      <c r="HMW14" s="455"/>
      <c r="HMX14" s="455"/>
      <c r="HMY14" s="455"/>
      <c r="HMZ14" s="1144"/>
      <c r="HNA14" s="1614"/>
      <c r="HNB14" s="455"/>
      <c r="HNC14" s="455"/>
      <c r="HND14" s="455"/>
      <c r="HNE14" s="455"/>
      <c r="HNF14" s="455"/>
      <c r="HNG14" s="455"/>
      <c r="HNH14" s="455"/>
      <c r="HNI14" s="455"/>
      <c r="HNJ14" s="455"/>
      <c r="HNK14" s="455"/>
      <c r="HNL14" s="1144"/>
      <c r="HNM14" s="1614"/>
      <c r="HNN14" s="455"/>
      <c r="HNO14" s="455"/>
      <c r="HNP14" s="455"/>
      <c r="HNQ14" s="455"/>
      <c r="HNR14" s="455"/>
      <c r="HNS14" s="455"/>
      <c r="HNT14" s="455"/>
      <c r="HNU14" s="455"/>
      <c r="HNV14" s="455"/>
      <c r="HNW14" s="455"/>
      <c r="HNX14" s="1144"/>
      <c r="HNY14" s="1614"/>
      <c r="HNZ14" s="455"/>
      <c r="HOA14" s="455"/>
      <c r="HOB14" s="455"/>
      <c r="HOC14" s="455"/>
      <c r="HOD14" s="455"/>
      <c r="HOE14" s="455"/>
      <c r="HOF14" s="455"/>
      <c r="HOG14" s="455"/>
      <c r="HOH14" s="455"/>
      <c r="HOI14" s="455"/>
      <c r="HOJ14" s="1144"/>
      <c r="HOK14" s="1614"/>
      <c r="HOL14" s="455"/>
      <c r="HOM14" s="455"/>
      <c r="HON14" s="455"/>
      <c r="HOO14" s="455"/>
      <c r="HOP14" s="455"/>
      <c r="HOQ14" s="455"/>
      <c r="HOR14" s="455"/>
      <c r="HOS14" s="455"/>
      <c r="HOT14" s="455"/>
      <c r="HOU14" s="455"/>
      <c r="HOV14" s="1144"/>
      <c r="HOW14" s="1614"/>
      <c r="HOX14" s="455"/>
      <c r="HOY14" s="455"/>
      <c r="HOZ14" s="455"/>
      <c r="HPA14" s="455"/>
      <c r="HPB14" s="455"/>
      <c r="HPC14" s="455"/>
      <c r="HPD14" s="455"/>
      <c r="HPE14" s="455"/>
      <c r="HPF14" s="455"/>
      <c r="HPG14" s="455"/>
      <c r="HPH14" s="1144"/>
      <c r="HPI14" s="1614"/>
      <c r="HPJ14" s="455"/>
      <c r="HPK14" s="455"/>
      <c r="HPL14" s="455"/>
      <c r="HPM14" s="455"/>
      <c r="HPN14" s="455"/>
      <c r="HPO14" s="455"/>
      <c r="HPP14" s="455"/>
      <c r="HPQ14" s="455"/>
      <c r="HPR14" s="455"/>
      <c r="HPS14" s="455"/>
      <c r="HPT14" s="1144"/>
      <c r="HPU14" s="1614"/>
      <c r="HPV14" s="455"/>
      <c r="HPW14" s="455"/>
      <c r="HPX14" s="455"/>
      <c r="HPY14" s="455"/>
      <c r="HPZ14" s="455"/>
      <c r="HQA14" s="455"/>
      <c r="HQB14" s="455"/>
      <c r="HQC14" s="455"/>
      <c r="HQD14" s="455"/>
      <c r="HQE14" s="455"/>
      <c r="HQF14" s="1144"/>
      <c r="HQG14" s="1614"/>
      <c r="HQH14" s="455"/>
      <c r="HQI14" s="455"/>
      <c r="HQJ14" s="455"/>
      <c r="HQK14" s="455"/>
      <c r="HQL14" s="455"/>
      <c r="HQM14" s="455"/>
      <c r="HQN14" s="455"/>
      <c r="HQO14" s="455"/>
      <c r="HQP14" s="455"/>
      <c r="HQQ14" s="455"/>
      <c r="HQR14" s="1144"/>
      <c r="HQS14" s="1614"/>
      <c r="HQT14" s="455"/>
      <c r="HQU14" s="455"/>
      <c r="HQV14" s="455"/>
      <c r="HQW14" s="455"/>
      <c r="HQX14" s="455"/>
      <c r="HQY14" s="455"/>
      <c r="HQZ14" s="455"/>
      <c r="HRA14" s="455"/>
      <c r="HRB14" s="455"/>
      <c r="HRC14" s="455"/>
      <c r="HRD14" s="1144"/>
      <c r="HRE14" s="1614"/>
      <c r="HRF14" s="455"/>
      <c r="HRG14" s="455"/>
      <c r="HRH14" s="455"/>
      <c r="HRI14" s="455"/>
      <c r="HRJ14" s="455"/>
      <c r="HRK14" s="455"/>
      <c r="HRL14" s="455"/>
      <c r="HRM14" s="455"/>
      <c r="HRN14" s="455"/>
      <c r="HRO14" s="455"/>
      <c r="HRP14" s="1144"/>
      <c r="HRQ14" s="1614"/>
      <c r="HRR14" s="455"/>
      <c r="HRS14" s="455"/>
      <c r="HRT14" s="455"/>
      <c r="HRU14" s="455"/>
      <c r="HRV14" s="455"/>
      <c r="HRW14" s="455"/>
      <c r="HRX14" s="455"/>
      <c r="HRY14" s="455"/>
      <c r="HRZ14" s="455"/>
      <c r="HSA14" s="455"/>
      <c r="HSB14" s="1144"/>
      <c r="HSC14" s="1614"/>
      <c r="HSD14" s="455"/>
      <c r="HSE14" s="455"/>
      <c r="HSF14" s="455"/>
      <c r="HSG14" s="455"/>
      <c r="HSH14" s="455"/>
      <c r="HSI14" s="455"/>
      <c r="HSJ14" s="455"/>
      <c r="HSK14" s="455"/>
      <c r="HSL14" s="455"/>
      <c r="HSM14" s="455"/>
      <c r="HSN14" s="1144"/>
      <c r="HSO14" s="1614"/>
      <c r="HSP14" s="455"/>
      <c r="HSQ14" s="455"/>
      <c r="HSR14" s="455"/>
      <c r="HSS14" s="455"/>
      <c r="HST14" s="455"/>
      <c r="HSU14" s="455"/>
      <c r="HSV14" s="455"/>
      <c r="HSW14" s="455"/>
      <c r="HSX14" s="455"/>
      <c r="HSY14" s="455"/>
      <c r="HSZ14" s="1144"/>
      <c r="HTA14" s="1614"/>
      <c r="HTB14" s="455"/>
      <c r="HTC14" s="455"/>
      <c r="HTD14" s="455"/>
      <c r="HTE14" s="455"/>
      <c r="HTF14" s="455"/>
      <c r="HTG14" s="455"/>
      <c r="HTH14" s="455"/>
      <c r="HTI14" s="455"/>
      <c r="HTJ14" s="455"/>
      <c r="HTK14" s="455"/>
      <c r="HTL14" s="1144"/>
      <c r="HTM14" s="1614"/>
      <c r="HTN14" s="455"/>
      <c r="HTO14" s="455"/>
      <c r="HTP14" s="455"/>
      <c r="HTQ14" s="455"/>
      <c r="HTR14" s="455"/>
      <c r="HTS14" s="455"/>
      <c r="HTT14" s="455"/>
      <c r="HTU14" s="455"/>
      <c r="HTV14" s="455"/>
      <c r="HTW14" s="455"/>
      <c r="HTX14" s="1144"/>
      <c r="HTY14" s="1614"/>
      <c r="HTZ14" s="455"/>
      <c r="HUA14" s="455"/>
      <c r="HUB14" s="455"/>
      <c r="HUC14" s="455"/>
      <c r="HUD14" s="455"/>
      <c r="HUE14" s="455"/>
      <c r="HUF14" s="455"/>
      <c r="HUG14" s="455"/>
      <c r="HUH14" s="455"/>
      <c r="HUI14" s="455"/>
      <c r="HUJ14" s="1144"/>
      <c r="HUK14" s="1614"/>
      <c r="HUL14" s="455"/>
      <c r="HUM14" s="455"/>
      <c r="HUN14" s="455"/>
      <c r="HUO14" s="455"/>
      <c r="HUP14" s="455"/>
      <c r="HUQ14" s="455"/>
      <c r="HUR14" s="455"/>
      <c r="HUS14" s="455"/>
      <c r="HUT14" s="455"/>
      <c r="HUU14" s="455"/>
      <c r="HUV14" s="1144"/>
      <c r="HUW14" s="1614"/>
      <c r="HUX14" s="455"/>
      <c r="HUY14" s="455"/>
      <c r="HUZ14" s="455"/>
      <c r="HVA14" s="455"/>
      <c r="HVB14" s="455"/>
      <c r="HVC14" s="455"/>
      <c r="HVD14" s="455"/>
      <c r="HVE14" s="455"/>
      <c r="HVF14" s="455"/>
      <c r="HVG14" s="455"/>
      <c r="HVH14" s="1144"/>
      <c r="HVI14" s="1614"/>
      <c r="HVJ14" s="455"/>
      <c r="HVK14" s="455"/>
      <c r="HVL14" s="455"/>
      <c r="HVM14" s="455"/>
      <c r="HVN14" s="455"/>
      <c r="HVO14" s="455"/>
      <c r="HVP14" s="455"/>
      <c r="HVQ14" s="455"/>
      <c r="HVR14" s="455"/>
      <c r="HVS14" s="455"/>
      <c r="HVT14" s="1144"/>
      <c r="HVU14" s="1614"/>
      <c r="HVV14" s="455"/>
      <c r="HVW14" s="455"/>
      <c r="HVX14" s="455"/>
      <c r="HVY14" s="455"/>
      <c r="HVZ14" s="455"/>
      <c r="HWA14" s="455"/>
      <c r="HWB14" s="455"/>
      <c r="HWC14" s="455"/>
      <c r="HWD14" s="455"/>
      <c r="HWE14" s="455"/>
      <c r="HWF14" s="1144"/>
      <c r="HWG14" s="1614"/>
      <c r="HWH14" s="455"/>
      <c r="HWI14" s="455"/>
      <c r="HWJ14" s="455"/>
      <c r="HWK14" s="455"/>
      <c r="HWL14" s="455"/>
      <c r="HWM14" s="455"/>
      <c r="HWN14" s="455"/>
      <c r="HWO14" s="455"/>
      <c r="HWP14" s="455"/>
      <c r="HWQ14" s="455"/>
      <c r="HWR14" s="1144"/>
      <c r="HWS14" s="1614"/>
      <c r="HWT14" s="455"/>
      <c r="HWU14" s="455"/>
      <c r="HWV14" s="455"/>
      <c r="HWW14" s="455"/>
      <c r="HWX14" s="455"/>
      <c r="HWY14" s="455"/>
      <c r="HWZ14" s="455"/>
      <c r="HXA14" s="455"/>
      <c r="HXB14" s="455"/>
      <c r="HXC14" s="455"/>
      <c r="HXD14" s="1144"/>
      <c r="HXE14" s="1614"/>
      <c r="HXF14" s="455"/>
      <c r="HXG14" s="455"/>
      <c r="HXH14" s="455"/>
      <c r="HXI14" s="455"/>
      <c r="HXJ14" s="455"/>
      <c r="HXK14" s="455"/>
      <c r="HXL14" s="455"/>
      <c r="HXM14" s="455"/>
      <c r="HXN14" s="455"/>
      <c r="HXO14" s="455"/>
      <c r="HXP14" s="1144"/>
      <c r="HXQ14" s="1614"/>
      <c r="HXR14" s="455"/>
      <c r="HXS14" s="455"/>
      <c r="HXT14" s="455"/>
      <c r="HXU14" s="455"/>
      <c r="HXV14" s="455"/>
      <c r="HXW14" s="455"/>
      <c r="HXX14" s="455"/>
      <c r="HXY14" s="455"/>
      <c r="HXZ14" s="455"/>
      <c r="HYA14" s="455"/>
      <c r="HYB14" s="1144"/>
      <c r="HYC14" s="1614"/>
      <c r="HYD14" s="455"/>
      <c r="HYE14" s="455"/>
      <c r="HYF14" s="455"/>
      <c r="HYG14" s="455"/>
      <c r="HYH14" s="455"/>
      <c r="HYI14" s="455"/>
      <c r="HYJ14" s="455"/>
      <c r="HYK14" s="455"/>
      <c r="HYL14" s="455"/>
      <c r="HYM14" s="455"/>
      <c r="HYN14" s="1144"/>
      <c r="HYO14" s="1614"/>
      <c r="HYP14" s="455"/>
      <c r="HYQ14" s="455"/>
      <c r="HYR14" s="455"/>
      <c r="HYS14" s="455"/>
      <c r="HYT14" s="455"/>
      <c r="HYU14" s="455"/>
      <c r="HYV14" s="455"/>
      <c r="HYW14" s="455"/>
      <c r="HYX14" s="455"/>
      <c r="HYY14" s="455"/>
      <c r="HYZ14" s="1144"/>
      <c r="HZA14" s="1614"/>
      <c r="HZB14" s="455"/>
      <c r="HZC14" s="455"/>
      <c r="HZD14" s="455"/>
      <c r="HZE14" s="455"/>
      <c r="HZF14" s="455"/>
      <c r="HZG14" s="455"/>
      <c r="HZH14" s="455"/>
      <c r="HZI14" s="455"/>
      <c r="HZJ14" s="455"/>
      <c r="HZK14" s="455"/>
      <c r="HZL14" s="1144"/>
      <c r="HZM14" s="1614"/>
      <c r="HZN14" s="455"/>
      <c r="HZO14" s="455"/>
      <c r="HZP14" s="455"/>
      <c r="HZQ14" s="455"/>
      <c r="HZR14" s="455"/>
      <c r="HZS14" s="455"/>
      <c r="HZT14" s="455"/>
      <c r="HZU14" s="455"/>
      <c r="HZV14" s="455"/>
      <c r="HZW14" s="455"/>
      <c r="HZX14" s="1144"/>
      <c r="HZY14" s="1614"/>
      <c r="HZZ14" s="455"/>
      <c r="IAA14" s="455"/>
      <c r="IAB14" s="455"/>
      <c r="IAC14" s="455"/>
      <c r="IAD14" s="455"/>
      <c r="IAE14" s="455"/>
      <c r="IAF14" s="455"/>
      <c r="IAG14" s="455"/>
      <c r="IAH14" s="455"/>
      <c r="IAI14" s="455"/>
      <c r="IAJ14" s="1144"/>
      <c r="IAK14" s="1614"/>
      <c r="IAL14" s="455"/>
      <c r="IAM14" s="455"/>
      <c r="IAN14" s="455"/>
      <c r="IAO14" s="455"/>
      <c r="IAP14" s="455"/>
      <c r="IAQ14" s="455"/>
      <c r="IAR14" s="455"/>
      <c r="IAS14" s="455"/>
      <c r="IAT14" s="455"/>
      <c r="IAU14" s="455"/>
      <c r="IAV14" s="1144"/>
      <c r="IAW14" s="1614"/>
      <c r="IAX14" s="455"/>
      <c r="IAY14" s="455"/>
      <c r="IAZ14" s="455"/>
      <c r="IBA14" s="455"/>
      <c r="IBB14" s="455"/>
      <c r="IBC14" s="455"/>
      <c r="IBD14" s="455"/>
      <c r="IBE14" s="455"/>
      <c r="IBF14" s="455"/>
      <c r="IBG14" s="455"/>
      <c r="IBH14" s="1144"/>
      <c r="IBI14" s="1614"/>
      <c r="IBJ14" s="455"/>
      <c r="IBK14" s="455"/>
      <c r="IBL14" s="455"/>
      <c r="IBM14" s="455"/>
      <c r="IBN14" s="455"/>
      <c r="IBO14" s="455"/>
      <c r="IBP14" s="455"/>
      <c r="IBQ14" s="455"/>
      <c r="IBR14" s="455"/>
      <c r="IBS14" s="455"/>
      <c r="IBT14" s="1144"/>
      <c r="IBU14" s="1614"/>
      <c r="IBV14" s="455"/>
      <c r="IBW14" s="455"/>
      <c r="IBX14" s="455"/>
      <c r="IBY14" s="455"/>
      <c r="IBZ14" s="455"/>
      <c r="ICA14" s="455"/>
      <c r="ICB14" s="455"/>
      <c r="ICC14" s="455"/>
      <c r="ICD14" s="455"/>
      <c r="ICE14" s="455"/>
      <c r="ICF14" s="1144"/>
      <c r="ICG14" s="1614"/>
      <c r="ICH14" s="455"/>
      <c r="ICI14" s="455"/>
      <c r="ICJ14" s="455"/>
      <c r="ICK14" s="455"/>
      <c r="ICL14" s="455"/>
      <c r="ICM14" s="455"/>
      <c r="ICN14" s="455"/>
      <c r="ICO14" s="455"/>
      <c r="ICP14" s="455"/>
      <c r="ICQ14" s="455"/>
      <c r="ICR14" s="1144"/>
      <c r="ICS14" s="1614"/>
      <c r="ICT14" s="455"/>
      <c r="ICU14" s="455"/>
      <c r="ICV14" s="455"/>
      <c r="ICW14" s="455"/>
      <c r="ICX14" s="455"/>
      <c r="ICY14" s="455"/>
      <c r="ICZ14" s="455"/>
      <c r="IDA14" s="455"/>
      <c r="IDB14" s="455"/>
      <c r="IDC14" s="455"/>
      <c r="IDD14" s="1144"/>
      <c r="IDE14" s="1614"/>
      <c r="IDF14" s="455"/>
      <c r="IDG14" s="455"/>
      <c r="IDH14" s="455"/>
      <c r="IDI14" s="455"/>
      <c r="IDJ14" s="455"/>
      <c r="IDK14" s="455"/>
      <c r="IDL14" s="455"/>
      <c r="IDM14" s="455"/>
      <c r="IDN14" s="455"/>
      <c r="IDO14" s="455"/>
      <c r="IDP14" s="1144"/>
      <c r="IDQ14" s="1614"/>
      <c r="IDR14" s="455"/>
      <c r="IDS14" s="455"/>
      <c r="IDT14" s="455"/>
      <c r="IDU14" s="455"/>
      <c r="IDV14" s="455"/>
      <c r="IDW14" s="455"/>
      <c r="IDX14" s="455"/>
      <c r="IDY14" s="455"/>
      <c r="IDZ14" s="455"/>
      <c r="IEA14" s="455"/>
      <c r="IEB14" s="1144"/>
      <c r="IEC14" s="1614"/>
      <c r="IED14" s="455"/>
      <c r="IEE14" s="455"/>
      <c r="IEF14" s="455"/>
      <c r="IEG14" s="455"/>
      <c r="IEH14" s="455"/>
      <c r="IEI14" s="455"/>
      <c r="IEJ14" s="455"/>
      <c r="IEK14" s="455"/>
      <c r="IEL14" s="455"/>
      <c r="IEM14" s="455"/>
      <c r="IEN14" s="1144"/>
      <c r="IEO14" s="1614"/>
      <c r="IEP14" s="455"/>
      <c r="IEQ14" s="455"/>
      <c r="IER14" s="455"/>
      <c r="IES14" s="455"/>
      <c r="IET14" s="455"/>
      <c r="IEU14" s="455"/>
      <c r="IEV14" s="455"/>
      <c r="IEW14" s="455"/>
      <c r="IEX14" s="455"/>
      <c r="IEY14" s="455"/>
      <c r="IEZ14" s="1144"/>
      <c r="IFA14" s="1614"/>
      <c r="IFB14" s="455"/>
      <c r="IFC14" s="455"/>
      <c r="IFD14" s="455"/>
      <c r="IFE14" s="455"/>
      <c r="IFF14" s="455"/>
      <c r="IFG14" s="455"/>
      <c r="IFH14" s="455"/>
      <c r="IFI14" s="455"/>
      <c r="IFJ14" s="455"/>
      <c r="IFK14" s="455"/>
      <c r="IFL14" s="1144"/>
      <c r="IFM14" s="1614"/>
      <c r="IFN14" s="455"/>
      <c r="IFO14" s="455"/>
      <c r="IFP14" s="455"/>
      <c r="IFQ14" s="455"/>
      <c r="IFR14" s="455"/>
      <c r="IFS14" s="455"/>
      <c r="IFT14" s="455"/>
      <c r="IFU14" s="455"/>
      <c r="IFV14" s="455"/>
      <c r="IFW14" s="455"/>
      <c r="IFX14" s="1144"/>
      <c r="IFY14" s="1614"/>
      <c r="IFZ14" s="455"/>
      <c r="IGA14" s="455"/>
      <c r="IGB14" s="455"/>
      <c r="IGC14" s="455"/>
      <c r="IGD14" s="455"/>
      <c r="IGE14" s="455"/>
      <c r="IGF14" s="455"/>
      <c r="IGG14" s="455"/>
      <c r="IGH14" s="455"/>
      <c r="IGI14" s="455"/>
      <c r="IGJ14" s="1144"/>
      <c r="IGK14" s="1614"/>
      <c r="IGL14" s="455"/>
      <c r="IGM14" s="455"/>
      <c r="IGN14" s="455"/>
      <c r="IGO14" s="455"/>
      <c r="IGP14" s="455"/>
      <c r="IGQ14" s="455"/>
      <c r="IGR14" s="455"/>
      <c r="IGS14" s="455"/>
      <c r="IGT14" s="455"/>
      <c r="IGU14" s="455"/>
      <c r="IGV14" s="1144"/>
      <c r="IGW14" s="1614"/>
      <c r="IGX14" s="455"/>
      <c r="IGY14" s="455"/>
      <c r="IGZ14" s="455"/>
      <c r="IHA14" s="455"/>
      <c r="IHB14" s="455"/>
      <c r="IHC14" s="455"/>
      <c r="IHD14" s="455"/>
      <c r="IHE14" s="455"/>
      <c r="IHF14" s="455"/>
      <c r="IHG14" s="455"/>
      <c r="IHH14" s="1144"/>
      <c r="IHI14" s="1614"/>
      <c r="IHJ14" s="455"/>
      <c r="IHK14" s="455"/>
      <c r="IHL14" s="455"/>
      <c r="IHM14" s="455"/>
      <c r="IHN14" s="455"/>
      <c r="IHO14" s="455"/>
      <c r="IHP14" s="455"/>
      <c r="IHQ14" s="455"/>
      <c r="IHR14" s="455"/>
      <c r="IHS14" s="455"/>
      <c r="IHT14" s="1144"/>
      <c r="IHU14" s="1614"/>
      <c r="IHV14" s="455"/>
      <c r="IHW14" s="455"/>
      <c r="IHX14" s="455"/>
      <c r="IHY14" s="455"/>
      <c r="IHZ14" s="455"/>
      <c r="IIA14" s="455"/>
      <c r="IIB14" s="455"/>
      <c r="IIC14" s="455"/>
      <c r="IID14" s="455"/>
      <c r="IIE14" s="455"/>
      <c r="IIF14" s="1144"/>
      <c r="IIG14" s="1614"/>
      <c r="IIH14" s="455"/>
      <c r="III14" s="455"/>
      <c r="IIJ14" s="455"/>
      <c r="IIK14" s="455"/>
      <c r="IIL14" s="455"/>
      <c r="IIM14" s="455"/>
      <c r="IIN14" s="455"/>
      <c r="IIO14" s="455"/>
      <c r="IIP14" s="455"/>
      <c r="IIQ14" s="455"/>
      <c r="IIR14" s="1144"/>
      <c r="IIS14" s="1614"/>
      <c r="IIT14" s="455"/>
      <c r="IIU14" s="455"/>
      <c r="IIV14" s="455"/>
      <c r="IIW14" s="455"/>
      <c r="IIX14" s="455"/>
      <c r="IIY14" s="455"/>
      <c r="IIZ14" s="455"/>
      <c r="IJA14" s="455"/>
      <c r="IJB14" s="455"/>
      <c r="IJC14" s="455"/>
      <c r="IJD14" s="1144"/>
      <c r="IJE14" s="1614"/>
      <c r="IJF14" s="455"/>
      <c r="IJG14" s="455"/>
      <c r="IJH14" s="455"/>
      <c r="IJI14" s="455"/>
      <c r="IJJ14" s="455"/>
      <c r="IJK14" s="455"/>
      <c r="IJL14" s="455"/>
      <c r="IJM14" s="455"/>
      <c r="IJN14" s="455"/>
      <c r="IJO14" s="455"/>
      <c r="IJP14" s="1144"/>
      <c r="IJQ14" s="1614"/>
      <c r="IJR14" s="455"/>
      <c r="IJS14" s="455"/>
      <c r="IJT14" s="455"/>
      <c r="IJU14" s="455"/>
      <c r="IJV14" s="455"/>
      <c r="IJW14" s="455"/>
      <c r="IJX14" s="455"/>
      <c r="IJY14" s="455"/>
      <c r="IJZ14" s="455"/>
      <c r="IKA14" s="455"/>
      <c r="IKB14" s="1144"/>
      <c r="IKC14" s="1614"/>
      <c r="IKD14" s="455"/>
      <c r="IKE14" s="455"/>
      <c r="IKF14" s="455"/>
      <c r="IKG14" s="455"/>
      <c r="IKH14" s="455"/>
      <c r="IKI14" s="455"/>
      <c r="IKJ14" s="455"/>
      <c r="IKK14" s="455"/>
      <c r="IKL14" s="455"/>
      <c r="IKM14" s="455"/>
      <c r="IKN14" s="1144"/>
      <c r="IKO14" s="1614"/>
      <c r="IKP14" s="455"/>
      <c r="IKQ14" s="455"/>
      <c r="IKR14" s="455"/>
      <c r="IKS14" s="455"/>
      <c r="IKT14" s="455"/>
      <c r="IKU14" s="455"/>
      <c r="IKV14" s="455"/>
      <c r="IKW14" s="455"/>
      <c r="IKX14" s="455"/>
      <c r="IKY14" s="455"/>
      <c r="IKZ14" s="1144"/>
      <c r="ILA14" s="1614"/>
      <c r="ILB14" s="455"/>
      <c r="ILC14" s="455"/>
      <c r="ILD14" s="455"/>
      <c r="ILE14" s="455"/>
      <c r="ILF14" s="455"/>
      <c r="ILG14" s="455"/>
      <c r="ILH14" s="455"/>
      <c r="ILI14" s="455"/>
      <c r="ILJ14" s="455"/>
      <c r="ILK14" s="455"/>
      <c r="ILL14" s="1144"/>
      <c r="ILM14" s="1614"/>
      <c r="ILN14" s="455"/>
      <c r="ILO14" s="455"/>
      <c r="ILP14" s="455"/>
      <c r="ILQ14" s="455"/>
      <c r="ILR14" s="455"/>
      <c r="ILS14" s="455"/>
      <c r="ILT14" s="455"/>
      <c r="ILU14" s="455"/>
      <c r="ILV14" s="455"/>
      <c r="ILW14" s="455"/>
      <c r="ILX14" s="1144"/>
      <c r="ILY14" s="1614"/>
      <c r="ILZ14" s="455"/>
      <c r="IMA14" s="455"/>
      <c r="IMB14" s="455"/>
      <c r="IMC14" s="455"/>
      <c r="IMD14" s="455"/>
      <c r="IME14" s="455"/>
      <c r="IMF14" s="455"/>
      <c r="IMG14" s="455"/>
      <c r="IMH14" s="455"/>
      <c r="IMI14" s="455"/>
      <c r="IMJ14" s="1144"/>
      <c r="IMK14" s="1614"/>
      <c r="IML14" s="455"/>
      <c r="IMM14" s="455"/>
      <c r="IMN14" s="455"/>
      <c r="IMO14" s="455"/>
      <c r="IMP14" s="455"/>
      <c r="IMQ14" s="455"/>
      <c r="IMR14" s="455"/>
      <c r="IMS14" s="455"/>
      <c r="IMT14" s="455"/>
      <c r="IMU14" s="455"/>
      <c r="IMV14" s="1144"/>
      <c r="IMW14" s="1614"/>
      <c r="IMX14" s="455"/>
      <c r="IMY14" s="455"/>
      <c r="IMZ14" s="455"/>
      <c r="INA14" s="455"/>
      <c r="INB14" s="455"/>
      <c r="INC14" s="455"/>
      <c r="IND14" s="455"/>
      <c r="INE14" s="455"/>
      <c r="INF14" s="455"/>
      <c r="ING14" s="455"/>
      <c r="INH14" s="1144"/>
      <c r="INI14" s="1614"/>
      <c r="INJ14" s="455"/>
      <c r="INK14" s="455"/>
      <c r="INL14" s="455"/>
      <c r="INM14" s="455"/>
      <c r="INN14" s="455"/>
      <c r="INO14" s="455"/>
      <c r="INP14" s="455"/>
      <c r="INQ14" s="455"/>
      <c r="INR14" s="455"/>
      <c r="INS14" s="455"/>
      <c r="INT14" s="1144"/>
      <c r="INU14" s="1614"/>
      <c r="INV14" s="455"/>
      <c r="INW14" s="455"/>
      <c r="INX14" s="455"/>
      <c r="INY14" s="455"/>
      <c r="INZ14" s="455"/>
      <c r="IOA14" s="455"/>
      <c r="IOB14" s="455"/>
      <c r="IOC14" s="455"/>
      <c r="IOD14" s="455"/>
      <c r="IOE14" s="455"/>
      <c r="IOF14" s="1144"/>
      <c r="IOG14" s="1614"/>
      <c r="IOH14" s="455"/>
      <c r="IOI14" s="455"/>
      <c r="IOJ14" s="455"/>
      <c r="IOK14" s="455"/>
      <c r="IOL14" s="455"/>
      <c r="IOM14" s="455"/>
      <c r="ION14" s="455"/>
      <c r="IOO14" s="455"/>
      <c r="IOP14" s="455"/>
      <c r="IOQ14" s="455"/>
      <c r="IOR14" s="1144"/>
      <c r="IOS14" s="1614"/>
      <c r="IOT14" s="455"/>
      <c r="IOU14" s="455"/>
      <c r="IOV14" s="455"/>
      <c r="IOW14" s="455"/>
      <c r="IOX14" s="455"/>
      <c r="IOY14" s="455"/>
      <c r="IOZ14" s="455"/>
      <c r="IPA14" s="455"/>
      <c r="IPB14" s="455"/>
      <c r="IPC14" s="455"/>
      <c r="IPD14" s="1144"/>
      <c r="IPE14" s="1614"/>
      <c r="IPF14" s="455"/>
      <c r="IPG14" s="455"/>
      <c r="IPH14" s="455"/>
      <c r="IPI14" s="455"/>
      <c r="IPJ14" s="455"/>
      <c r="IPK14" s="455"/>
      <c r="IPL14" s="455"/>
      <c r="IPM14" s="455"/>
      <c r="IPN14" s="455"/>
      <c r="IPO14" s="455"/>
      <c r="IPP14" s="1144"/>
      <c r="IPQ14" s="1614"/>
      <c r="IPR14" s="455"/>
      <c r="IPS14" s="455"/>
      <c r="IPT14" s="455"/>
      <c r="IPU14" s="455"/>
      <c r="IPV14" s="455"/>
      <c r="IPW14" s="455"/>
      <c r="IPX14" s="455"/>
      <c r="IPY14" s="455"/>
      <c r="IPZ14" s="455"/>
      <c r="IQA14" s="455"/>
      <c r="IQB14" s="1144"/>
      <c r="IQC14" s="1614"/>
      <c r="IQD14" s="455"/>
      <c r="IQE14" s="455"/>
      <c r="IQF14" s="455"/>
      <c r="IQG14" s="455"/>
      <c r="IQH14" s="455"/>
      <c r="IQI14" s="455"/>
      <c r="IQJ14" s="455"/>
      <c r="IQK14" s="455"/>
      <c r="IQL14" s="455"/>
      <c r="IQM14" s="455"/>
      <c r="IQN14" s="1144"/>
      <c r="IQO14" s="1614"/>
      <c r="IQP14" s="455"/>
      <c r="IQQ14" s="455"/>
      <c r="IQR14" s="455"/>
      <c r="IQS14" s="455"/>
      <c r="IQT14" s="455"/>
      <c r="IQU14" s="455"/>
      <c r="IQV14" s="455"/>
      <c r="IQW14" s="455"/>
      <c r="IQX14" s="455"/>
      <c r="IQY14" s="455"/>
      <c r="IQZ14" s="1144"/>
      <c r="IRA14" s="1614"/>
      <c r="IRB14" s="455"/>
      <c r="IRC14" s="455"/>
      <c r="IRD14" s="455"/>
      <c r="IRE14" s="455"/>
      <c r="IRF14" s="455"/>
      <c r="IRG14" s="455"/>
      <c r="IRH14" s="455"/>
      <c r="IRI14" s="455"/>
      <c r="IRJ14" s="455"/>
      <c r="IRK14" s="455"/>
      <c r="IRL14" s="1144"/>
      <c r="IRM14" s="1614"/>
      <c r="IRN14" s="455"/>
      <c r="IRO14" s="455"/>
      <c r="IRP14" s="455"/>
      <c r="IRQ14" s="455"/>
      <c r="IRR14" s="455"/>
      <c r="IRS14" s="455"/>
      <c r="IRT14" s="455"/>
      <c r="IRU14" s="455"/>
      <c r="IRV14" s="455"/>
      <c r="IRW14" s="455"/>
      <c r="IRX14" s="1144"/>
      <c r="IRY14" s="1614"/>
      <c r="IRZ14" s="455"/>
      <c r="ISA14" s="455"/>
      <c r="ISB14" s="455"/>
      <c r="ISC14" s="455"/>
      <c r="ISD14" s="455"/>
      <c r="ISE14" s="455"/>
      <c r="ISF14" s="455"/>
      <c r="ISG14" s="455"/>
      <c r="ISH14" s="455"/>
      <c r="ISI14" s="455"/>
      <c r="ISJ14" s="1144"/>
      <c r="ISK14" s="1614"/>
      <c r="ISL14" s="455"/>
      <c r="ISM14" s="455"/>
      <c r="ISN14" s="455"/>
      <c r="ISO14" s="455"/>
      <c r="ISP14" s="455"/>
      <c r="ISQ14" s="455"/>
      <c r="ISR14" s="455"/>
      <c r="ISS14" s="455"/>
      <c r="IST14" s="455"/>
      <c r="ISU14" s="455"/>
      <c r="ISV14" s="1144"/>
      <c r="ISW14" s="1614"/>
      <c r="ISX14" s="455"/>
      <c r="ISY14" s="455"/>
      <c r="ISZ14" s="455"/>
      <c r="ITA14" s="455"/>
      <c r="ITB14" s="455"/>
      <c r="ITC14" s="455"/>
      <c r="ITD14" s="455"/>
      <c r="ITE14" s="455"/>
      <c r="ITF14" s="455"/>
      <c r="ITG14" s="455"/>
      <c r="ITH14" s="1144"/>
      <c r="ITI14" s="1614"/>
      <c r="ITJ14" s="455"/>
      <c r="ITK14" s="455"/>
      <c r="ITL14" s="455"/>
      <c r="ITM14" s="455"/>
      <c r="ITN14" s="455"/>
      <c r="ITO14" s="455"/>
      <c r="ITP14" s="455"/>
      <c r="ITQ14" s="455"/>
      <c r="ITR14" s="455"/>
      <c r="ITS14" s="455"/>
      <c r="ITT14" s="1144"/>
      <c r="ITU14" s="1614"/>
      <c r="ITV14" s="455"/>
      <c r="ITW14" s="455"/>
      <c r="ITX14" s="455"/>
      <c r="ITY14" s="455"/>
      <c r="ITZ14" s="455"/>
      <c r="IUA14" s="455"/>
      <c r="IUB14" s="455"/>
      <c r="IUC14" s="455"/>
      <c r="IUD14" s="455"/>
      <c r="IUE14" s="455"/>
      <c r="IUF14" s="1144"/>
      <c r="IUG14" s="1614"/>
      <c r="IUH14" s="455"/>
      <c r="IUI14" s="455"/>
      <c r="IUJ14" s="455"/>
      <c r="IUK14" s="455"/>
      <c r="IUL14" s="455"/>
      <c r="IUM14" s="455"/>
      <c r="IUN14" s="455"/>
      <c r="IUO14" s="455"/>
      <c r="IUP14" s="455"/>
      <c r="IUQ14" s="455"/>
      <c r="IUR14" s="1144"/>
      <c r="IUS14" s="1614"/>
      <c r="IUT14" s="455"/>
      <c r="IUU14" s="455"/>
      <c r="IUV14" s="455"/>
      <c r="IUW14" s="455"/>
      <c r="IUX14" s="455"/>
      <c r="IUY14" s="455"/>
      <c r="IUZ14" s="455"/>
      <c r="IVA14" s="455"/>
      <c r="IVB14" s="455"/>
      <c r="IVC14" s="455"/>
      <c r="IVD14" s="1144"/>
      <c r="IVE14" s="1614"/>
      <c r="IVF14" s="455"/>
      <c r="IVG14" s="455"/>
      <c r="IVH14" s="455"/>
      <c r="IVI14" s="455"/>
      <c r="IVJ14" s="455"/>
      <c r="IVK14" s="455"/>
      <c r="IVL14" s="455"/>
      <c r="IVM14" s="455"/>
      <c r="IVN14" s="455"/>
      <c r="IVO14" s="455"/>
      <c r="IVP14" s="1144"/>
      <c r="IVQ14" s="1614"/>
      <c r="IVR14" s="455"/>
      <c r="IVS14" s="455"/>
      <c r="IVT14" s="455"/>
      <c r="IVU14" s="455"/>
      <c r="IVV14" s="455"/>
      <c r="IVW14" s="455"/>
      <c r="IVX14" s="455"/>
      <c r="IVY14" s="455"/>
      <c r="IVZ14" s="455"/>
      <c r="IWA14" s="455"/>
      <c r="IWB14" s="1144"/>
      <c r="IWC14" s="1614"/>
      <c r="IWD14" s="455"/>
      <c r="IWE14" s="455"/>
      <c r="IWF14" s="455"/>
      <c r="IWG14" s="455"/>
      <c r="IWH14" s="455"/>
      <c r="IWI14" s="455"/>
      <c r="IWJ14" s="455"/>
      <c r="IWK14" s="455"/>
      <c r="IWL14" s="455"/>
      <c r="IWM14" s="455"/>
      <c r="IWN14" s="1144"/>
      <c r="IWO14" s="1614"/>
      <c r="IWP14" s="455"/>
      <c r="IWQ14" s="455"/>
      <c r="IWR14" s="455"/>
      <c r="IWS14" s="455"/>
      <c r="IWT14" s="455"/>
      <c r="IWU14" s="455"/>
      <c r="IWV14" s="455"/>
      <c r="IWW14" s="455"/>
      <c r="IWX14" s="455"/>
      <c r="IWY14" s="455"/>
      <c r="IWZ14" s="1144"/>
      <c r="IXA14" s="1614"/>
      <c r="IXB14" s="455"/>
      <c r="IXC14" s="455"/>
      <c r="IXD14" s="455"/>
      <c r="IXE14" s="455"/>
      <c r="IXF14" s="455"/>
      <c r="IXG14" s="455"/>
      <c r="IXH14" s="455"/>
      <c r="IXI14" s="455"/>
      <c r="IXJ14" s="455"/>
      <c r="IXK14" s="455"/>
      <c r="IXL14" s="1144"/>
      <c r="IXM14" s="1614"/>
      <c r="IXN14" s="455"/>
      <c r="IXO14" s="455"/>
      <c r="IXP14" s="455"/>
      <c r="IXQ14" s="455"/>
      <c r="IXR14" s="455"/>
      <c r="IXS14" s="455"/>
      <c r="IXT14" s="455"/>
      <c r="IXU14" s="455"/>
      <c r="IXV14" s="455"/>
      <c r="IXW14" s="455"/>
      <c r="IXX14" s="1144"/>
      <c r="IXY14" s="1614"/>
      <c r="IXZ14" s="455"/>
      <c r="IYA14" s="455"/>
      <c r="IYB14" s="455"/>
      <c r="IYC14" s="455"/>
      <c r="IYD14" s="455"/>
      <c r="IYE14" s="455"/>
      <c r="IYF14" s="455"/>
      <c r="IYG14" s="455"/>
      <c r="IYH14" s="455"/>
      <c r="IYI14" s="455"/>
      <c r="IYJ14" s="1144"/>
      <c r="IYK14" s="1614"/>
      <c r="IYL14" s="455"/>
      <c r="IYM14" s="455"/>
      <c r="IYN14" s="455"/>
      <c r="IYO14" s="455"/>
      <c r="IYP14" s="455"/>
      <c r="IYQ14" s="455"/>
      <c r="IYR14" s="455"/>
      <c r="IYS14" s="455"/>
      <c r="IYT14" s="455"/>
      <c r="IYU14" s="455"/>
      <c r="IYV14" s="1144"/>
      <c r="IYW14" s="1614"/>
      <c r="IYX14" s="455"/>
      <c r="IYY14" s="455"/>
      <c r="IYZ14" s="455"/>
      <c r="IZA14" s="455"/>
      <c r="IZB14" s="455"/>
      <c r="IZC14" s="455"/>
      <c r="IZD14" s="455"/>
      <c r="IZE14" s="455"/>
      <c r="IZF14" s="455"/>
      <c r="IZG14" s="455"/>
      <c r="IZH14" s="1144"/>
      <c r="IZI14" s="1614"/>
      <c r="IZJ14" s="455"/>
      <c r="IZK14" s="455"/>
      <c r="IZL14" s="455"/>
      <c r="IZM14" s="455"/>
      <c r="IZN14" s="455"/>
      <c r="IZO14" s="455"/>
      <c r="IZP14" s="455"/>
      <c r="IZQ14" s="455"/>
      <c r="IZR14" s="455"/>
      <c r="IZS14" s="455"/>
      <c r="IZT14" s="1144"/>
      <c r="IZU14" s="1614"/>
      <c r="IZV14" s="455"/>
      <c r="IZW14" s="455"/>
      <c r="IZX14" s="455"/>
      <c r="IZY14" s="455"/>
      <c r="IZZ14" s="455"/>
      <c r="JAA14" s="455"/>
      <c r="JAB14" s="455"/>
      <c r="JAC14" s="455"/>
      <c r="JAD14" s="455"/>
      <c r="JAE14" s="455"/>
      <c r="JAF14" s="1144"/>
      <c r="JAG14" s="1614"/>
      <c r="JAH14" s="455"/>
      <c r="JAI14" s="455"/>
      <c r="JAJ14" s="455"/>
      <c r="JAK14" s="455"/>
      <c r="JAL14" s="455"/>
      <c r="JAM14" s="455"/>
      <c r="JAN14" s="455"/>
      <c r="JAO14" s="455"/>
      <c r="JAP14" s="455"/>
      <c r="JAQ14" s="455"/>
      <c r="JAR14" s="1144"/>
      <c r="JAS14" s="1614"/>
      <c r="JAT14" s="455"/>
      <c r="JAU14" s="455"/>
      <c r="JAV14" s="455"/>
      <c r="JAW14" s="455"/>
      <c r="JAX14" s="455"/>
      <c r="JAY14" s="455"/>
      <c r="JAZ14" s="455"/>
      <c r="JBA14" s="455"/>
      <c r="JBB14" s="455"/>
      <c r="JBC14" s="455"/>
      <c r="JBD14" s="1144"/>
      <c r="JBE14" s="1614"/>
      <c r="JBF14" s="455"/>
      <c r="JBG14" s="455"/>
      <c r="JBH14" s="455"/>
      <c r="JBI14" s="455"/>
      <c r="JBJ14" s="455"/>
      <c r="JBK14" s="455"/>
      <c r="JBL14" s="455"/>
      <c r="JBM14" s="455"/>
      <c r="JBN14" s="455"/>
      <c r="JBO14" s="455"/>
      <c r="JBP14" s="1144"/>
      <c r="JBQ14" s="1614"/>
      <c r="JBR14" s="455"/>
      <c r="JBS14" s="455"/>
      <c r="JBT14" s="455"/>
      <c r="JBU14" s="455"/>
      <c r="JBV14" s="455"/>
      <c r="JBW14" s="455"/>
      <c r="JBX14" s="455"/>
      <c r="JBY14" s="455"/>
      <c r="JBZ14" s="455"/>
      <c r="JCA14" s="455"/>
      <c r="JCB14" s="1144"/>
      <c r="JCC14" s="1614"/>
      <c r="JCD14" s="455"/>
      <c r="JCE14" s="455"/>
      <c r="JCF14" s="455"/>
      <c r="JCG14" s="455"/>
      <c r="JCH14" s="455"/>
      <c r="JCI14" s="455"/>
      <c r="JCJ14" s="455"/>
      <c r="JCK14" s="455"/>
      <c r="JCL14" s="455"/>
      <c r="JCM14" s="455"/>
      <c r="JCN14" s="1144"/>
      <c r="JCO14" s="1614"/>
      <c r="JCP14" s="455"/>
      <c r="JCQ14" s="455"/>
      <c r="JCR14" s="455"/>
      <c r="JCS14" s="455"/>
      <c r="JCT14" s="455"/>
      <c r="JCU14" s="455"/>
      <c r="JCV14" s="455"/>
      <c r="JCW14" s="455"/>
      <c r="JCX14" s="455"/>
      <c r="JCY14" s="455"/>
      <c r="JCZ14" s="1144"/>
      <c r="JDA14" s="1614"/>
      <c r="JDB14" s="455"/>
      <c r="JDC14" s="455"/>
      <c r="JDD14" s="455"/>
      <c r="JDE14" s="455"/>
      <c r="JDF14" s="455"/>
      <c r="JDG14" s="455"/>
      <c r="JDH14" s="455"/>
      <c r="JDI14" s="455"/>
      <c r="JDJ14" s="455"/>
      <c r="JDK14" s="455"/>
      <c r="JDL14" s="1144"/>
      <c r="JDM14" s="1614"/>
      <c r="JDN14" s="455"/>
      <c r="JDO14" s="455"/>
      <c r="JDP14" s="455"/>
      <c r="JDQ14" s="455"/>
      <c r="JDR14" s="455"/>
      <c r="JDS14" s="455"/>
      <c r="JDT14" s="455"/>
      <c r="JDU14" s="455"/>
      <c r="JDV14" s="455"/>
      <c r="JDW14" s="455"/>
      <c r="JDX14" s="1144"/>
      <c r="JDY14" s="1614"/>
      <c r="JDZ14" s="455"/>
      <c r="JEA14" s="455"/>
      <c r="JEB14" s="455"/>
      <c r="JEC14" s="455"/>
      <c r="JED14" s="455"/>
      <c r="JEE14" s="455"/>
      <c r="JEF14" s="455"/>
      <c r="JEG14" s="455"/>
      <c r="JEH14" s="455"/>
      <c r="JEI14" s="455"/>
      <c r="JEJ14" s="1144"/>
      <c r="JEK14" s="1614"/>
      <c r="JEL14" s="455"/>
      <c r="JEM14" s="455"/>
      <c r="JEN14" s="455"/>
      <c r="JEO14" s="455"/>
      <c r="JEP14" s="455"/>
      <c r="JEQ14" s="455"/>
      <c r="JER14" s="455"/>
      <c r="JES14" s="455"/>
      <c r="JET14" s="455"/>
      <c r="JEU14" s="455"/>
      <c r="JEV14" s="1144"/>
      <c r="JEW14" s="1614"/>
      <c r="JEX14" s="455"/>
      <c r="JEY14" s="455"/>
      <c r="JEZ14" s="455"/>
      <c r="JFA14" s="455"/>
      <c r="JFB14" s="455"/>
      <c r="JFC14" s="455"/>
      <c r="JFD14" s="455"/>
      <c r="JFE14" s="455"/>
      <c r="JFF14" s="455"/>
      <c r="JFG14" s="455"/>
      <c r="JFH14" s="1144"/>
      <c r="JFI14" s="1614"/>
      <c r="JFJ14" s="455"/>
      <c r="JFK14" s="455"/>
      <c r="JFL14" s="455"/>
      <c r="JFM14" s="455"/>
      <c r="JFN14" s="455"/>
      <c r="JFO14" s="455"/>
      <c r="JFP14" s="455"/>
      <c r="JFQ14" s="455"/>
      <c r="JFR14" s="455"/>
      <c r="JFS14" s="455"/>
      <c r="JFT14" s="1144"/>
      <c r="JFU14" s="1614"/>
      <c r="JFV14" s="455"/>
      <c r="JFW14" s="455"/>
      <c r="JFX14" s="455"/>
      <c r="JFY14" s="455"/>
      <c r="JFZ14" s="455"/>
      <c r="JGA14" s="455"/>
      <c r="JGB14" s="455"/>
      <c r="JGC14" s="455"/>
      <c r="JGD14" s="455"/>
      <c r="JGE14" s="455"/>
      <c r="JGF14" s="1144"/>
      <c r="JGG14" s="1614"/>
      <c r="JGH14" s="455"/>
      <c r="JGI14" s="455"/>
      <c r="JGJ14" s="455"/>
      <c r="JGK14" s="455"/>
      <c r="JGL14" s="455"/>
      <c r="JGM14" s="455"/>
      <c r="JGN14" s="455"/>
      <c r="JGO14" s="455"/>
      <c r="JGP14" s="455"/>
      <c r="JGQ14" s="455"/>
      <c r="JGR14" s="1144"/>
      <c r="JGS14" s="1614"/>
      <c r="JGT14" s="455"/>
      <c r="JGU14" s="455"/>
      <c r="JGV14" s="455"/>
      <c r="JGW14" s="455"/>
      <c r="JGX14" s="455"/>
      <c r="JGY14" s="455"/>
      <c r="JGZ14" s="455"/>
      <c r="JHA14" s="455"/>
      <c r="JHB14" s="455"/>
      <c r="JHC14" s="455"/>
      <c r="JHD14" s="1144"/>
      <c r="JHE14" s="1614"/>
      <c r="JHF14" s="455"/>
      <c r="JHG14" s="455"/>
      <c r="JHH14" s="455"/>
      <c r="JHI14" s="455"/>
      <c r="JHJ14" s="455"/>
      <c r="JHK14" s="455"/>
      <c r="JHL14" s="455"/>
      <c r="JHM14" s="455"/>
      <c r="JHN14" s="455"/>
      <c r="JHO14" s="455"/>
      <c r="JHP14" s="1144"/>
      <c r="JHQ14" s="1614"/>
      <c r="JHR14" s="455"/>
      <c r="JHS14" s="455"/>
      <c r="JHT14" s="455"/>
      <c r="JHU14" s="455"/>
      <c r="JHV14" s="455"/>
      <c r="JHW14" s="455"/>
      <c r="JHX14" s="455"/>
      <c r="JHY14" s="455"/>
      <c r="JHZ14" s="455"/>
      <c r="JIA14" s="455"/>
      <c r="JIB14" s="1144"/>
      <c r="JIC14" s="1614"/>
      <c r="JID14" s="455"/>
      <c r="JIE14" s="455"/>
      <c r="JIF14" s="455"/>
      <c r="JIG14" s="455"/>
      <c r="JIH14" s="455"/>
      <c r="JII14" s="455"/>
      <c r="JIJ14" s="455"/>
      <c r="JIK14" s="455"/>
      <c r="JIL14" s="455"/>
      <c r="JIM14" s="455"/>
      <c r="JIN14" s="1144"/>
      <c r="JIO14" s="1614"/>
      <c r="JIP14" s="455"/>
      <c r="JIQ14" s="455"/>
      <c r="JIR14" s="455"/>
      <c r="JIS14" s="455"/>
      <c r="JIT14" s="455"/>
      <c r="JIU14" s="455"/>
      <c r="JIV14" s="455"/>
      <c r="JIW14" s="455"/>
      <c r="JIX14" s="455"/>
      <c r="JIY14" s="455"/>
      <c r="JIZ14" s="1144"/>
      <c r="JJA14" s="1614"/>
      <c r="JJB14" s="455"/>
      <c r="JJC14" s="455"/>
      <c r="JJD14" s="455"/>
      <c r="JJE14" s="455"/>
      <c r="JJF14" s="455"/>
      <c r="JJG14" s="455"/>
      <c r="JJH14" s="455"/>
      <c r="JJI14" s="455"/>
      <c r="JJJ14" s="455"/>
      <c r="JJK14" s="455"/>
      <c r="JJL14" s="1144"/>
      <c r="JJM14" s="1614"/>
      <c r="JJN14" s="455"/>
      <c r="JJO14" s="455"/>
      <c r="JJP14" s="455"/>
      <c r="JJQ14" s="455"/>
      <c r="JJR14" s="455"/>
      <c r="JJS14" s="455"/>
      <c r="JJT14" s="455"/>
      <c r="JJU14" s="455"/>
      <c r="JJV14" s="455"/>
      <c r="JJW14" s="455"/>
      <c r="JJX14" s="1144"/>
      <c r="JJY14" s="1614"/>
      <c r="JJZ14" s="455"/>
      <c r="JKA14" s="455"/>
      <c r="JKB14" s="455"/>
      <c r="JKC14" s="455"/>
      <c r="JKD14" s="455"/>
      <c r="JKE14" s="455"/>
      <c r="JKF14" s="455"/>
      <c r="JKG14" s="455"/>
      <c r="JKH14" s="455"/>
      <c r="JKI14" s="455"/>
      <c r="JKJ14" s="1144"/>
      <c r="JKK14" s="1614"/>
      <c r="JKL14" s="455"/>
      <c r="JKM14" s="455"/>
      <c r="JKN14" s="455"/>
      <c r="JKO14" s="455"/>
      <c r="JKP14" s="455"/>
      <c r="JKQ14" s="455"/>
      <c r="JKR14" s="455"/>
      <c r="JKS14" s="455"/>
      <c r="JKT14" s="455"/>
      <c r="JKU14" s="455"/>
      <c r="JKV14" s="1144"/>
      <c r="JKW14" s="1614"/>
      <c r="JKX14" s="455"/>
      <c r="JKY14" s="455"/>
      <c r="JKZ14" s="455"/>
      <c r="JLA14" s="455"/>
      <c r="JLB14" s="455"/>
      <c r="JLC14" s="455"/>
      <c r="JLD14" s="455"/>
      <c r="JLE14" s="455"/>
      <c r="JLF14" s="455"/>
      <c r="JLG14" s="455"/>
      <c r="JLH14" s="1144"/>
      <c r="JLI14" s="1614"/>
      <c r="JLJ14" s="455"/>
      <c r="JLK14" s="455"/>
      <c r="JLL14" s="455"/>
      <c r="JLM14" s="455"/>
      <c r="JLN14" s="455"/>
      <c r="JLO14" s="455"/>
      <c r="JLP14" s="455"/>
      <c r="JLQ14" s="455"/>
      <c r="JLR14" s="455"/>
      <c r="JLS14" s="455"/>
      <c r="JLT14" s="1144"/>
      <c r="JLU14" s="1614"/>
      <c r="JLV14" s="455"/>
      <c r="JLW14" s="455"/>
      <c r="JLX14" s="455"/>
      <c r="JLY14" s="455"/>
      <c r="JLZ14" s="455"/>
      <c r="JMA14" s="455"/>
      <c r="JMB14" s="455"/>
      <c r="JMC14" s="455"/>
      <c r="JMD14" s="455"/>
      <c r="JME14" s="455"/>
      <c r="JMF14" s="1144"/>
      <c r="JMG14" s="1614"/>
      <c r="JMH14" s="455"/>
      <c r="JMI14" s="455"/>
      <c r="JMJ14" s="455"/>
      <c r="JMK14" s="455"/>
      <c r="JML14" s="455"/>
      <c r="JMM14" s="455"/>
      <c r="JMN14" s="455"/>
      <c r="JMO14" s="455"/>
      <c r="JMP14" s="455"/>
      <c r="JMQ14" s="455"/>
      <c r="JMR14" s="1144"/>
      <c r="JMS14" s="1614"/>
      <c r="JMT14" s="455"/>
      <c r="JMU14" s="455"/>
      <c r="JMV14" s="455"/>
      <c r="JMW14" s="455"/>
      <c r="JMX14" s="455"/>
      <c r="JMY14" s="455"/>
      <c r="JMZ14" s="455"/>
      <c r="JNA14" s="455"/>
      <c r="JNB14" s="455"/>
      <c r="JNC14" s="455"/>
      <c r="JND14" s="1144"/>
      <c r="JNE14" s="1614"/>
      <c r="JNF14" s="455"/>
      <c r="JNG14" s="455"/>
      <c r="JNH14" s="455"/>
      <c r="JNI14" s="455"/>
      <c r="JNJ14" s="455"/>
      <c r="JNK14" s="455"/>
      <c r="JNL14" s="455"/>
      <c r="JNM14" s="455"/>
      <c r="JNN14" s="455"/>
      <c r="JNO14" s="455"/>
      <c r="JNP14" s="1144"/>
      <c r="JNQ14" s="1614"/>
      <c r="JNR14" s="455"/>
      <c r="JNS14" s="455"/>
      <c r="JNT14" s="455"/>
      <c r="JNU14" s="455"/>
      <c r="JNV14" s="455"/>
      <c r="JNW14" s="455"/>
      <c r="JNX14" s="455"/>
      <c r="JNY14" s="455"/>
      <c r="JNZ14" s="455"/>
      <c r="JOA14" s="455"/>
      <c r="JOB14" s="1144"/>
      <c r="JOC14" s="1614"/>
      <c r="JOD14" s="455"/>
      <c r="JOE14" s="455"/>
      <c r="JOF14" s="455"/>
      <c r="JOG14" s="455"/>
      <c r="JOH14" s="455"/>
      <c r="JOI14" s="455"/>
      <c r="JOJ14" s="455"/>
      <c r="JOK14" s="455"/>
      <c r="JOL14" s="455"/>
      <c r="JOM14" s="455"/>
      <c r="JON14" s="1144"/>
      <c r="JOO14" s="1614"/>
      <c r="JOP14" s="455"/>
      <c r="JOQ14" s="455"/>
      <c r="JOR14" s="455"/>
      <c r="JOS14" s="455"/>
      <c r="JOT14" s="455"/>
      <c r="JOU14" s="455"/>
      <c r="JOV14" s="455"/>
      <c r="JOW14" s="455"/>
      <c r="JOX14" s="455"/>
      <c r="JOY14" s="455"/>
      <c r="JOZ14" s="1144"/>
      <c r="JPA14" s="1614"/>
      <c r="JPB14" s="455"/>
      <c r="JPC14" s="455"/>
      <c r="JPD14" s="455"/>
      <c r="JPE14" s="455"/>
      <c r="JPF14" s="455"/>
      <c r="JPG14" s="455"/>
      <c r="JPH14" s="455"/>
      <c r="JPI14" s="455"/>
      <c r="JPJ14" s="455"/>
      <c r="JPK14" s="455"/>
      <c r="JPL14" s="1144"/>
      <c r="JPM14" s="1614"/>
      <c r="JPN14" s="455"/>
      <c r="JPO14" s="455"/>
      <c r="JPP14" s="455"/>
      <c r="JPQ14" s="455"/>
      <c r="JPR14" s="455"/>
      <c r="JPS14" s="455"/>
      <c r="JPT14" s="455"/>
      <c r="JPU14" s="455"/>
      <c r="JPV14" s="455"/>
      <c r="JPW14" s="455"/>
      <c r="JPX14" s="1144"/>
      <c r="JPY14" s="1614"/>
      <c r="JPZ14" s="455"/>
      <c r="JQA14" s="455"/>
      <c r="JQB14" s="455"/>
      <c r="JQC14" s="455"/>
      <c r="JQD14" s="455"/>
      <c r="JQE14" s="455"/>
      <c r="JQF14" s="455"/>
      <c r="JQG14" s="455"/>
      <c r="JQH14" s="455"/>
      <c r="JQI14" s="455"/>
      <c r="JQJ14" s="1144"/>
      <c r="JQK14" s="1614"/>
      <c r="JQL14" s="455"/>
      <c r="JQM14" s="455"/>
      <c r="JQN14" s="455"/>
      <c r="JQO14" s="455"/>
      <c r="JQP14" s="455"/>
      <c r="JQQ14" s="455"/>
      <c r="JQR14" s="455"/>
      <c r="JQS14" s="455"/>
      <c r="JQT14" s="455"/>
      <c r="JQU14" s="455"/>
      <c r="JQV14" s="1144"/>
      <c r="JQW14" s="1614"/>
      <c r="JQX14" s="455"/>
      <c r="JQY14" s="455"/>
      <c r="JQZ14" s="455"/>
      <c r="JRA14" s="455"/>
      <c r="JRB14" s="455"/>
      <c r="JRC14" s="455"/>
      <c r="JRD14" s="455"/>
      <c r="JRE14" s="455"/>
      <c r="JRF14" s="455"/>
      <c r="JRG14" s="455"/>
      <c r="JRH14" s="1144"/>
      <c r="JRI14" s="1614"/>
      <c r="JRJ14" s="455"/>
      <c r="JRK14" s="455"/>
      <c r="JRL14" s="455"/>
      <c r="JRM14" s="455"/>
      <c r="JRN14" s="455"/>
      <c r="JRO14" s="455"/>
      <c r="JRP14" s="455"/>
      <c r="JRQ14" s="455"/>
      <c r="JRR14" s="455"/>
      <c r="JRS14" s="455"/>
      <c r="JRT14" s="1144"/>
      <c r="JRU14" s="1614"/>
      <c r="JRV14" s="455"/>
      <c r="JRW14" s="455"/>
      <c r="JRX14" s="455"/>
      <c r="JRY14" s="455"/>
      <c r="JRZ14" s="455"/>
      <c r="JSA14" s="455"/>
      <c r="JSB14" s="455"/>
      <c r="JSC14" s="455"/>
      <c r="JSD14" s="455"/>
      <c r="JSE14" s="455"/>
      <c r="JSF14" s="1144"/>
      <c r="JSG14" s="1614"/>
      <c r="JSH14" s="455"/>
      <c r="JSI14" s="455"/>
      <c r="JSJ14" s="455"/>
      <c r="JSK14" s="455"/>
      <c r="JSL14" s="455"/>
      <c r="JSM14" s="455"/>
      <c r="JSN14" s="455"/>
      <c r="JSO14" s="455"/>
      <c r="JSP14" s="455"/>
      <c r="JSQ14" s="455"/>
      <c r="JSR14" s="1144"/>
      <c r="JSS14" s="1614"/>
      <c r="JST14" s="455"/>
      <c r="JSU14" s="455"/>
      <c r="JSV14" s="455"/>
      <c r="JSW14" s="455"/>
      <c r="JSX14" s="455"/>
      <c r="JSY14" s="455"/>
      <c r="JSZ14" s="455"/>
      <c r="JTA14" s="455"/>
      <c r="JTB14" s="455"/>
      <c r="JTC14" s="455"/>
      <c r="JTD14" s="1144"/>
      <c r="JTE14" s="1614"/>
      <c r="JTF14" s="455"/>
      <c r="JTG14" s="455"/>
      <c r="JTH14" s="455"/>
      <c r="JTI14" s="455"/>
      <c r="JTJ14" s="455"/>
      <c r="JTK14" s="455"/>
      <c r="JTL14" s="455"/>
      <c r="JTM14" s="455"/>
      <c r="JTN14" s="455"/>
      <c r="JTO14" s="455"/>
      <c r="JTP14" s="1144"/>
      <c r="JTQ14" s="1614"/>
      <c r="JTR14" s="455"/>
      <c r="JTS14" s="455"/>
      <c r="JTT14" s="455"/>
      <c r="JTU14" s="455"/>
      <c r="JTV14" s="455"/>
      <c r="JTW14" s="455"/>
      <c r="JTX14" s="455"/>
      <c r="JTY14" s="455"/>
      <c r="JTZ14" s="455"/>
      <c r="JUA14" s="455"/>
      <c r="JUB14" s="1144"/>
      <c r="JUC14" s="1614"/>
      <c r="JUD14" s="455"/>
      <c r="JUE14" s="455"/>
      <c r="JUF14" s="455"/>
      <c r="JUG14" s="455"/>
      <c r="JUH14" s="455"/>
      <c r="JUI14" s="455"/>
      <c r="JUJ14" s="455"/>
      <c r="JUK14" s="455"/>
      <c r="JUL14" s="455"/>
      <c r="JUM14" s="455"/>
      <c r="JUN14" s="1144"/>
      <c r="JUO14" s="1614"/>
      <c r="JUP14" s="455"/>
      <c r="JUQ14" s="455"/>
      <c r="JUR14" s="455"/>
      <c r="JUS14" s="455"/>
      <c r="JUT14" s="455"/>
      <c r="JUU14" s="455"/>
      <c r="JUV14" s="455"/>
      <c r="JUW14" s="455"/>
      <c r="JUX14" s="455"/>
      <c r="JUY14" s="455"/>
      <c r="JUZ14" s="1144"/>
      <c r="JVA14" s="1614"/>
      <c r="JVB14" s="455"/>
      <c r="JVC14" s="455"/>
      <c r="JVD14" s="455"/>
      <c r="JVE14" s="455"/>
      <c r="JVF14" s="455"/>
      <c r="JVG14" s="455"/>
      <c r="JVH14" s="455"/>
      <c r="JVI14" s="455"/>
      <c r="JVJ14" s="455"/>
      <c r="JVK14" s="455"/>
      <c r="JVL14" s="1144"/>
      <c r="JVM14" s="1614"/>
      <c r="JVN14" s="455"/>
      <c r="JVO14" s="455"/>
      <c r="JVP14" s="455"/>
      <c r="JVQ14" s="455"/>
      <c r="JVR14" s="455"/>
      <c r="JVS14" s="455"/>
      <c r="JVT14" s="455"/>
      <c r="JVU14" s="455"/>
      <c r="JVV14" s="455"/>
      <c r="JVW14" s="455"/>
      <c r="JVX14" s="1144"/>
      <c r="JVY14" s="1614"/>
      <c r="JVZ14" s="455"/>
      <c r="JWA14" s="455"/>
      <c r="JWB14" s="455"/>
      <c r="JWC14" s="455"/>
      <c r="JWD14" s="455"/>
      <c r="JWE14" s="455"/>
      <c r="JWF14" s="455"/>
      <c r="JWG14" s="455"/>
      <c r="JWH14" s="455"/>
      <c r="JWI14" s="455"/>
      <c r="JWJ14" s="1144"/>
      <c r="JWK14" s="1614"/>
      <c r="JWL14" s="455"/>
      <c r="JWM14" s="455"/>
      <c r="JWN14" s="455"/>
      <c r="JWO14" s="455"/>
      <c r="JWP14" s="455"/>
      <c r="JWQ14" s="455"/>
      <c r="JWR14" s="455"/>
      <c r="JWS14" s="455"/>
      <c r="JWT14" s="455"/>
      <c r="JWU14" s="455"/>
      <c r="JWV14" s="1144"/>
      <c r="JWW14" s="1614"/>
      <c r="JWX14" s="455"/>
      <c r="JWY14" s="455"/>
      <c r="JWZ14" s="455"/>
      <c r="JXA14" s="455"/>
      <c r="JXB14" s="455"/>
      <c r="JXC14" s="455"/>
      <c r="JXD14" s="455"/>
      <c r="JXE14" s="455"/>
      <c r="JXF14" s="455"/>
      <c r="JXG14" s="455"/>
      <c r="JXH14" s="1144"/>
      <c r="JXI14" s="1614"/>
      <c r="JXJ14" s="455"/>
      <c r="JXK14" s="455"/>
      <c r="JXL14" s="455"/>
      <c r="JXM14" s="455"/>
      <c r="JXN14" s="455"/>
      <c r="JXO14" s="455"/>
      <c r="JXP14" s="455"/>
      <c r="JXQ14" s="455"/>
      <c r="JXR14" s="455"/>
      <c r="JXS14" s="455"/>
      <c r="JXT14" s="1144"/>
      <c r="JXU14" s="1614"/>
      <c r="JXV14" s="455"/>
      <c r="JXW14" s="455"/>
      <c r="JXX14" s="455"/>
      <c r="JXY14" s="455"/>
      <c r="JXZ14" s="455"/>
      <c r="JYA14" s="455"/>
      <c r="JYB14" s="455"/>
      <c r="JYC14" s="455"/>
      <c r="JYD14" s="455"/>
      <c r="JYE14" s="455"/>
      <c r="JYF14" s="1144"/>
      <c r="JYG14" s="1614"/>
      <c r="JYH14" s="455"/>
      <c r="JYI14" s="455"/>
      <c r="JYJ14" s="455"/>
      <c r="JYK14" s="455"/>
      <c r="JYL14" s="455"/>
      <c r="JYM14" s="455"/>
      <c r="JYN14" s="455"/>
      <c r="JYO14" s="455"/>
      <c r="JYP14" s="455"/>
      <c r="JYQ14" s="455"/>
      <c r="JYR14" s="1144"/>
      <c r="JYS14" s="1614"/>
      <c r="JYT14" s="455"/>
      <c r="JYU14" s="455"/>
      <c r="JYV14" s="455"/>
      <c r="JYW14" s="455"/>
      <c r="JYX14" s="455"/>
      <c r="JYY14" s="455"/>
      <c r="JYZ14" s="455"/>
      <c r="JZA14" s="455"/>
      <c r="JZB14" s="455"/>
      <c r="JZC14" s="455"/>
      <c r="JZD14" s="1144"/>
      <c r="JZE14" s="1614"/>
      <c r="JZF14" s="455"/>
      <c r="JZG14" s="455"/>
      <c r="JZH14" s="455"/>
      <c r="JZI14" s="455"/>
      <c r="JZJ14" s="455"/>
      <c r="JZK14" s="455"/>
      <c r="JZL14" s="455"/>
      <c r="JZM14" s="455"/>
      <c r="JZN14" s="455"/>
      <c r="JZO14" s="455"/>
      <c r="JZP14" s="1144"/>
      <c r="JZQ14" s="1614"/>
      <c r="JZR14" s="455"/>
      <c r="JZS14" s="455"/>
      <c r="JZT14" s="455"/>
      <c r="JZU14" s="455"/>
      <c r="JZV14" s="455"/>
      <c r="JZW14" s="455"/>
      <c r="JZX14" s="455"/>
      <c r="JZY14" s="455"/>
      <c r="JZZ14" s="455"/>
      <c r="KAA14" s="455"/>
      <c r="KAB14" s="1144"/>
      <c r="KAC14" s="1614"/>
      <c r="KAD14" s="455"/>
      <c r="KAE14" s="455"/>
      <c r="KAF14" s="455"/>
      <c r="KAG14" s="455"/>
      <c r="KAH14" s="455"/>
      <c r="KAI14" s="455"/>
      <c r="KAJ14" s="455"/>
      <c r="KAK14" s="455"/>
      <c r="KAL14" s="455"/>
      <c r="KAM14" s="455"/>
      <c r="KAN14" s="1144"/>
      <c r="KAO14" s="1614"/>
      <c r="KAP14" s="455"/>
      <c r="KAQ14" s="455"/>
      <c r="KAR14" s="455"/>
      <c r="KAS14" s="455"/>
      <c r="KAT14" s="455"/>
      <c r="KAU14" s="455"/>
      <c r="KAV14" s="455"/>
      <c r="KAW14" s="455"/>
      <c r="KAX14" s="455"/>
      <c r="KAY14" s="455"/>
      <c r="KAZ14" s="1144"/>
      <c r="KBA14" s="1614"/>
      <c r="KBB14" s="455"/>
      <c r="KBC14" s="455"/>
      <c r="KBD14" s="455"/>
      <c r="KBE14" s="455"/>
      <c r="KBF14" s="455"/>
      <c r="KBG14" s="455"/>
      <c r="KBH14" s="455"/>
      <c r="KBI14" s="455"/>
      <c r="KBJ14" s="455"/>
      <c r="KBK14" s="455"/>
      <c r="KBL14" s="1144"/>
      <c r="KBM14" s="1614"/>
      <c r="KBN14" s="455"/>
      <c r="KBO14" s="455"/>
      <c r="KBP14" s="455"/>
      <c r="KBQ14" s="455"/>
      <c r="KBR14" s="455"/>
      <c r="KBS14" s="455"/>
      <c r="KBT14" s="455"/>
      <c r="KBU14" s="455"/>
      <c r="KBV14" s="455"/>
      <c r="KBW14" s="455"/>
      <c r="KBX14" s="1144"/>
      <c r="KBY14" s="1614"/>
      <c r="KBZ14" s="455"/>
      <c r="KCA14" s="455"/>
      <c r="KCB14" s="455"/>
      <c r="KCC14" s="455"/>
      <c r="KCD14" s="455"/>
      <c r="KCE14" s="455"/>
      <c r="KCF14" s="455"/>
      <c r="KCG14" s="455"/>
      <c r="KCH14" s="455"/>
      <c r="KCI14" s="455"/>
      <c r="KCJ14" s="1144"/>
      <c r="KCK14" s="1614"/>
      <c r="KCL14" s="455"/>
      <c r="KCM14" s="455"/>
      <c r="KCN14" s="455"/>
      <c r="KCO14" s="455"/>
      <c r="KCP14" s="455"/>
      <c r="KCQ14" s="455"/>
      <c r="KCR14" s="455"/>
      <c r="KCS14" s="455"/>
      <c r="KCT14" s="455"/>
      <c r="KCU14" s="455"/>
      <c r="KCV14" s="1144"/>
      <c r="KCW14" s="1614"/>
      <c r="KCX14" s="455"/>
      <c r="KCY14" s="455"/>
      <c r="KCZ14" s="455"/>
      <c r="KDA14" s="455"/>
      <c r="KDB14" s="455"/>
      <c r="KDC14" s="455"/>
      <c r="KDD14" s="455"/>
      <c r="KDE14" s="455"/>
      <c r="KDF14" s="455"/>
      <c r="KDG14" s="455"/>
      <c r="KDH14" s="1144"/>
      <c r="KDI14" s="1614"/>
      <c r="KDJ14" s="455"/>
      <c r="KDK14" s="455"/>
      <c r="KDL14" s="455"/>
      <c r="KDM14" s="455"/>
      <c r="KDN14" s="455"/>
      <c r="KDO14" s="455"/>
      <c r="KDP14" s="455"/>
      <c r="KDQ14" s="455"/>
      <c r="KDR14" s="455"/>
      <c r="KDS14" s="455"/>
      <c r="KDT14" s="1144"/>
      <c r="KDU14" s="1614"/>
      <c r="KDV14" s="455"/>
      <c r="KDW14" s="455"/>
      <c r="KDX14" s="455"/>
      <c r="KDY14" s="455"/>
      <c r="KDZ14" s="455"/>
      <c r="KEA14" s="455"/>
      <c r="KEB14" s="455"/>
      <c r="KEC14" s="455"/>
      <c r="KED14" s="455"/>
      <c r="KEE14" s="455"/>
      <c r="KEF14" s="1144"/>
      <c r="KEG14" s="1614"/>
      <c r="KEH14" s="455"/>
      <c r="KEI14" s="455"/>
      <c r="KEJ14" s="455"/>
      <c r="KEK14" s="455"/>
      <c r="KEL14" s="455"/>
      <c r="KEM14" s="455"/>
      <c r="KEN14" s="455"/>
      <c r="KEO14" s="455"/>
      <c r="KEP14" s="455"/>
      <c r="KEQ14" s="455"/>
      <c r="KER14" s="1144"/>
      <c r="KES14" s="1614"/>
      <c r="KET14" s="455"/>
      <c r="KEU14" s="455"/>
      <c r="KEV14" s="455"/>
      <c r="KEW14" s="455"/>
      <c r="KEX14" s="455"/>
      <c r="KEY14" s="455"/>
      <c r="KEZ14" s="455"/>
      <c r="KFA14" s="455"/>
      <c r="KFB14" s="455"/>
      <c r="KFC14" s="455"/>
      <c r="KFD14" s="1144"/>
      <c r="KFE14" s="1614"/>
      <c r="KFF14" s="455"/>
      <c r="KFG14" s="455"/>
      <c r="KFH14" s="455"/>
      <c r="KFI14" s="455"/>
      <c r="KFJ14" s="455"/>
      <c r="KFK14" s="455"/>
      <c r="KFL14" s="455"/>
      <c r="KFM14" s="455"/>
      <c r="KFN14" s="455"/>
      <c r="KFO14" s="455"/>
      <c r="KFP14" s="1144"/>
      <c r="KFQ14" s="1614"/>
      <c r="KFR14" s="455"/>
      <c r="KFS14" s="455"/>
      <c r="KFT14" s="455"/>
      <c r="KFU14" s="455"/>
      <c r="KFV14" s="455"/>
      <c r="KFW14" s="455"/>
      <c r="KFX14" s="455"/>
      <c r="KFY14" s="455"/>
      <c r="KFZ14" s="455"/>
      <c r="KGA14" s="455"/>
      <c r="KGB14" s="1144"/>
      <c r="KGC14" s="1614"/>
      <c r="KGD14" s="455"/>
      <c r="KGE14" s="455"/>
      <c r="KGF14" s="455"/>
      <c r="KGG14" s="455"/>
      <c r="KGH14" s="455"/>
      <c r="KGI14" s="455"/>
      <c r="KGJ14" s="455"/>
      <c r="KGK14" s="455"/>
      <c r="KGL14" s="455"/>
      <c r="KGM14" s="455"/>
      <c r="KGN14" s="1144"/>
      <c r="KGO14" s="1614"/>
      <c r="KGP14" s="455"/>
      <c r="KGQ14" s="455"/>
      <c r="KGR14" s="455"/>
      <c r="KGS14" s="455"/>
      <c r="KGT14" s="455"/>
      <c r="KGU14" s="455"/>
      <c r="KGV14" s="455"/>
      <c r="KGW14" s="455"/>
      <c r="KGX14" s="455"/>
      <c r="KGY14" s="455"/>
      <c r="KGZ14" s="1144"/>
      <c r="KHA14" s="1614"/>
      <c r="KHB14" s="455"/>
      <c r="KHC14" s="455"/>
      <c r="KHD14" s="455"/>
      <c r="KHE14" s="455"/>
      <c r="KHF14" s="455"/>
      <c r="KHG14" s="455"/>
      <c r="KHH14" s="455"/>
      <c r="KHI14" s="455"/>
      <c r="KHJ14" s="455"/>
      <c r="KHK14" s="455"/>
      <c r="KHL14" s="1144"/>
      <c r="KHM14" s="1614"/>
      <c r="KHN14" s="455"/>
      <c r="KHO14" s="455"/>
      <c r="KHP14" s="455"/>
      <c r="KHQ14" s="455"/>
      <c r="KHR14" s="455"/>
      <c r="KHS14" s="455"/>
      <c r="KHT14" s="455"/>
      <c r="KHU14" s="455"/>
      <c r="KHV14" s="455"/>
      <c r="KHW14" s="455"/>
      <c r="KHX14" s="1144"/>
      <c r="KHY14" s="1614"/>
      <c r="KHZ14" s="455"/>
      <c r="KIA14" s="455"/>
      <c r="KIB14" s="455"/>
      <c r="KIC14" s="455"/>
      <c r="KID14" s="455"/>
      <c r="KIE14" s="455"/>
      <c r="KIF14" s="455"/>
      <c r="KIG14" s="455"/>
      <c r="KIH14" s="455"/>
      <c r="KII14" s="455"/>
      <c r="KIJ14" s="1144"/>
      <c r="KIK14" s="1614"/>
      <c r="KIL14" s="455"/>
      <c r="KIM14" s="455"/>
      <c r="KIN14" s="455"/>
      <c r="KIO14" s="455"/>
      <c r="KIP14" s="455"/>
      <c r="KIQ14" s="455"/>
      <c r="KIR14" s="455"/>
      <c r="KIS14" s="455"/>
      <c r="KIT14" s="455"/>
      <c r="KIU14" s="455"/>
      <c r="KIV14" s="1144"/>
      <c r="KIW14" s="1614"/>
      <c r="KIX14" s="455"/>
      <c r="KIY14" s="455"/>
      <c r="KIZ14" s="455"/>
      <c r="KJA14" s="455"/>
      <c r="KJB14" s="455"/>
      <c r="KJC14" s="455"/>
      <c r="KJD14" s="455"/>
      <c r="KJE14" s="455"/>
      <c r="KJF14" s="455"/>
      <c r="KJG14" s="455"/>
      <c r="KJH14" s="1144"/>
      <c r="KJI14" s="1614"/>
      <c r="KJJ14" s="455"/>
      <c r="KJK14" s="455"/>
      <c r="KJL14" s="455"/>
      <c r="KJM14" s="455"/>
      <c r="KJN14" s="455"/>
      <c r="KJO14" s="455"/>
      <c r="KJP14" s="455"/>
      <c r="KJQ14" s="455"/>
      <c r="KJR14" s="455"/>
      <c r="KJS14" s="455"/>
      <c r="KJT14" s="1144"/>
      <c r="KJU14" s="1614"/>
      <c r="KJV14" s="455"/>
      <c r="KJW14" s="455"/>
      <c r="KJX14" s="455"/>
      <c r="KJY14" s="455"/>
      <c r="KJZ14" s="455"/>
      <c r="KKA14" s="455"/>
      <c r="KKB14" s="455"/>
      <c r="KKC14" s="455"/>
      <c r="KKD14" s="455"/>
      <c r="KKE14" s="455"/>
      <c r="KKF14" s="1144"/>
      <c r="KKG14" s="1614"/>
      <c r="KKH14" s="455"/>
      <c r="KKI14" s="455"/>
      <c r="KKJ14" s="455"/>
      <c r="KKK14" s="455"/>
      <c r="KKL14" s="455"/>
      <c r="KKM14" s="455"/>
      <c r="KKN14" s="455"/>
      <c r="KKO14" s="455"/>
      <c r="KKP14" s="455"/>
      <c r="KKQ14" s="455"/>
      <c r="KKR14" s="1144"/>
      <c r="KKS14" s="1614"/>
      <c r="KKT14" s="455"/>
      <c r="KKU14" s="455"/>
      <c r="KKV14" s="455"/>
      <c r="KKW14" s="455"/>
      <c r="KKX14" s="455"/>
      <c r="KKY14" s="455"/>
      <c r="KKZ14" s="455"/>
      <c r="KLA14" s="455"/>
      <c r="KLB14" s="455"/>
      <c r="KLC14" s="455"/>
      <c r="KLD14" s="1144"/>
      <c r="KLE14" s="1614"/>
      <c r="KLF14" s="455"/>
      <c r="KLG14" s="455"/>
      <c r="KLH14" s="455"/>
      <c r="KLI14" s="455"/>
      <c r="KLJ14" s="455"/>
      <c r="KLK14" s="455"/>
      <c r="KLL14" s="455"/>
      <c r="KLM14" s="455"/>
      <c r="KLN14" s="455"/>
      <c r="KLO14" s="455"/>
      <c r="KLP14" s="1144"/>
      <c r="KLQ14" s="1614"/>
      <c r="KLR14" s="455"/>
      <c r="KLS14" s="455"/>
      <c r="KLT14" s="455"/>
      <c r="KLU14" s="455"/>
      <c r="KLV14" s="455"/>
      <c r="KLW14" s="455"/>
      <c r="KLX14" s="455"/>
      <c r="KLY14" s="455"/>
      <c r="KLZ14" s="455"/>
      <c r="KMA14" s="455"/>
      <c r="KMB14" s="1144"/>
      <c r="KMC14" s="1614"/>
      <c r="KMD14" s="455"/>
      <c r="KME14" s="455"/>
      <c r="KMF14" s="455"/>
      <c r="KMG14" s="455"/>
      <c r="KMH14" s="455"/>
      <c r="KMI14" s="455"/>
      <c r="KMJ14" s="455"/>
      <c r="KMK14" s="455"/>
      <c r="KML14" s="455"/>
      <c r="KMM14" s="455"/>
      <c r="KMN14" s="1144"/>
      <c r="KMO14" s="1614"/>
      <c r="KMP14" s="455"/>
      <c r="KMQ14" s="455"/>
      <c r="KMR14" s="455"/>
      <c r="KMS14" s="455"/>
      <c r="KMT14" s="455"/>
      <c r="KMU14" s="455"/>
      <c r="KMV14" s="455"/>
      <c r="KMW14" s="455"/>
      <c r="KMX14" s="455"/>
      <c r="KMY14" s="455"/>
      <c r="KMZ14" s="1144"/>
      <c r="KNA14" s="1614"/>
      <c r="KNB14" s="455"/>
      <c r="KNC14" s="455"/>
      <c r="KND14" s="455"/>
      <c r="KNE14" s="455"/>
      <c r="KNF14" s="455"/>
      <c r="KNG14" s="455"/>
      <c r="KNH14" s="455"/>
      <c r="KNI14" s="455"/>
      <c r="KNJ14" s="455"/>
      <c r="KNK14" s="455"/>
      <c r="KNL14" s="1144"/>
      <c r="KNM14" s="1614"/>
      <c r="KNN14" s="455"/>
      <c r="KNO14" s="455"/>
      <c r="KNP14" s="455"/>
      <c r="KNQ14" s="455"/>
      <c r="KNR14" s="455"/>
      <c r="KNS14" s="455"/>
      <c r="KNT14" s="455"/>
      <c r="KNU14" s="455"/>
      <c r="KNV14" s="455"/>
      <c r="KNW14" s="455"/>
      <c r="KNX14" s="1144"/>
      <c r="KNY14" s="1614"/>
      <c r="KNZ14" s="455"/>
      <c r="KOA14" s="455"/>
      <c r="KOB14" s="455"/>
      <c r="KOC14" s="455"/>
      <c r="KOD14" s="455"/>
      <c r="KOE14" s="455"/>
      <c r="KOF14" s="455"/>
      <c r="KOG14" s="455"/>
      <c r="KOH14" s="455"/>
      <c r="KOI14" s="455"/>
      <c r="KOJ14" s="1144"/>
      <c r="KOK14" s="1614"/>
      <c r="KOL14" s="455"/>
      <c r="KOM14" s="455"/>
      <c r="KON14" s="455"/>
      <c r="KOO14" s="455"/>
      <c r="KOP14" s="455"/>
      <c r="KOQ14" s="455"/>
      <c r="KOR14" s="455"/>
      <c r="KOS14" s="455"/>
      <c r="KOT14" s="455"/>
      <c r="KOU14" s="455"/>
      <c r="KOV14" s="1144"/>
      <c r="KOW14" s="1614"/>
      <c r="KOX14" s="455"/>
      <c r="KOY14" s="455"/>
      <c r="KOZ14" s="455"/>
      <c r="KPA14" s="455"/>
      <c r="KPB14" s="455"/>
      <c r="KPC14" s="455"/>
      <c r="KPD14" s="455"/>
      <c r="KPE14" s="455"/>
      <c r="KPF14" s="455"/>
      <c r="KPG14" s="455"/>
      <c r="KPH14" s="1144"/>
      <c r="KPI14" s="1614"/>
      <c r="KPJ14" s="455"/>
      <c r="KPK14" s="455"/>
      <c r="KPL14" s="455"/>
      <c r="KPM14" s="455"/>
      <c r="KPN14" s="455"/>
      <c r="KPO14" s="455"/>
      <c r="KPP14" s="455"/>
      <c r="KPQ14" s="455"/>
      <c r="KPR14" s="455"/>
      <c r="KPS14" s="455"/>
      <c r="KPT14" s="1144"/>
      <c r="KPU14" s="1614"/>
      <c r="KPV14" s="455"/>
      <c r="KPW14" s="455"/>
      <c r="KPX14" s="455"/>
      <c r="KPY14" s="455"/>
      <c r="KPZ14" s="455"/>
      <c r="KQA14" s="455"/>
      <c r="KQB14" s="455"/>
      <c r="KQC14" s="455"/>
      <c r="KQD14" s="455"/>
      <c r="KQE14" s="455"/>
      <c r="KQF14" s="1144"/>
      <c r="KQG14" s="1614"/>
      <c r="KQH14" s="455"/>
      <c r="KQI14" s="455"/>
      <c r="KQJ14" s="455"/>
      <c r="KQK14" s="455"/>
      <c r="KQL14" s="455"/>
      <c r="KQM14" s="455"/>
      <c r="KQN14" s="455"/>
      <c r="KQO14" s="455"/>
      <c r="KQP14" s="455"/>
      <c r="KQQ14" s="455"/>
      <c r="KQR14" s="1144"/>
      <c r="KQS14" s="1614"/>
      <c r="KQT14" s="455"/>
      <c r="KQU14" s="455"/>
      <c r="KQV14" s="455"/>
      <c r="KQW14" s="455"/>
      <c r="KQX14" s="455"/>
      <c r="KQY14" s="455"/>
      <c r="KQZ14" s="455"/>
      <c r="KRA14" s="455"/>
      <c r="KRB14" s="455"/>
      <c r="KRC14" s="455"/>
      <c r="KRD14" s="1144"/>
      <c r="KRE14" s="1614"/>
      <c r="KRF14" s="455"/>
      <c r="KRG14" s="455"/>
      <c r="KRH14" s="455"/>
      <c r="KRI14" s="455"/>
      <c r="KRJ14" s="455"/>
      <c r="KRK14" s="455"/>
      <c r="KRL14" s="455"/>
      <c r="KRM14" s="455"/>
      <c r="KRN14" s="455"/>
      <c r="KRO14" s="455"/>
      <c r="KRP14" s="1144"/>
      <c r="KRQ14" s="1614"/>
      <c r="KRR14" s="455"/>
      <c r="KRS14" s="455"/>
      <c r="KRT14" s="455"/>
      <c r="KRU14" s="455"/>
      <c r="KRV14" s="455"/>
      <c r="KRW14" s="455"/>
      <c r="KRX14" s="455"/>
      <c r="KRY14" s="455"/>
      <c r="KRZ14" s="455"/>
      <c r="KSA14" s="455"/>
      <c r="KSB14" s="1144"/>
      <c r="KSC14" s="1614"/>
      <c r="KSD14" s="455"/>
      <c r="KSE14" s="455"/>
      <c r="KSF14" s="455"/>
      <c r="KSG14" s="455"/>
      <c r="KSH14" s="455"/>
      <c r="KSI14" s="455"/>
      <c r="KSJ14" s="455"/>
      <c r="KSK14" s="455"/>
      <c r="KSL14" s="455"/>
      <c r="KSM14" s="455"/>
      <c r="KSN14" s="1144"/>
      <c r="KSO14" s="1614"/>
      <c r="KSP14" s="455"/>
      <c r="KSQ14" s="455"/>
      <c r="KSR14" s="455"/>
      <c r="KSS14" s="455"/>
      <c r="KST14" s="455"/>
      <c r="KSU14" s="455"/>
      <c r="KSV14" s="455"/>
      <c r="KSW14" s="455"/>
      <c r="KSX14" s="455"/>
      <c r="KSY14" s="455"/>
      <c r="KSZ14" s="1144"/>
      <c r="KTA14" s="1614"/>
      <c r="KTB14" s="455"/>
      <c r="KTC14" s="455"/>
      <c r="KTD14" s="455"/>
      <c r="KTE14" s="455"/>
      <c r="KTF14" s="455"/>
      <c r="KTG14" s="455"/>
      <c r="KTH14" s="455"/>
      <c r="KTI14" s="455"/>
      <c r="KTJ14" s="455"/>
      <c r="KTK14" s="455"/>
      <c r="KTL14" s="1144"/>
      <c r="KTM14" s="1614"/>
      <c r="KTN14" s="455"/>
      <c r="KTO14" s="455"/>
      <c r="KTP14" s="455"/>
      <c r="KTQ14" s="455"/>
      <c r="KTR14" s="455"/>
      <c r="KTS14" s="455"/>
      <c r="KTT14" s="455"/>
      <c r="KTU14" s="455"/>
      <c r="KTV14" s="455"/>
      <c r="KTW14" s="455"/>
      <c r="KTX14" s="1144"/>
      <c r="KTY14" s="1614"/>
      <c r="KTZ14" s="455"/>
      <c r="KUA14" s="455"/>
      <c r="KUB14" s="455"/>
      <c r="KUC14" s="455"/>
      <c r="KUD14" s="455"/>
      <c r="KUE14" s="455"/>
      <c r="KUF14" s="455"/>
      <c r="KUG14" s="455"/>
      <c r="KUH14" s="455"/>
      <c r="KUI14" s="455"/>
      <c r="KUJ14" s="1144"/>
      <c r="KUK14" s="1614"/>
      <c r="KUL14" s="455"/>
      <c r="KUM14" s="455"/>
      <c r="KUN14" s="455"/>
      <c r="KUO14" s="455"/>
      <c r="KUP14" s="455"/>
      <c r="KUQ14" s="455"/>
      <c r="KUR14" s="455"/>
      <c r="KUS14" s="455"/>
      <c r="KUT14" s="455"/>
      <c r="KUU14" s="455"/>
      <c r="KUV14" s="1144"/>
      <c r="KUW14" s="1614"/>
      <c r="KUX14" s="455"/>
      <c r="KUY14" s="455"/>
      <c r="KUZ14" s="455"/>
      <c r="KVA14" s="455"/>
      <c r="KVB14" s="455"/>
      <c r="KVC14" s="455"/>
      <c r="KVD14" s="455"/>
      <c r="KVE14" s="455"/>
      <c r="KVF14" s="455"/>
      <c r="KVG14" s="455"/>
      <c r="KVH14" s="1144"/>
      <c r="KVI14" s="1614"/>
      <c r="KVJ14" s="455"/>
      <c r="KVK14" s="455"/>
      <c r="KVL14" s="455"/>
      <c r="KVM14" s="455"/>
      <c r="KVN14" s="455"/>
      <c r="KVO14" s="455"/>
      <c r="KVP14" s="455"/>
      <c r="KVQ14" s="455"/>
      <c r="KVR14" s="455"/>
      <c r="KVS14" s="455"/>
      <c r="KVT14" s="1144"/>
      <c r="KVU14" s="1614"/>
      <c r="KVV14" s="455"/>
      <c r="KVW14" s="455"/>
      <c r="KVX14" s="455"/>
      <c r="KVY14" s="455"/>
      <c r="KVZ14" s="455"/>
      <c r="KWA14" s="455"/>
      <c r="KWB14" s="455"/>
      <c r="KWC14" s="455"/>
      <c r="KWD14" s="455"/>
      <c r="KWE14" s="455"/>
      <c r="KWF14" s="1144"/>
      <c r="KWG14" s="1614"/>
      <c r="KWH14" s="455"/>
      <c r="KWI14" s="455"/>
      <c r="KWJ14" s="455"/>
      <c r="KWK14" s="455"/>
      <c r="KWL14" s="455"/>
      <c r="KWM14" s="455"/>
      <c r="KWN14" s="455"/>
      <c r="KWO14" s="455"/>
      <c r="KWP14" s="455"/>
      <c r="KWQ14" s="455"/>
      <c r="KWR14" s="1144"/>
      <c r="KWS14" s="1614"/>
      <c r="KWT14" s="455"/>
      <c r="KWU14" s="455"/>
      <c r="KWV14" s="455"/>
      <c r="KWW14" s="455"/>
      <c r="KWX14" s="455"/>
      <c r="KWY14" s="455"/>
      <c r="KWZ14" s="455"/>
      <c r="KXA14" s="455"/>
      <c r="KXB14" s="455"/>
      <c r="KXC14" s="455"/>
      <c r="KXD14" s="1144"/>
      <c r="KXE14" s="1614"/>
      <c r="KXF14" s="455"/>
      <c r="KXG14" s="455"/>
      <c r="KXH14" s="455"/>
      <c r="KXI14" s="455"/>
      <c r="KXJ14" s="455"/>
      <c r="KXK14" s="455"/>
      <c r="KXL14" s="455"/>
      <c r="KXM14" s="455"/>
      <c r="KXN14" s="455"/>
      <c r="KXO14" s="455"/>
      <c r="KXP14" s="1144"/>
      <c r="KXQ14" s="1614"/>
      <c r="KXR14" s="455"/>
      <c r="KXS14" s="455"/>
      <c r="KXT14" s="455"/>
      <c r="KXU14" s="455"/>
      <c r="KXV14" s="455"/>
      <c r="KXW14" s="455"/>
      <c r="KXX14" s="455"/>
      <c r="KXY14" s="455"/>
      <c r="KXZ14" s="455"/>
      <c r="KYA14" s="455"/>
      <c r="KYB14" s="1144"/>
      <c r="KYC14" s="1614"/>
      <c r="KYD14" s="455"/>
      <c r="KYE14" s="455"/>
      <c r="KYF14" s="455"/>
      <c r="KYG14" s="455"/>
      <c r="KYH14" s="455"/>
      <c r="KYI14" s="455"/>
      <c r="KYJ14" s="455"/>
      <c r="KYK14" s="455"/>
      <c r="KYL14" s="455"/>
      <c r="KYM14" s="455"/>
      <c r="KYN14" s="1144"/>
      <c r="KYO14" s="1614"/>
      <c r="KYP14" s="455"/>
      <c r="KYQ14" s="455"/>
      <c r="KYR14" s="455"/>
      <c r="KYS14" s="455"/>
      <c r="KYT14" s="455"/>
      <c r="KYU14" s="455"/>
      <c r="KYV14" s="455"/>
      <c r="KYW14" s="455"/>
      <c r="KYX14" s="455"/>
      <c r="KYY14" s="455"/>
      <c r="KYZ14" s="1144"/>
      <c r="KZA14" s="1614"/>
      <c r="KZB14" s="455"/>
      <c r="KZC14" s="455"/>
      <c r="KZD14" s="455"/>
      <c r="KZE14" s="455"/>
      <c r="KZF14" s="455"/>
      <c r="KZG14" s="455"/>
      <c r="KZH14" s="455"/>
      <c r="KZI14" s="455"/>
      <c r="KZJ14" s="455"/>
      <c r="KZK14" s="455"/>
      <c r="KZL14" s="1144"/>
      <c r="KZM14" s="1614"/>
      <c r="KZN14" s="455"/>
      <c r="KZO14" s="455"/>
      <c r="KZP14" s="455"/>
      <c r="KZQ14" s="455"/>
      <c r="KZR14" s="455"/>
      <c r="KZS14" s="455"/>
      <c r="KZT14" s="455"/>
      <c r="KZU14" s="455"/>
      <c r="KZV14" s="455"/>
      <c r="KZW14" s="455"/>
      <c r="KZX14" s="1144"/>
      <c r="KZY14" s="1614"/>
      <c r="KZZ14" s="455"/>
      <c r="LAA14" s="455"/>
      <c r="LAB14" s="455"/>
      <c r="LAC14" s="455"/>
      <c r="LAD14" s="455"/>
      <c r="LAE14" s="455"/>
      <c r="LAF14" s="455"/>
      <c r="LAG14" s="455"/>
      <c r="LAH14" s="455"/>
      <c r="LAI14" s="455"/>
      <c r="LAJ14" s="1144"/>
      <c r="LAK14" s="1614"/>
      <c r="LAL14" s="455"/>
      <c r="LAM14" s="455"/>
      <c r="LAN14" s="455"/>
      <c r="LAO14" s="455"/>
      <c r="LAP14" s="455"/>
      <c r="LAQ14" s="455"/>
      <c r="LAR14" s="455"/>
      <c r="LAS14" s="455"/>
      <c r="LAT14" s="455"/>
      <c r="LAU14" s="455"/>
      <c r="LAV14" s="1144"/>
      <c r="LAW14" s="1614"/>
      <c r="LAX14" s="455"/>
      <c r="LAY14" s="455"/>
      <c r="LAZ14" s="455"/>
      <c r="LBA14" s="455"/>
      <c r="LBB14" s="455"/>
      <c r="LBC14" s="455"/>
      <c r="LBD14" s="455"/>
      <c r="LBE14" s="455"/>
      <c r="LBF14" s="455"/>
      <c r="LBG14" s="455"/>
      <c r="LBH14" s="1144"/>
      <c r="LBI14" s="1614"/>
      <c r="LBJ14" s="455"/>
      <c r="LBK14" s="455"/>
      <c r="LBL14" s="455"/>
      <c r="LBM14" s="455"/>
      <c r="LBN14" s="455"/>
      <c r="LBO14" s="455"/>
      <c r="LBP14" s="455"/>
      <c r="LBQ14" s="455"/>
      <c r="LBR14" s="455"/>
      <c r="LBS14" s="455"/>
      <c r="LBT14" s="1144"/>
      <c r="LBU14" s="1614"/>
      <c r="LBV14" s="455"/>
      <c r="LBW14" s="455"/>
      <c r="LBX14" s="455"/>
      <c r="LBY14" s="455"/>
      <c r="LBZ14" s="455"/>
      <c r="LCA14" s="455"/>
      <c r="LCB14" s="455"/>
      <c r="LCC14" s="455"/>
      <c r="LCD14" s="455"/>
      <c r="LCE14" s="455"/>
      <c r="LCF14" s="1144"/>
      <c r="LCG14" s="1614"/>
      <c r="LCH14" s="455"/>
      <c r="LCI14" s="455"/>
      <c r="LCJ14" s="455"/>
      <c r="LCK14" s="455"/>
      <c r="LCL14" s="455"/>
      <c r="LCM14" s="455"/>
      <c r="LCN14" s="455"/>
      <c r="LCO14" s="455"/>
      <c r="LCP14" s="455"/>
      <c r="LCQ14" s="455"/>
      <c r="LCR14" s="1144"/>
      <c r="LCS14" s="1614"/>
      <c r="LCT14" s="455"/>
      <c r="LCU14" s="455"/>
      <c r="LCV14" s="455"/>
      <c r="LCW14" s="455"/>
      <c r="LCX14" s="455"/>
      <c r="LCY14" s="455"/>
      <c r="LCZ14" s="455"/>
      <c r="LDA14" s="455"/>
      <c r="LDB14" s="455"/>
      <c r="LDC14" s="455"/>
      <c r="LDD14" s="1144"/>
      <c r="LDE14" s="1614"/>
      <c r="LDF14" s="455"/>
      <c r="LDG14" s="455"/>
      <c r="LDH14" s="455"/>
      <c r="LDI14" s="455"/>
      <c r="LDJ14" s="455"/>
      <c r="LDK14" s="455"/>
      <c r="LDL14" s="455"/>
      <c r="LDM14" s="455"/>
      <c r="LDN14" s="455"/>
      <c r="LDO14" s="455"/>
      <c r="LDP14" s="1144"/>
      <c r="LDQ14" s="1614"/>
      <c r="LDR14" s="455"/>
      <c r="LDS14" s="455"/>
      <c r="LDT14" s="455"/>
      <c r="LDU14" s="455"/>
      <c r="LDV14" s="455"/>
      <c r="LDW14" s="455"/>
      <c r="LDX14" s="455"/>
      <c r="LDY14" s="455"/>
      <c r="LDZ14" s="455"/>
      <c r="LEA14" s="455"/>
      <c r="LEB14" s="1144"/>
      <c r="LEC14" s="1614"/>
      <c r="LED14" s="455"/>
      <c r="LEE14" s="455"/>
      <c r="LEF14" s="455"/>
      <c r="LEG14" s="455"/>
      <c r="LEH14" s="455"/>
      <c r="LEI14" s="455"/>
      <c r="LEJ14" s="455"/>
      <c r="LEK14" s="455"/>
      <c r="LEL14" s="455"/>
      <c r="LEM14" s="455"/>
      <c r="LEN14" s="1144"/>
      <c r="LEO14" s="1614"/>
      <c r="LEP14" s="455"/>
      <c r="LEQ14" s="455"/>
      <c r="LER14" s="455"/>
      <c r="LES14" s="455"/>
      <c r="LET14" s="455"/>
      <c r="LEU14" s="455"/>
      <c r="LEV14" s="455"/>
      <c r="LEW14" s="455"/>
      <c r="LEX14" s="455"/>
      <c r="LEY14" s="455"/>
      <c r="LEZ14" s="1144"/>
      <c r="LFA14" s="1614"/>
      <c r="LFB14" s="455"/>
      <c r="LFC14" s="455"/>
      <c r="LFD14" s="455"/>
      <c r="LFE14" s="455"/>
      <c r="LFF14" s="455"/>
      <c r="LFG14" s="455"/>
      <c r="LFH14" s="455"/>
      <c r="LFI14" s="455"/>
      <c r="LFJ14" s="455"/>
      <c r="LFK14" s="455"/>
      <c r="LFL14" s="1144"/>
      <c r="LFM14" s="1614"/>
      <c r="LFN14" s="455"/>
      <c r="LFO14" s="455"/>
      <c r="LFP14" s="455"/>
      <c r="LFQ14" s="455"/>
      <c r="LFR14" s="455"/>
      <c r="LFS14" s="455"/>
      <c r="LFT14" s="455"/>
      <c r="LFU14" s="455"/>
      <c r="LFV14" s="455"/>
      <c r="LFW14" s="455"/>
      <c r="LFX14" s="1144"/>
      <c r="LFY14" s="1614"/>
      <c r="LFZ14" s="455"/>
      <c r="LGA14" s="455"/>
      <c r="LGB14" s="455"/>
      <c r="LGC14" s="455"/>
      <c r="LGD14" s="455"/>
      <c r="LGE14" s="455"/>
      <c r="LGF14" s="455"/>
      <c r="LGG14" s="455"/>
      <c r="LGH14" s="455"/>
      <c r="LGI14" s="455"/>
      <c r="LGJ14" s="1144"/>
      <c r="LGK14" s="1614"/>
      <c r="LGL14" s="455"/>
      <c r="LGM14" s="455"/>
      <c r="LGN14" s="455"/>
      <c r="LGO14" s="455"/>
      <c r="LGP14" s="455"/>
      <c r="LGQ14" s="455"/>
      <c r="LGR14" s="455"/>
      <c r="LGS14" s="455"/>
      <c r="LGT14" s="455"/>
      <c r="LGU14" s="455"/>
      <c r="LGV14" s="1144"/>
      <c r="LGW14" s="1614"/>
      <c r="LGX14" s="455"/>
      <c r="LGY14" s="455"/>
      <c r="LGZ14" s="455"/>
      <c r="LHA14" s="455"/>
      <c r="LHB14" s="455"/>
      <c r="LHC14" s="455"/>
      <c r="LHD14" s="455"/>
      <c r="LHE14" s="455"/>
      <c r="LHF14" s="455"/>
      <c r="LHG14" s="455"/>
      <c r="LHH14" s="1144"/>
      <c r="LHI14" s="1614"/>
      <c r="LHJ14" s="455"/>
      <c r="LHK14" s="455"/>
      <c r="LHL14" s="455"/>
      <c r="LHM14" s="455"/>
      <c r="LHN14" s="455"/>
      <c r="LHO14" s="455"/>
      <c r="LHP14" s="455"/>
      <c r="LHQ14" s="455"/>
      <c r="LHR14" s="455"/>
      <c r="LHS14" s="455"/>
      <c r="LHT14" s="1144"/>
      <c r="LHU14" s="1614"/>
      <c r="LHV14" s="455"/>
      <c r="LHW14" s="455"/>
      <c r="LHX14" s="455"/>
      <c r="LHY14" s="455"/>
      <c r="LHZ14" s="455"/>
      <c r="LIA14" s="455"/>
      <c r="LIB14" s="455"/>
      <c r="LIC14" s="455"/>
      <c r="LID14" s="455"/>
      <c r="LIE14" s="455"/>
      <c r="LIF14" s="1144"/>
      <c r="LIG14" s="1614"/>
      <c r="LIH14" s="455"/>
      <c r="LII14" s="455"/>
      <c r="LIJ14" s="455"/>
      <c r="LIK14" s="455"/>
      <c r="LIL14" s="455"/>
      <c r="LIM14" s="455"/>
      <c r="LIN14" s="455"/>
      <c r="LIO14" s="455"/>
      <c r="LIP14" s="455"/>
      <c r="LIQ14" s="455"/>
      <c r="LIR14" s="1144"/>
      <c r="LIS14" s="1614"/>
      <c r="LIT14" s="455"/>
      <c r="LIU14" s="455"/>
      <c r="LIV14" s="455"/>
      <c r="LIW14" s="455"/>
      <c r="LIX14" s="455"/>
      <c r="LIY14" s="455"/>
      <c r="LIZ14" s="455"/>
      <c r="LJA14" s="455"/>
      <c r="LJB14" s="455"/>
      <c r="LJC14" s="455"/>
      <c r="LJD14" s="1144"/>
      <c r="LJE14" s="1614"/>
      <c r="LJF14" s="455"/>
      <c r="LJG14" s="455"/>
      <c r="LJH14" s="455"/>
      <c r="LJI14" s="455"/>
      <c r="LJJ14" s="455"/>
      <c r="LJK14" s="455"/>
      <c r="LJL14" s="455"/>
      <c r="LJM14" s="455"/>
      <c r="LJN14" s="455"/>
      <c r="LJO14" s="455"/>
      <c r="LJP14" s="1144"/>
      <c r="LJQ14" s="1614"/>
      <c r="LJR14" s="455"/>
      <c r="LJS14" s="455"/>
      <c r="LJT14" s="455"/>
      <c r="LJU14" s="455"/>
      <c r="LJV14" s="455"/>
      <c r="LJW14" s="455"/>
      <c r="LJX14" s="455"/>
      <c r="LJY14" s="455"/>
      <c r="LJZ14" s="455"/>
      <c r="LKA14" s="455"/>
      <c r="LKB14" s="1144"/>
      <c r="LKC14" s="1614"/>
      <c r="LKD14" s="455"/>
      <c r="LKE14" s="455"/>
      <c r="LKF14" s="455"/>
      <c r="LKG14" s="455"/>
      <c r="LKH14" s="455"/>
      <c r="LKI14" s="455"/>
      <c r="LKJ14" s="455"/>
      <c r="LKK14" s="455"/>
      <c r="LKL14" s="455"/>
      <c r="LKM14" s="455"/>
      <c r="LKN14" s="1144"/>
      <c r="LKO14" s="1614"/>
      <c r="LKP14" s="455"/>
      <c r="LKQ14" s="455"/>
      <c r="LKR14" s="455"/>
      <c r="LKS14" s="455"/>
      <c r="LKT14" s="455"/>
      <c r="LKU14" s="455"/>
      <c r="LKV14" s="455"/>
      <c r="LKW14" s="455"/>
      <c r="LKX14" s="455"/>
      <c r="LKY14" s="455"/>
      <c r="LKZ14" s="1144"/>
      <c r="LLA14" s="1614"/>
      <c r="LLB14" s="455"/>
      <c r="LLC14" s="455"/>
      <c r="LLD14" s="455"/>
      <c r="LLE14" s="455"/>
      <c r="LLF14" s="455"/>
      <c r="LLG14" s="455"/>
      <c r="LLH14" s="455"/>
      <c r="LLI14" s="455"/>
      <c r="LLJ14" s="455"/>
      <c r="LLK14" s="455"/>
      <c r="LLL14" s="1144"/>
      <c r="LLM14" s="1614"/>
      <c r="LLN14" s="455"/>
      <c r="LLO14" s="455"/>
      <c r="LLP14" s="455"/>
      <c r="LLQ14" s="455"/>
      <c r="LLR14" s="455"/>
      <c r="LLS14" s="455"/>
      <c r="LLT14" s="455"/>
      <c r="LLU14" s="455"/>
      <c r="LLV14" s="455"/>
      <c r="LLW14" s="455"/>
      <c r="LLX14" s="1144"/>
      <c r="LLY14" s="1614"/>
      <c r="LLZ14" s="455"/>
      <c r="LMA14" s="455"/>
      <c r="LMB14" s="455"/>
      <c r="LMC14" s="455"/>
      <c r="LMD14" s="455"/>
      <c r="LME14" s="455"/>
      <c r="LMF14" s="455"/>
      <c r="LMG14" s="455"/>
      <c r="LMH14" s="455"/>
      <c r="LMI14" s="455"/>
      <c r="LMJ14" s="1144"/>
      <c r="LMK14" s="1614"/>
      <c r="LML14" s="455"/>
      <c r="LMM14" s="455"/>
      <c r="LMN14" s="455"/>
      <c r="LMO14" s="455"/>
      <c r="LMP14" s="455"/>
      <c r="LMQ14" s="455"/>
      <c r="LMR14" s="455"/>
      <c r="LMS14" s="455"/>
      <c r="LMT14" s="455"/>
      <c r="LMU14" s="455"/>
      <c r="LMV14" s="1144"/>
      <c r="LMW14" s="1614"/>
      <c r="LMX14" s="455"/>
      <c r="LMY14" s="455"/>
      <c r="LMZ14" s="455"/>
      <c r="LNA14" s="455"/>
      <c r="LNB14" s="455"/>
      <c r="LNC14" s="455"/>
      <c r="LND14" s="455"/>
      <c r="LNE14" s="455"/>
      <c r="LNF14" s="455"/>
      <c r="LNG14" s="455"/>
      <c r="LNH14" s="1144"/>
      <c r="LNI14" s="1614"/>
      <c r="LNJ14" s="455"/>
      <c r="LNK14" s="455"/>
      <c r="LNL14" s="455"/>
      <c r="LNM14" s="455"/>
      <c r="LNN14" s="455"/>
      <c r="LNO14" s="455"/>
      <c r="LNP14" s="455"/>
      <c r="LNQ14" s="455"/>
      <c r="LNR14" s="455"/>
      <c r="LNS14" s="455"/>
      <c r="LNT14" s="1144"/>
      <c r="LNU14" s="1614"/>
      <c r="LNV14" s="455"/>
      <c r="LNW14" s="455"/>
      <c r="LNX14" s="455"/>
      <c r="LNY14" s="455"/>
      <c r="LNZ14" s="455"/>
      <c r="LOA14" s="455"/>
      <c r="LOB14" s="455"/>
      <c r="LOC14" s="455"/>
      <c r="LOD14" s="455"/>
      <c r="LOE14" s="455"/>
      <c r="LOF14" s="1144"/>
      <c r="LOG14" s="1614"/>
      <c r="LOH14" s="455"/>
      <c r="LOI14" s="455"/>
      <c r="LOJ14" s="455"/>
      <c r="LOK14" s="455"/>
      <c r="LOL14" s="455"/>
      <c r="LOM14" s="455"/>
      <c r="LON14" s="455"/>
      <c r="LOO14" s="455"/>
      <c r="LOP14" s="455"/>
      <c r="LOQ14" s="455"/>
      <c r="LOR14" s="1144"/>
      <c r="LOS14" s="1614"/>
      <c r="LOT14" s="455"/>
      <c r="LOU14" s="455"/>
      <c r="LOV14" s="455"/>
      <c r="LOW14" s="455"/>
      <c r="LOX14" s="455"/>
      <c r="LOY14" s="455"/>
      <c r="LOZ14" s="455"/>
      <c r="LPA14" s="455"/>
      <c r="LPB14" s="455"/>
      <c r="LPC14" s="455"/>
      <c r="LPD14" s="1144"/>
      <c r="LPE14" s="1614"/>
      <c r="LPF14" s="455"/>
      <c r="LPG14" s="455"/>
      <c r="LPH14" s="455"/>
      <c r="LPI14" s="455"/>
      <c r="LPJ14" s="455"/>
      <c r="LPK14" s="455"/>
      <c r="LPL14" s="455"/>
      <c r="LPM14" s="455"/>
      <c r="LPN14" s="455"/>
      <c r="LPO14" s="455"/>
      <c r="LPP14" s="1144"/>
      <c r="LPQ14" s="1614"/>
      <c r="LPR14" s="455"/>
      <c r="LPS14" s="455"/>
      <c r="LPT14" s="455"/>
      <c r="LPU14" s="455"/>
      <c r="LPV14" s="455"/>
      <c r="LPW14" s="455"/>
      <c r="LPX14" s="455"/>
      <c r="LPY14" s="455"/>
      <c r="LPZ14" s="455"/>
      <c r="LQA14" s="455"/>
      <c r="LQB14" s="1144"/>
      <c r="LQC14" s="1614"/>
      <c r="LQD14" s="455"/>
      <c r="LQE14" s="455"/>
      <c r="LQF14" s="455"/>
      <c r="LQG14" s="455"/>
      <c r="LQH14" s="455"/>
      <c r="LQI14" s="455"/>
      <c r="LQJ14" s="455"/>
      <c r="LQK14" s="455"/>
      <c r="LQL14" s="455"/>
      <c r="LQM14" s="455"/>
      <c r="LQN14" s="1144"/>
      <c r="LQO14" s="1614"/>
      <c r="LQP14" s="455"/>
      <c r="LQQ14" s="455"/>
      <c r="LQR14" s="455"/>
      <c r="LQS14" s="455"/>
      <c r="LQT14" s="455"/>
      <c r="LQU14" s="455"/>
      <c r="LQV14" s="455"/>
      <c r="LQW14" s="455"/>
      <c r="LQX14" s="455"/>
      <c r="LQY14" s="455"/>
      <c r="LQZ14" s="1144"/>
      <c r="LRA14" s="1614"/>
      <c r="LRB14" s="455"/>
      <c r="LRC14" s="455"/>
      <c r="LRD14" s="455"/>
      <c r="LRE14" s="455"/>
      <c r="LRF14" s="455"/>
      <c r="LRG14" s="455"/>
      <c r="LRH14" s="455"/>
      <c r="LRI14" s="455"/>
      <c r="LRJ14" s="455"/>
      <c r="LRK14" s="455"/>
      <c r="LRL14" s="1144"/>
      <c r="LRM14" s="1614"/>
      <c r="LRN14" s="455"/>
      <c r="LRO14" s="455"/>
      <c r="LRP14" s="455"/>
      <c r="LRQ14" s="455"/>
      <c r="LRR14" s="455"/>
      <c r="LRS14" s="455"/>
      <c r="LRT14" s="455"/>
      <c r="LRU14" s="455"/>
      <c r="LRV14" s="455"/>
      <c r="LRW14" s="455"/>
      <c r="LRX14" s="1144"/>
      <c r="LRY14" s="1614"/>
      <c r="LRZ14" s="455"/>
      <c r="LSA14" s="455"/>
      <c r="LSB14" s="455"/>
      <c r="LSC14" s="455"/>
      <c r="LSD14" s="455"/>
      <c r="LSE14" s="455"/>
      <c r="LSF14" s="455"/>
      <c r="LSG14" s="455"/>
      <c r="LSH14" s="455"/>
      <c r="LSI14" s="455"/>
      <c r="LSJ14" s="1144"/>
      <c r="LSK14" s="1614"/>
      <c r="LSL14" s="455"/>
      <c r="LSM14" s="455"/>
      <c r="LSN14" s="455"/>
      <c r="LSO14" s="455"/>
      <c r="LSP14" s="455"/>
      <c r="LSQ14" s="455"/>
      <c r="LSR14" s="455"/>
      <c r="LSS14" s="455"/>
      <c r="LST14" s="455"/>
      <c r="LSU14" s="455"/>
      <c r="LSV14" s="1144"/>
      <c r="LSW14" s="1614"/>
      <c r="LSX14" s="455"/>
      <c r="LSY14" s="455"/>
      <c r="LSZ14" s="455"/>
      <c r="LTA14" s="455"/>
      <c r="LTB14" s="455"/>
      <c r="LTC14" s="455"/>
      <c r="LTD14" s="455"/>
      <c r="LTE14" s="455"/>
      <c r="LTF14" s="455"/>
      <c r="LTG14" s="455"/>
      <c r="LTH14" s="1144"/>
      <c r="LTI14" s="1614"/>
      <c r="LTJ14" s="455"/>
      <c r="LTK14" s="455"/>
      <c r="LTL14" s="455"/>
      <c r="LTM14" s="455"/>
      <c r="LTN14" s="455"/>
      <c r="LTO14" s="455"/>
      <c r="LTP14" s="455"/>
      <c r="LTQ14" s="455"/>
      <c r="LTR14" s="455"/>
      <c r="LTS14" s="455"/>
      <c r="LTT14" s="1144"/>
      <c r="LTU14" s="1614"/>
      <c r="LTV14" s="455"/>
      <c r="LTW14" s="455"/>
      <c r="LTX14" s="455"/>
      <c r="LTY14" s="455"/>
      <c r="LTZ14" s="455"/>
      <c r="LUA14" s="455"/>
      <c r="LUB14" s="455"/>
      <c r="LUC14" s="455"/>
      <c r="LUD14" s="455"/>
      <c r="LUE14" s="455"/>
      <c r="LUF14" s="1144"/>
      <c r="LUG14" s="1614"/>
      <c r="LUH14" s="455"/>
      <c r="LUI14" s="455"/>
      <c r="LUJ14" s="455"/>
      <c r="LUK14" s="455"/>
      <c r="LUL14" s="455"/>
      <c r="LUM14" s="455"/>
      <c r="LUN14" s="455"/>
      <c r="LUO14" s="455"/>
      <c r="LUP14" s="455"/>
      <c r="LUQ14" s="455"/>
      <c r="LUR14" s="1144"/>
      <c r="LUS14" s="1614"/>
      <c r="LUT14" s="455"/>
      <c r="LUU14" s="455"/>
      <c r="LUV14" s="455"/>
      <c r="LUW14" s="455"/>
      <c r="LUX14" s="455"/>
      <c r="LUY14" s="455"/>
      <c r="LUZ14" s="455"/>
      <c r="LVA14" s="455"/>
      <c r="LVB14" s="455"/>
      <c r="LVC14" s="455"/>
      <c r="LVD14" s="1144"/>
      <c r="LVE14" s="1614"/>
      <c r="LVF14" s="455"/>
      <c r="LVG14" s="455"/>
      <c r="LVH14" s="455"/>
      <c r="LVI14" s="455"/>
      <c r="LVJ14" s="455"/>
      <c r="LVK14" s="455"/>
      <c r="LVL14" s="455"/>
      <c r="LVM14" s="455"/>
      <c r="LVN14" s="455"/>
      <c r="LVO14" s="455"/>
      <c r="LVP14" s="1144"/>
      <c r="LVQ14" s="1614"/>
      <c r="LVR14" s="455"/>
      <c r="LVS14" s="455"/>
      <c r="LVT14" s="455"/>
      <c r="LVU14" s="455"/>
      <c r="LVV14" s="455"/>
      <c r="LVW14" s="455"/>
      <c r="LVX14" s="455"/>
      <c r="LVY14" s="455"/>
      <c r="LVZ14" s="455"/>
      <c r="LWA14" s="455"/>
      <c r="LWB14" s="1144"/>
      <c r="LWC14" s="1614"/>
      <c r="LWD14" s="455"/>
      <c r="LWE14" s="455"/>
      <c r="LWF14" s="455"/>
      <c r="LWG14" s="455"/>
      <c r="LWH14" s="455"/>
      <c r="LWI14" s="455"/>
      <c r="LWJ14" s="455"/>
      <c r="LWK14" s="455"/>
      <c r="LWL14" s="455"/>
      <c r="LWM14" s="455"/>
      <c r="LWN14" s="1144"/>
      <c r="LWO14" s="1614"/>
      <c r="LWP14" s="455"/>
      <c r="LWQ14" s="455"/>
      <c r="LWR14" s="455"/>
      <c r="LWS14" s="455"/>
      <c r="LWT14" s="455"/>
      <c r="LWU14" s="455"/>
      <c r="LWV14" s="455"/>
      <c r="LWW14" s="455"/>
      <c r="LWX14" s="455"/>
      <c r="LWY14" s="455"/>
      <c r="LWZ14" s="1144"/>
      <c r="LXA14" s="1614"/>
      <c r="LXB14" s="455"/>
      <c r="LXC14" s="455"/>
      <c r="LXD14" s="455"/>
      <c r="LXE14" s="455"/>
      <c r="LXF14" s="455"/>
      <c r="LXG14" s="455"/>
      <c r="LXH14" s="455"/>
      <c r="LXI14" s="455"/>
      <c r="LXJ14" s="455"/>
      <c r="LXK14" s="455"/>
      <c r="LXL14" s="1144"/>
      <c r="LXM14" s="1614"/>
      <c r="LXN14" s="455"/>
      <c r="LXO14" s="455"/>
      <c r="LXP14" s="455"/>
      <c r="LXQ14" s="455"/>
      <c r="LXR14" s="455"/>
      <c r="LXS14" s="455"/>
      <c r="LXT14" s="455"/>
      <c r="LXU14" s="455"/>
      <c r="LXV14" s="455"/>
      <c r="LXW14" s="455"/>
      <c r="LXX14" s="1144"/>
      <c r="LXY14" s="1614"/>
      <c r="LXZ14" s="455"/>
      <c r="LYA14" s="455"/>
      <c r="LYB14" s="455"/>
      <c r="LYC14" s="455"/>
      <c r="LYD14" s="455"/>
      <c r="LYE14" s="455"/>
      <c r="LYF14" s="455"/>
      <c r="LYG14" s="455"/>
      <c r="LYH14" s="455"/>
      <c r="LYI14" s="455"/>
      <c r="LYJ14" s="1144"/>
      <c r="LYK14" s="1614"/>
      <c r="LYL14" s="455"/>
      <c r="LYM14" s="455"/>
      <c r="LYN14" s="455"/>
      <c r="LYO14" s="455"/>
      <c r="LYP14" s="455"/>
      <c r="LYQ14" s="455"/>
      <c r="LYR14" s="455"/>
      <c r="LYS14" s="455"/>
      <c r="LYT14" s="455"/>
      <c r="LYU14" s="455"/>
      <c r="LYV14" s="1144"/>
      <c r="LYW14" s="1614"/>
      <c r="LYX14" s="455"/>
      <c r="LYY14" s="455"/>
      <c r="LYZ14" s="455"/>
      <c r="LZA14" s="455"/>
      <c r="LZB14" s="455"/>
      <c r="LZC14" s="455"/>
      <c r="LZD14" s="455"/>
      <c r="LZE14" s="455"/>
      <c r="LZF14" s="455"/>
      <c r="LZG14" s="455"/>
      <c r="LZH14" s="1144"/>
      <c r="LZI14" s="1614"/>
      <c r="LZJ14" s="455"/>
      <c r="LZK14" s="455"/>
      <c r="LZL14" s="455"/>
      <c r="LZM14" s="455"/>
      <c r="LZN14" s="455"/>
      <c r="LZO14" s="455"/>
      <c r="LZP14" s="455"/>
      <c r="LZQ14" s="455"/>
      <c r="LZR14" s="455"/>
      <c r="LZS14" s="455"/>
      <c r="LZT14" s="1144"/>
      <c r="LZU14" s="1614"/>
      <c r="LZV14" s="455"/>
      <c r="LZW14" s="455"/>
      <c r="LZX14" s="455"/>
      <c r="LZY14" s="455"/>
      <c r="LZZ14" s="455"/>
      <c r="MAA14" s="455"/>
      <c r="MAB14" s="455"/>
      <c r="MAC14" s="455"/>
      <c r="MAD14" s="455"/>
      <c r="MAE14" s="455"/>
      <c r="MAF14" s="1144"/>
      <c r="MAG14" s="1614"/>
      <c r="MAH14" s="455"/>
      <c r="MAI14" s="455"/>
      <c r="MAJ14" s="455"/>
      <c r="MAK14" s="455"/>
      <c r="MAL14" s="455"/>
      <c r="MAM14" s="455"/>
      <c r="MAN14" s="455"/>
      <c r="MAO14" s="455"/>
      <c r="MAP14" s="455"/>
      <c r="MAQ14" s="455"/>
      <c r="MAR14" s="1144"/>
      <c r="MAS14" s="1614"/>
      <c r="MAT14" s="455"/>
      <c r="MAU14" s="455"/>
      <c r="MAV14" s="455"/>
      <c r="MAW14" s="455"/>
      <c r="MAX14" s="455"/>
      <c r="MAY14" s="455"/>
      <c r="MAZ14" s="455"/>
      <c r="MBA14" s="455"/>
      <c r="MBB14" s="455"/>
      <c r="MBC14" s="455"/>
      <c r="MBD14" s="1144"/>
      <c r="MBE14" s="1614"/>
      <c r="MBF14" s="455"/>
      <c r="MBG14" s="455"/>
      <c r="MBH14" s="455"/>
      <c r="MBI14" s="455"/>
      <c r="MBJ14" s="455"/>
      <c r="MBK14" s="455"/>
      <c r="MBL14" s="455"/>
      <c r="MBM14" s="455"/>
      <c r="MBN14" s="455"/>
      <c r="MBO14" s="455"/>
      <c r="MBP14" s="1144"/>
      <c r="MBQ14" s="1614"/>
      <c r="MBR14" s="455"/>
      <c r="MBS14" s="455"/>
      <c r="MBT14" s="455"/>
      <c r="MBU14" s="455"/>
      <c r="MBV14" s="455"/>
      <c r="MBW14" s="455"/>
      <c r="MBX14" s="455"/>
      <c r="MBY14" s="455"/>
      <c r="MBZ14" s="455"/>
      <c r="MCA14" s="455"/>
      <c r="MCB14" s="1144"/>
      <c r="MCC14" s="1614"/>
      <c r="MCD14" s="455"/>
      <c r="MCE14" s="455"/>
      <c r="MCF14" s="455"/>
      <c r="MCG14" s="455"/>
      <c r="MCH14" s="455"/>
      <c r="MCI14" s="455"/>
      <c r="MCJ14" s="455"/>
      <c r="MCK14" s="455"/>
      <c r="MCL14" s="455"/>
      <c r="MCM14" s="455"/>
      <c r="MCN14" s="1144"/>
      <c r="MCO14" s="1614"/>
      <c r="MCP14" s="455"/>
      <c r="MCQ14" s="455"/>
      <c r="MCR14" s="455"/>
      <c r="MCS14" s="455"/>
      <c r="MCT14" s="455"/>
      <c r="MCU14" s="455"/>
      <c r="MCV14" s="455"/>
      <c r="MCW14" s="455"/>
      <c r="MCX14" s="455"/>
      <c r="MCY14" s="455"/>
      <c r="MCZ14" s="1144"/>
      <c r="MDA14" s="1614"/>
      <c r="MDB14" s="455"/>
      <c r="MDC14" s="455"/>
      <c r="MDD14" s="455"/>
      <c r="MDE14" s="455"/>
      <c r="MDF14" s="455"/>
      <c r="MDG14" s="455"/>
      <c r="MDH14" s="455"/>
      <c r="MDI14" s="455"/>
      <c r="MDJ14" s="455"/>
      <c r="MDK14" s="455"/>
      <c r="MDL14" s="1144"/>
      <c r="MDM14" s="1614"/>
      <c r="MDN14" s="455"/>
      <c r="MDO14" s="455"/>
      <c r="MDP14" s="455"/>
      <c r="MDQ14" s="455"/>
      <c r="MDR14" s="455"/>
      <c r="MDS14" s="455"/>
      <c r="MDT14" s="455"/>
      <c r="MDU14" s="455"/>
      <c r="MDV14" s="455"/>
      <c r="MDW14" s="455"/>
      <c r="MDX14" s="1144"/>
      <c r="MDY14" s="1614"/>
      <c r="MDZ14" s="455"/>
      <c r="MEA14" s="455"/>
      <c r="MEB14" s="455"/>
      <c r="MEC14" s="455"/>
      <c r="MED14" s="455"/>
      <c r="MEE14" s="455"/>
      <c r="MEF14" s="455"/>
      <c r="MEG14" s="455"/>
      <c r="MEH14" s="455"/>
      <c r="MEI14" s="455"/>
      <c r="MEJ14" s="1144"/>
      <c r="MEK14" s="1614"/>
      <c r="MEL14" s="455"/>
      <c r="MEM14" s="455"/>
      <c r="MEN14" s="455"/>
      <c r="MEO14" s="455"/>
      <c r="MEP14" s="455"/>
      <c r="MEQ14" s="455"/>
      <c r="MER14" s="455"/>
      <c r="MES14" s="455"/>
      <c r="MET14" s="455"/>
      <c r="MEU14" s="455"/>
      <c r="MEV14" s="1144"/>
      <c r="MEW14" s="1614"/>
      <c r="MEX14" s="455"/>
      <c r="MEY14" s="455"/>
      <c r="MEZ14" s="455"/>
      <c r="MFA14" s="455"/>
      <c r="MFB14" s="455"/>
      <c r="MFC14" s="455"/>
      <c r="MFD14" s="455"/>
      <c r="MFE14" s="455"/>
      <c r="MFF14" s="455"/>
      <c r="MFG14" s="455"/>
      <c r="MFH14" s="1144"/>
      <c r="MFI14" s="1614"/>
      <c r="MFJ14" s="455"/>
      <c r="MFK14" s="455"/>
      <c r="MFL14" s="455"/>
      <c r="MFM14" s="455"/>
      <c r="MFN14" s="455"/>
      <c r="MFO14" s="455"/>
      <c r="MFP14" s="455"/>
      <c r="MFQ14" s="455"/>
      <c r="MFR14" s="455"/>
      <c r="MFS14" s="455"/>
      <c r="MFT14" s="1144"/>
      <c r="MFU14" s="1614"/>
      <c r="MFV14" s="455"/>
      <c r="MFW14" s="455"/>
      <c r="MFX14" s="455"/>
      <c r="MFY14" s="455"/>
      <c r="MFZ14" s="455"/>
      <c r="MGA14" s="455"/>
      <c r="MGB14" s="455"/>
      <c r="MGC14" s="455"/>
      <c r="MGD14" s="455"/>
      <c r="MGE14" s="455"/>
      <c r="MGF14" s="1144"/>
      <c r="MGG14" s="1614"/>
      <c r="MGH14" s="455"/>
      <c r="MGI14" s="455"/>
      <c r="MGJ14" s="455"/>
      <c r="MGK14" s="455"/>
      <c r="MGL14" s="455"/>
      <c r="MGM14" s="455"/>
      <c r="MGN14" s="455"/>
      <c r="MGO14" s="455"/>
      <c r="MGP14" s="455"/>
      <c r="MGQ14" s="455"/>
      <c r="MGR14" s="1144"/>
      <c r="MGS14" s="1614"/>
      <c r="MGT14" s="455"/>
      <c r="MGU14" s="455"/>
      <c r="MGV14" s="455"/>
      <c r="MGW14" s="455"/>
      <c r="MGX14" s="455"/>
      <c r="MGY14" s="455"/>
      <c r="MGZ14" s="455"/>
      <c r="MHA14" s="455"/>
      <c r="MHB14" s="455"/>
      <c r="MHC14" s="455"/>
      <c r="MHD14" s="1144"/>
      <c r="MHE14" s="1614"/>
      <c r="MHF14" s="455"/>
      <c r="MHG14" s="455"/>
      <c r="MHH14" s="455"/>
      <c r="MHI14" s="455"/>
      <c r="MHJ14" s="455"/>
      <c r="MHK14" s="455"/>
      <c r="MHL14" s="455"/>
      <c r="MHM14" s="455"/>
      <c r="MHN14" s="455"/>
      <c r="MHO14" s="455"/>
      <c r="MHP14" s="1144"/>
      <c r="MHQ14" s="1614"/>
      <c r="MHR14" s="455"/>
      <c r="MHS14" s="455"/>
      <c r="MHT14" s="455"/>
      <c r="MHU14" s="455"/>
      <c r="MHV14" s="455"/>
      <c r="MHW14" s="455"/>
      <c r="MHX14" s="455"/>
      <c r="MHY14" s="455"/>
      <c r="MHZ14" s="455"/>
      <c r="MIA14" s="455"/>
      <c r="MIB14" s="1144"/>
      <c r="MIC14" s="1614"/>
      <c r="MID14" s="455"/>
      <c r="MIE14" s="455"/>
      <c r="MIF14" s="455"/>
      <c r="MIG14" s="455"/>
      <c r="MIH14" s="455"/>
      <c r="MII14" s="455"/>
      <c r="MIJ14" s="455"/>
      <c r="MIK14" s="455"/>
      <c r="MIL14" s="455"/>
      <c r="MIM14" s="455"/>
      <c r="MIN14" s="1144"/>
      <c r="MIO14" s="1614"/>
      <c r="MIP14" s="455"/>
      <c r="MIQ14" s="455"/>
      <c r="MIR14" s="455"/>
      <c r="MIS14" s="455"/>
      <c r="MIT14" s="455"/>
      <c r="MIU14" s="455"/>
      <c r="MIV14" s="455"/>
      <c r="MIW14" s="455"/>
      <c r="MIX14" s="455"/>
      <c r="MIY14" s="455"/>
      <c r="MIZ14" s="1144"/>
      <c r="MJA14" s="1614"/>
      <c r="MJB14" s="455"/>
      <c r="MJC14" s="455"/>
      <c r="MJD14" s="455"/>
      <c r="MJE14" s="455"/>
      <c r="MJF14" s="455"/>
      <c r="MJG14" s="455"/>
      <c r="MJH14" s="455"/>
      <c r="MJI14" s="455"/>
      <c r="MJJ14" s="455"/>
      <c r="MJK14" s="455"/>
      <c r="MJL14" s="1144"/>
      <c r="MJM14" s="1614"/>
      <c r="MJN14" s="455"/>
      <c r="MJO14" s="455"/>
      <c r="MJP14" s="455"/>
      <c r="MJQ14" s="455"/>
      <c r="MJR14" s="455"/>
      <c r="MJS14" s="455"/>
      <c r="MJT14" s="455"/>
      <c r="MJU14" s="455"/>
      <c r="MJV14" s="455"/>
      <c r="MJW14" s="455"/>
      <c r="MJX14" s="1144"/>
      <c r="MJY14" s="1614"/>
      <c r="MJZ14" s="455"/>
      <c r="MKA14" s="455"/>
      <c r="MKB14" s="455"/>
      <c r="MKC14" s="455"/>
      <c r="MKD14" s="455"/>
      <c r="MKE14" s="455"/>
      <c r="MKF14" s="455"/>
      <c r="MKG14" s="455"/>
      <c r="MKH14" s="455"/>
      <c r="MKI14" s="455"/>
      <c r="MKJ14" s="1144"/>
      <c r="MKK14" s="1614"/>
      <c r="MKL14" s="455"/>
      <c r="MKM14" s="455"/>
      <c r="MKN14" s="455"/>
      <c r="MKO14" s="455"/>
      <c r="MKP14" s="455"/>
      <c r="MKQ14" s="455"/>
      <c r="MKR14" s="455"/>
      <c r="MKS14" s="455"/>
      <c r="MKT14" s="455"/>
      <c r="MKU14" s="455"/>
      <c r="MKV14" s="1144"/>
      <c r="MKW14" s="1614"/>
      <c r="MKX14" s="455"/>
      <c r="MKY14" s="455"/>
      <c r="MKZ14" s="455"/>
      <c r="MLA14" s="455"/>
      <c r="MLB14" s="455"/>
      <c r="MLC14" s="455"/>
      <c r="MLD14" s="455"/>
      <c r="MLE14" s="455"/>
      <c r="MLF14" s="455"/>
      <c r="MLG14" s="455"/>
      <c r="MLH14" s="1144"/>
      <c r="MLI14" s="1614"/>
      <c r="MLJ14" s="455"/>
      <c r="MLK14" s="455"/>
      <c r="MLL14" s="455"/>
      <c r="MLM14" s="455"/>
      <c r="MLN14" s="455"/>
      <c r="MLO14" s="455"/>
      <c r="MLP14" s="455"/>
      <c r="MLQ14" s="455"/>
      <c r="MLR14" s="455"/>
      <c r="MLS14" s="455"/>
      <c r="MLT14" s="1144"/>
      <c r="MLU14" s="1614"/>
      <c r="MLV14" s="455"/>
      <c r="MLW14" s="455"/>
      <c r="MLX14" s="455"/>
      <c r="MLY14" s="455"/>
      <c r="MLZ14" s="455"/>
      <c r="MMA14" s="455"/>
      <c r="MMB14" s="455"/>
      <c r="MMC14" s="455"/>
      <c r="MMD14" s="455"/>
      <c r="MME14" s="455"/>
      <c r="MMF14" s="1144"/>
      <c r="MMG14" s="1614"/>
      <c r="MMH14" s="455"/>
      <c r="MMI14" s="455"/>
      <c r="MMJ14" s="455"/>
      <c r="MMK14" s="455"/>
      <c r="MML14" s="455"/>
      <c r="MMM14" s="455"/>
      <c r="MMN14" s="455"/>
      <c r="MMO14" s="455"/>
      <c r="MMP14" s="455"/>
      <c r="MMQ14" s="455"/>
      <c r="MMR14" s="1144"/>
      <c r="MMS14" s="1614"/>
      <c r="MMT14" s="455"/>
      <c r="MMU14" s="455"/>
      <c r="MMV14" s="455"/>
      <c r="MMW14" s="455"/>
      <c r="MMX14" s="455"/>
      <c r="MMY14" s="455"/>
      <c r="MMZ14" s="455"/>
      <c r="MNA14" s="455"/>
      <c r="MNB14" s="455"/>
      <c r="MNC14" s="455"/>
      <c r="MND14" s="1144"/>
      <c r="MNE14" s="1614"/>
      <c r="MNF14" s="455"/>
      <c r="MNG14" s="455"/>
      <c r="MNH14" s="455"/>
      <c r="MNI14" s="455"/>
      <c r="MNJ14" s="455"/>
      <c r="MNK14" s="455"/>
      <c r="MNL14" s="455"/>
      <c r="MNM14" s="455"/>
      <c r="MNN14" s="455"/>
      <c r="MNO14" s="455"/>
      <c r="MNP14" s="1144"/>
      <c r="MNQ14" s="1614"/>
      <c r="MNR14" s="455"/>
      <c r="MNS14" s="455"/>
      <c r="MNT14" s="455"/>
      <c r="MNU14" s="455"/>
      <c r="MNV14" s="455"/>
      <c r="MNW14" s="455"/>
      <c r="MNX14" s="455"/>
      <c r="MNY14" s="455"/>
      <c r="MNZ14" s="455"/>
      <c r="MOA14" s="455"/>
      <c r="MOB14" s="1144"/>
      <c r="MOC14" s="1614"/>
      <c r="MOD14" s="455"/>
      <c r="MOE14" s="455"/>
      <c r="MOF14" s="455"/>
      <c r="MOG14" s="455"/>
      <c r="MOH14" s="455"/>
      <c r="MOI14" s="455"/>
      <c r="MOJ14" s="455"/>
      <c r="MOK14" s="455"/>
      <c r="MOL14" s="455"/>
      <c r="MOM14" s="455"/>
      <c r="MON14" s="1144"/>
      <c r="MOO14" s="1614"/>
      <c r="MOP14" s="455"/>
      <c r="MOQ14" s="455"/>
      <c r="MOR14" s="455"/>
      <c r="MOS14" s="455"/>
      <c r="MOT14" s="455"/>
      <c r="MOU14" s="455"/>
      <c r="MOV14" s="455"/>
      <c r="MOW14" s="455"/>
      <c r="MOX14" s="455"/>
      <c r="MOY14" s="455"/>
      <c r="MOZ14" s="1144"/>
      <c r="MPA14" s="1614"/>
      <c r="MPB14" s="455"/>
      <c r="MPC14" s="455"/>
      <c r="MPD14" s="455"/>
      <c r="MPE14" s="455"/>
      <c r="MPF14" s="455"/>
      <c r="MPG14" s="455"/>
      <c r="MPH14" s="455"/>
      <c r="MPI14" s="455"/>
      <c r="MPJ14" s="455"/>
      <c r="MPK14" s="455"/>
      <c r="MPL14" s="1144"/>
      <c r="MPM14" s="1614"/>
      <c r="MPN14" s="455"/>
      <c r="MPO14" s="455"/>
      <c r="MPP14" s="455"/>
      <c r="MPQ14" s="455"/>
      <c r="MPR14" s="455"/>
      <c r="MPS14" s="455"/>
      <c r="MPT14" s="455"/>
      <c r="MPU14" s="455"/>
      <c r="MPV14" s="455"/>
      <c r="MPW14" s="455"/>
      <c r="MPX14" s="1144"/>
      <c r="MPY14" s="1614"/>
      <c r="MPZ14" s="455"/>
      <c r="MQA14" s="455"/>
      <c r="MQB14" s="455"/>
      <c r="MQC14" s="455"/>
      <c r="MQD14" s="455"/>
      <c r="MQE14" s="455"/>
      <c r="MQF14" s="455"/>
      <c r="MQG14" s="455"/>
      <c r="MQH14" s="455"/>
      <c r="MQI14" s="455"/>
      <c r="MQJ14" s="1144"/>
      <c r="MQK14" s="1614"/>
      <c r="MQL14" s="455"/>
      <c r="MQM14" s="455"/>
      <c r="MQN14" s="455"/>
      <c r="MQO14" s="455"/>
      <c r="MQP14" s="455"/>
      <c r="MQQ14" s="455"/>
      <c r="MQR14" s="455"/>
      <c r="MQS14" s="455"/>
      <c r="MQT14" s="455"/>
      <c r="MQU14" s="455"/>
      <c r="MQV14" s="1144"/>
      <c r="MQW14" s="1614"/>
      <c r="MQX14" s="455"/>
      <c r="MQY14" s="455"/>
      <c r="MQZ14" s="455"/>
      <c r="MRA14" s="455"/>
      <c r="MRB14" s="455"/>
      <c r="MRC14" s="455"/>
      <c r="MRD14" s="455"/>
      <c r="MRE14" s="455"/>
      <c r="MRF14" s="455"/>
      <c r="MRG14" s="455"/>
      <c r="MRH14" s="1144"/>
      <c r="MRI14" s="1614"/>
      <c r="MRJ14" s="455"/>
      <c r="MRK14" s="455"/>
      <c r="MRL14" s="455"/>
      <c r="MRM14" s="455"/>
      <c r="MRN14" s="455"/>
      <c r="MRO14" s="455"/>
      <c r="MRP14" s="455"/>
      <c r="MRQ14" s="455"/>
      <c r="MRR14" s="455"/>
      <c r="MRS14" s="455"/>
      <c r="MRT14" s="1144"/>
      <c r="MRU14" s="1614"/>
      <c r="MRV14" s="455"/>
      <c r="MRW14" s="455"/>
      <c r="MRX14" s="455"/>
      <c r="MRY14" s="455"/>
      <c r="MRZ14" s="455"/>
      <c r="MSA14" s="455"/>
      <c r="MSB14" s="455"/>
      <c r="MSC14" s="455"/>
      <c r="MSD14" s="455"/>
      <c r="MSE14" s="455"/>
      <c r="MSF14" s="1144"/>
      <c r="MSG14" s="1614"/>
      <c r="MSH14" s="455"/>
      <c r="MSI14" s="455"/>
      <c r="MSJ14" s="455"/>
      <c r="MSK14" s="455"/>
      <c r="MSL14" s="455"/>
      <c r="MSM14" s="455"/>
      <c r="MSN14" s="455"/>
      <c r="MSO14" s="455"/>
      <c r="MSP14" s="455"/>
      <c r="MSQ14" s="455"/>
      <c r="MSR14" s="1144"/>
      <c r="MSS14" s="1614"/>
      <c r="MST14" s="455"/>
      <c r="MSU14" s="455"/>
      <c r="MSV14" s="455"/>
      <c r="MSW14" s="455"/>
      <c r="MSX14" s="455"/>
      <c r="MSY14" s="455"/>
      <c r="MSZ14" s="455"/>
      <c r="MTA14" s="455"/>
      <c r="MTB14" s="455"/>
      <c r="MTC14" s="455"/>
      <c r="MTD14" s="1144"/>
      <c r="MTE14" s="1614"/>
      <c r="MTF14" s="455"/>
      <c r="MTG14" s="455"/>
      <c r="MTH14" s="455"/>
      <c r="MTI14" s="455"/>
      <c r="MTJ14" s="455"/>
      <c r="MTK14" s="455"/>
      <c r="MTL14" s="455"/>
      <c r="MTM14" s="455"/>
      <c r="MTN14" s="455"/>
      <c r="MTO14" s="455"/>
      <c r="MTP14" s="1144"/>
      <c r="MTQ14" s="1614"/>
      <c r="MTR14" s="455"/>
      <c r="MTS14" s="455"/>
      <c r="MTT14" s="455"/>
      <c r="MTU14" s="455"/>
      <c r="MTV14" s="455"/>
      <c r="MTW14" s="455"/>
      <c r="MTX14" s="455"/>
      <c r="MTY14" s="455"/>
      <c r="MTZ14" s="455"/>
      <c r="MUA14" s="455"/>
      <c r="MUB14" s="1144"/>
      <c r="MUC14" s="1614"/>
      <c r="MUD14" s="455"/>
      <c r="MUE14" s="455"/>
      <c r="MUF14" s="455"/>
      <c r="MUG14" s="455"/>
      <c r="MUH14" s="455"/>
      <c r="MUI14" s="455"/>
      <c r="MUJ14" s="455"/>
      <c r="MUK14" s="455"/>
      <c r="MUL14" s="455"/>
      <c r="MUM14" s="455"/>
      <c r="MUN14" s="1144"/>
      <c r="MUO14" s="1614"/>
      <c r="MUP14" s="455"/>
      <c r="MUQ14" s="455"/>
      <c r="MUR14" s="455"/>
      <c r="MUS14" s="455"/>
      <c r="MUT14" s="455"/>
      <c r="MUU14" s="455"/>
      <c r="MUV14" s="455"/>
      <c r="MUW14" s="455"/>
      <c r="MUX14" s="455"/>
      <c r="MUY14" s="455"/>
      <c r="MUZ14" s="1144"/>
      <c r="MVA14" s="1614"/>
      <c r="MVB14" s="455"/>
      <c r="MVC14" s="455"/>
      <c r="MVD14" s="455"/>
      <c r="MVE14" s="455"/>
      <c r="MVF14" s="455"/>
      <c r="MVG14" s="455"/>
      <c r="MVH14" s="455"/>
      <c r="MVI14" s="455"/>
      <c r="MVJ14" s="455"/>
      <c r="MVK14" s="455"/>
      <c r="MVL14" s="1144"/>
      <c r="MVM14" s="1614"/>
      <c r="MVN14" s="455"/>
      <c r="MVO14" s="455"/>
      <c r="MVP14" s="455"/>
      <c r="MVQ14" s="455"/>
      <c r="MVR14" s="455"/>
      <c r="MVS14" s="455"/>
      <c r="MVT14" s="455"/>
      <c r="MVU14" s="455"/>
      <c r="MVV14" s="455"/>
      <c r="MVW14" s="455"/>
      <c r="MVX14" s="1144"/>
      <c r="MVY14" s="1614"/>
      <c r="MVZ14" s="455"/>
      <c r="MWA14" s="455"/>
      <c r="MWB14" s="455"/>
      <c r="MWC14" s="455"/>
      <c r="MWD14" s="455"/>
      <c r="MWE14" s="455"/>
      <c r="MWF14" s="455"/>
      <c r="MWG14" s="455"/>
      <c r="MWH14" s="455"/>
      <c r="MWI14" s="455"/>
      <c r="MWJ14" s="1144"/>
      <c r="MWK14" s="1614"/>
      <c r="MWL14" s="455"/>
      <c r="MWM14" s="455"/>
      <c r="MWN14" s="455"/>
      <c r="MWO14" s="455"/>
      <c r="MWP14" s="455"/>
      <c r="MWQ14" s="455"/>
      <c r="MWR14" s="455"/>
      <c r="MWS14" s="455"/>
      <c r="MWT14" s="455"/>
      <c r="MWU14" s="455"/>
      <c r="MWV14" s="1144"/>
      <c r="MWW14" s="1614"/>
      <c r="MWX14" s="455"/>
      <c r="MWY14" s="455"/>
      <c r="MWZ14" s="455"/>
      <c r="MXA14" s="455"/>
      <c r="MXB14" s="455"/>
      <c r="MXC14" s="455"/>
      <c r="MXD14" s="455"/>
      <c r="MXE14" s="455"/>
      <c r="MXF14" s="455"/>
      <c r="MXG14" s="455"/>
      <c r="MXH14" s="1144"/>
      <c r="MXI14" s="1614"/>
      <c r="MXJ14" s="455"/>
      <c r="MXK14" s="455"/>
      <c r="MXL14" s="455"/>
      <c r="MXM14" s="455"/>
      <c r="MXN14" s="455"/>
      <c r="MXO14" s="455"/>
      <c r="MXP14" s="455"/>
      <c r="MXQ14" s="455"/>
      <c r="MXR14" s="455"/>
      <c r="MXS14" s="455"/>
      <c r="MXT14" s="1144"/>
      <c r="MXU14" s="1614"/>
      <c r="MXV14" s="455"/>
      <c r="MXW14" s="455"/>
      <c r="MXX14" s="455"/>
      <c r="MXY14" s="455"/>
      <c r="MXZ14" s="455"/>
      <c r="MYA14" s="455"/>
      <c r="MYB14" s="455"/>
      <c r="MYC14" s="455"/>
      <c r="MYD14" s="455"/>
      <c r="MYE14" s="455"/>
      <c r="MYF14" s="1144"/>
      <c r="MYG14" s="1614"/>
      <c r="MYH14" s="455"/>
      <c r="MYI14" s="455"/>
      <c r="MYJ14" s="455"/>
      <c r="MYK14" s="455"/>
      <c r="MYL14" s="455"/>
      <c r="MYM14" s="455"/>
      <c r="MYN14" s="455"/>
      <c r="MYO14" s="455"/>
      <c r="MYP14" s="455"/>
      <c r="MYQ14" s="455"/>
      <c r="MYR14" s="1144"/>
      <c r="MYS14" s="1614"/>
      <c r="MYT14" s="455"/>
      <c r="MYU14" s="455"/>
      <c r="MYV14" s="455"/>
      <c r="MYW14" s="455"/>
      <c r="MYX14" s="455"/>
      <c r="MYY14" s="455"/>
      <c r="MYZ14" s="455"/>
      <c r="MZA14" s="455"/>
      <c r="MZB14" s="455"/>
      <c r="MZC14" s="455"/>
      <c r="MZD14" s="1144"/>
      <c r="MZE14" s="1614"/>
      <c r="MZF14" s="455"/>
      <c r="MZG14" s="455"/>
      <c r="MZH14" s="455"/>
      <c r="MZI14" s="455"/>
      <c r="MZJ14" s="455"/>
      <c r="MZK14" s="455"/>
      <c r="MZL14" s="455"/>
      <c r="MZM14" s="455"/>
      <c r="MZN14" s="455"/>
      <c r="MZO14" s="455"/>
      <c r="MZP14" s="1144"/>
      <c r="MZQ14" s="1614"/>
      <c r="MZR14" s="455"/>
      <c r="MZS14" s="455"/>
      <c r="MZT14" s="455"/>
      <c r="MZU14" s="455"/>
      <c r="MZV14" s="455"/>
      <c r="MZW14" s="455"/>
      <c r="MZX14" s="455"/>
      <c r="MZY14" s="455"/>
      <c r="MZZ14" s="455"/>
      <c r="NAA14" s="455"/>
      <c r="NAB14" s="1144"/>
      <c r="NAC14" s="1614"/>
      <c r="NAD14" s="455"/>
      <c r="NAE14" s="455"/>
      <c r="NAF14" s="455"/>
      <c r="NAG14" s="455"/>
      <c r="NAH14" s="455"/>
      <c r="NAI14" s="455"/>
      <c r="NAJ14" s="455"/>
      <c r="NAK14" s="455"/>
      <c r="NAL14" s="455"/>
      <c r="NAM14" s="455"/>
      <c r="NAN14" s="1144"/>
      <c r="NAO14" s="1614"/>
      <c r="NAP14" s="455"/>
      <c r="NAQ14" s="455"/>
      <c r="NAR14" s="455"/>
      <c r="NAS14" s="455"/>
      <c r="NAT14" s="455"/>
      <c r="NAU14" s="455"/>
      <c r="NAV14" s="455"/>
      <c r="NAW14" s="455"/>
      <c r="NAX14" s="455"/>
      <c r="NAY14" s="455"/>
      <c r="NAZ14" s="1144"/>
      <c r="NBA14" s="1614"/>
      <c r="NBB14" s="455"/>
      <c r="NBC14" s="455"/>
      <c r="NBD14" s="455"/>
      <c r="NBE14" s="455"/>
      <c r="NBF14" s="455"/>
      <c r="NBG14" s="455"/>
      <c r="NBH14" s="455"/>
      <c r="NBI14" s="455"/>
      <c r="NBJ14" s="455"/>
      <c r="NBK14" s="455"/>
      <c r="NBL14" s="1144"/>
      <c r="NBM14" s="1614"/>
      <c r="NBN14" s="455"/>
      <c r="NBO14" s="455"/>
      <c r="NBP14" s="455"/>
      <c r="NBQ14" s="455"/>
      <c r="NBR14" s="455"/>
      <c r="NBS14" s="455"/>
      <c r="NBT14" s="455"/>
      <c r="NBU14" s="455"/>
      <c r="NBV14" s="455"/>
      <c r="NBW14" s="455"/>
      <c r="NBX14" s="1144"/>
      <c r="NBY14" s="1614"/>
      <c r="NBZ14" s="455"/>
      <c r="NCA14" s="455"/>
      <c r="NCB14" s="455"/>
      <c r="NCC14" s="455"/>
      <c r="NCD14" s="455"/>
      <c r="NCE14" s="455"/>
      <c r="NCF14" s="455"/>
      <c r="NCG14" s="455"/>
      <c r="NCH14" s="455"/>
      <c r="NCI14" s="455"/>
      <c r="NCJ14" s="1144"/>
      <c r="NCK14" s="1614"/>
      <c r="NCL14" s="455"/>
      <c r="NCM14" s="455"/>
      <c r="NCN14" s="455"/>
      <c r="NCO14" s="455"/>
      <c r="NCP14" s="455"/>
      <c r="NCQ14" s="455"/>
      <c r="NCR14" s="455"/>
      <c r="NCS14" s="455"/>
      <c r="NCT14" s="455"/>
      <c r="NCU14" s="455"/>
      <c r="NCV14" s="1144"/>
      <c r="NCW14" s="1614"/>
      <c r="NCX14" s="455"/>
      <c r="NCY14" s="455"/>
      <c r="NCZ14" s="455"/>
      <c r="NDA14" s="455"/>
      <c r="NDB14" s="455"/>
      <c r="NDC14" s="455"/>
      <c r="NDD14" s="455"/>
      <c r="NDE14" s="455"/>
      <c r="NDF14" s="455"/>
      <c r="NDG14" s="455"/>
      <c r="NDH14" s="1144"/>
      <c r="NDI14" s="1614"/>
      <c r="NDJ14" s="455"/>
      <c r="NDK14" s="455"/>
      <c r="NDL14" s="455"/>
      <c r="NDM14" s="455"/>
      <c r="NDN14" s="455"/>
      <c r="NDO14" s="455"/>
      <c r="NDP14" s="455"/>
      <c r="NDQ14" s="455"/>
      <c r="NDR14" s="455"/>
      <c r="NDS14" s="455"/>
      <c r="NDT14" s="1144"/>
      <c r="NDU14" s="1614"/>
      <c r="NDV14" s="455"/>
      <c r="NDW14" s="455"/>
      <c r="NDX14" s="455"/>
      <c r="NDY14" s="455"/>
      <c r="NDZ14" s="455"/>
      <c r="NEA14" s="455"/>
      <c r="NEB14" s="455"/>
      <c r="NEC14" s="455"/>
      <c r="NED14" s="455"/>
      <c r="NEE14" s="455"/>
      <c r="NEF14" s="1144"/>
      <c r="NEG14" s="1614"/>
      <c r="NEH14" s="455"/>
      <c r="NEI14" s="455"/>
      <c r="NEJ14" s="455"/>
      <c r="NEK14" s="455"/>
      <c r="NEL14" s="455"/>
      <c r="NEM14" s="455"/>
      <c r="NEN14" s="455"/>
      <c r="NEO14" s="455"/>
      <c r="NEP14" s="455"/>
      <c r="NEQ14" s="455"/>
      <c r="NER14" s="1144"/>
      <c r="NES14" s="1614"/>
      <c r="NET14" s="455"/>
      <c r="NEU14" s="455"/>
      <c r="NEV14" s="455"/>
      <c r="NEW14" s="455"/>
      <c r="NEX14" s="455"/>
      <c r="NEY14" s="455"/>
      <c r="NEZ14" s="455"/>
      <c r="NFA14" s="455"/>
      <c r="NFB14" s="455"/>
      <c r="NFC14" s="455"/>
      <c r="NFD14" s="1144"/>
      <c r="NFE14" s="1614"/>
      <c r="NFF14" s="455"/>
      <c r="NFG14" s="455"/>
      <c r="NFH14" s="455"/>
      <c r="NFI14" s="455"/>
      <c r="NFJ14" s="455"/>
      <c r="NFK14" s="455"/>
      <c r="NFL14" s="455"/>
      <c r="NFM14" s="455"/>
      <c r="NFN14" s="455"/>
      <c r="NFO14" s="455"/>
      <c r="NFP14" s="1144"/>
      <c r="NFQ14" s="1614"/>
      <c r="NFR14" s="455"/>
      <c r="NFS14" s="455"/>
      <c r="NFT14" s="455"/>
      <c r="NFU14" s="455"/>
      <c r="NFV14" s="455"/>
      <c r="NFW14" s="455"/>
      <c r="NFX14" s="455"/>
      <c r="NFY14" s="455"/>
      <c r="NFZ14" s="455"/>
      <c r="NGA14" s="455"/>
      <c r="NGB14" s="1144"/>
      <c r="NGC14" s="1614"/>
      <c r="NGD14" s="455"/>
      <c r="NGE14" s="455"/>
      <c r="NGF14" s="455"/>
      <c r="NGG14" s="455"/>
      <c r="NGH14" s="455"/>
      <c r="NGI14" s="455"/>
      <c r="NGJ14" s="455"/>
      <c r="NGK14" s="455"/>
      <c r="NGL14" s="455"/>
      <c r="NGM14" s="455"/>
      <c r="NGN14" s="1144"/>
      <c r="NGO14" s="1614"/>
      <c r="NGP14" s="455"/>
      <c r="NGQ14" s="455"/>
      <c r="NGR14" s="455"/>
      <c r="NGS14" s="455"/>
      <c r="NGT14" s="455"/>
      <c r="NGU14" s="455"/>
      <c r="NGV14" s="455"/>
      <c r="NGW14" s="455"/>
      <c r="NGX14" s="455"/>
      <c r="NGY14" s="455"/>
      <c r="NGZ14" s="1144"/>
      <c r="NHA14" s="1614"/>
      <c r="NHB14" s="455"/>
      <c r="NHC14" s="455"/>
      <c r="NHD14" s="455"/>
      <c r="NHE14" s="455"/>
      <c r="NHF14" s="455"/>
      <c r="NHG14" s="455"/>
      <c r="NHH14" s="455"/>
      <c r="NHI14" s="455"/>
      <c r="NHJ14" s="455"/>
      <c r="NHK14" s="455"/>
      <c r="NHL14" s="1144"/>
      <c r="NHM14" s="1614"/>
      <c r="NHN14" s="455"/>
      <c r="NHO14" s="455"/>
      <c r="NHP14" s="455"/>
      <c r="NHQ14" s="455"/>
      <c r="NHR14" s="455"/>
      <c r="NHS14" s="455"/>
      <c r="NHT14" s="455"/>
      <c r="NHU14" s="455"/>
      <c r="NHV14" s="455"/>
      <c r="NHW14" s="455"/>
      <c r="NHX14" s="1144"/>
      <c r="NHY14" s="1614"/>
      <c r="NHZ14" s="455"/>
      <c r="NIA14" s="455"/>
      <c r="NIB14" s="455"/>
      <c r="NIC14" s="455"/>
      <c r="NID14" s="455"/>
      <c r="NIE14" s="455"/>
      <c r="NIF14" s="455"/>
      <c r="NIG14" s="455"/>
      <c r="NIH14" s="455"/>
      <c r="NII14" s="455"/>
      <c r="NIJ14" s="1144"/>
      <c r="NIK14" s="1614"/>
      <c r="NIL14" s="455"/>
      <c r="NIM14" s="455"/>
      <c r="NIN14" s="455"/>
      <c r="NIO14" s="455"/>
      <c r="NIP14" s="455"/>
      <c r="NIQ14" s="455"/>
      <c r="NIR14" s="455"/>
      <c r="NIS14" s="455"/>
      <c r="NIT14" s="455"/>
      <c r="NIU14" s="455"/>
      <c r="NIV14" s="1144"/>
      <c r="NIW14" s="1614"/>
      <c r="NIX14" s="455"/>
      <c r="NIY14" s="455"/>
      <c r="NIZ14" s="455"/>
      <c r="NJA14" s="455"/>
      <c r="NJB14" s="455"/>
      <c r="NJC14" s="455"/>
      <c r="NJD14" s="455"/>
      <c r="NJE14" s="455"/>
      <c r="NJF14" s="455"/>
      <c r="NJG14" s="455"/>
      <c r="NJH14" s="1144"/>
      <c r="NJI14" s="1614"/>
      <c r="NJJ14" s="455"/>
      <c r="NJK14" s="455"/>
      <c r="NJL14" s="455"/>
      <c r="NJM14" s="455"/>
      <c r="NJN14" s="455"/>
      <c r="NJO14" s="455"/>
      <c r="NJP14" s="455"/>
      <c r="NJQ14" s="455"/>
      <c r="NJR14" s="455"/>
      <c r="NJS14" s="455"/>
      <c r="NJT14" s="1144"/>
      <c r="NJU14" s="1614"/>
      <c r="NJV14" s="455"/>
      <c r="NJW14" s="455"/>
      <c r="NJX14" s="455"/>
      <c r="NJY14" s="455"/>
      <c r="NJZ14" s="455"/>
      <c r="NKA14" s="455"/>
      <c r="NKB14" s="455"/>
      <c r="NKC14" s="455"/>
      <c r="NKD14" s="455"/>
      <c r="NKE14" s="455"/>
      <c r="NKF14" s="1144"/>
      <c r="NKG14" s="1614"/>
      <c r="NKH14" s="455"/>
      <c r="NKI14" s="455"/>
      <c r="NKJ14" s="455"/>
      <c r="NKK14" s="455"/>
      <c r="NKL14" s="455"/>
      <c r="NKM14" s="455"/>
      <c r="NKN14" s="455"/>
      <c r="NKO14" s="455"/>
      <c r="NKP14" s="455"/>
      <c r="NKQ14" s="455"/>
      <c r="NKR14" s="1144"/>
      <c r="NKS14" s="1614"/>
      <c r="NKT14" s="455"/>
      <c r="NKU14" s="455"/>
      <c r="NKV14" s="455"/>
      <c r="NKW14" s="455"/>
      <c r="NKX14" s="455"/>
      <c r="NKY14" s="455"/>
      <c r="NKZ14" s="455"/>
      <c r="NLA14" s="455"/>
      <c r="NLB14" s="455"/>
      <c r="NLC14" s="455"/>
      <c r="NLD14" s="1144"/>
      <c r="NLE14" s="1614"/>
      <c r="NLF14" s="455"/>
      <c r="NLG14" s="455"/>
      <c r="NLH14" s="455"/>
      <c r="NLI14" s="455"/>
      <c r="NLJ14" s="455"/>
      <c r="NLK14" s="455"/>
      <c r="NLL14" s="455"/>
      <c r="NLM14" s="455"/>
      <c r="NLN14" s="455"/>
      <c r="NLO14" s="455"/>
      <c r="NLP14" s="1144"/>
      <c r="NLQ14" s="1614"/>
      <c r="NLR14" s="455"/>
      <c r="NLS14" s="455"/>
      <c r="NLT14" s="455"/>
      <c r="NLU14" s="455"/>
      <c r="NLV14" s="455"/>
      <c r="NLW14" s="455"/>
      <c r="NLX14" s="455"/>
      <c r="NLY14" s="455"/>
      <c r="NLZ14" s="455"/>
      <c r="NMA14" s="455"/>
      <c r="NMB14" s="1144"/>
      <c r="NMC14" s="1614"/>
      <c r="NMD14" s="455"/>
      <c r="NME14" s="455"/>
      <c r="NMF14" s="455"/>
      <c r="NMG14" s="455"/>
      <c r="NMH14" s="455"/>
      <c r="NMI14" s="455"/>
      <c r="NMJ14" s="455"/>
      <c r="NMK14" s="455"/>
      <c r="NML14" s="455"/>
      <c r="NMM14" s="455"/>
      <c r="NMN14" s="1144"/>
      <c r="NMO14" s="1614"/>
      <c r="NMP14" s="455"/>
      <c r="NMQ14" s="455"/>
      <c r="NMR14" s="455"/>
      <c r="NMS14" s="455"/>
      <c r="NMT14" s="455"/>
      <c r="NMU14" s="455"/>
      <c r="NMV14" s="455"/>
      <c r="NMW14" s="455"/>
      <c r="NMX14" s="455"/>
      <c r="NMY14" s="455"/>
      <c r="NMZ14" s="1144"/>
      <c r="NNA14" s="1614"/>
      <c r="NNB14" s="455"/>
      <c r="NNC14" s="455"/>
      <c r="NND14" s="455"/>
      <c r="NNE14" s="455"/>
      <c r="NNF14" s="455"/>
      <c r="NNG14" s="455"/>
      <c r="NNH14" s="455"/>
      <c r="NNI14" s="455"/>
      <c r="NNJ14" s="455"/>
      <c r="NNK14" s="455"/>
      <c r="NNL14" s="1144"/>
      <c r="NNM14" s="1614"/>
      <c r="NNN14" s="455"/>
      <c r="NNO14" s="455"/>
      <c r="NNP14" s="455"/>
      <c r="NNQ14" s="455"/>
      <c r="NNR14" s="455"/>
      <c r="NNS14" s="455"/>
      <c r="NNT14" s="455"/>
      <c r="NNU14" s="455"/>
      <c r="NNV14" s="455"/>
      <c r="NNW14" s="455"/>
      <c r="NNX14" s="1144"/>
      <c r="NNY14" s="1614"/>
      <c r="NNZ14" s="455"/>
      <c r="NOA14" s="455"/>
      <c r="NOB14" s="455"/>
      <c r="NOC14" s="455"/>
      <c r="NOD14" s="455"/>
      <c r="NOE14" s="455"/>
      <c r="NOF14" s="455"/>
      <c r="NOG14" s="455"/>
      <c r="NOH14" s="455"/>
      <c r="NOI14" s="455"/>
      <c r="NOJ14" s="1144"/>
      <c r="NOK14" s="1614"/>
      <c r="NOL14" s="455"/>
      <c r="NOM14" s="455"/>
      <c r="NON14" s="455"/>
      <c r="NOO14" s="455"/>
      <c r="NOP14" s="455"/>
      <c r="NOQ14" s="455"/>
      <c r="NOR14" s="455"/>
      <c r="NOS14" s="455"/>
      <c r="NOT14" s="455"/>
      <c r="NOU14" s="455"/>
      <c r="NOV14" s="1144"/>
      <c r="NOW14" s="1614"/>
      <c r="NOX14" s="455"/>
      <c r="NOY14" s="455"/>
      <c r="NOZ14" s="455"/>
      <c r="NPA14" s="455"/>
      <c r="NPB14" s="455"/>
      <c r="NPC14" s="455"/>
      <c r="NPD14" s="455"/>
      <c r="NPE14" s="455"/>
      <c r="NPF14" s="455"/>
      <c r="NPG14" s="455"/>
      <c r="NPH14" s="1144"/>
      <c r="NPI14" s="1614"/>
      <c r="NPJ14" s="455"/>
      <c r="NPK14" s="455"/>
      <c r="NPL14" s="455"/>
      <c r="NPM14" s="455"/>
      <c r="NPN14" s="455"/>
      <c r="NPO14" s="455"/>
      <c r="NPP14" s="455"/>
      <c r="NPQ14" s="455"/>
      <c r="NPR14" s="455"/>
      <c r="NPS14" s="455"/>
      <c r="NPT14" s="1144"/>
      <c r="NPU14" s="1614"/>
      <c r="NPV14" s="455"/>
      <c r="NPW14" s="455"/>
      <c r="NPX14" s="455"/>
      <c r="NPY14" s="455"/>
      <c r="NPZ14" s="455"/>
      <c r="NQA14" s="455"/>
      <c r="NQB14" s="455"/>
      <c r="NQC14" s="455"/>
      <c r="NQD14" s="455"/>
      <c r="NQE14" s="455"/>
      <c r="NQF14" s="1144"/>
      <c r="NQG14" s="1614"/>
      <c r="NQH14" s="455"/>
      <c r="NQI14" s="455"/>
      <c r="NQJ14" s="455"/>
      <c r="NQK14" s="455"/>
      <c r="NQL14" s="455"/>
      <c r="NQM14" s="455"/>
      <c r="NQN14" s="455"/>
      <c r="NQO14" s="455"/>
      <c r="NQP14" s="455"/>
      <c r="NQQ14" s="455"/>
      <c r="NQR14" s="1144"/>
      <c r="NQS14" s="1614"/>
      <c r="NQT14" s="455"/>
      <c r="NQU14" s="455"/>
      <c r="NQV14" s="455"/>
      <c r="NQW14" s="455"/>
      <c r="NQX14" s="455"/>
      <c r="NQY14" s="455"/>
      <c r="NQZ14" s="455"/>
      <c r="NRA14" s="455"/>
      <c r="NRB14" s="455"/>
      <c r="NRC14" s="455"/>
      <c r="NRD14" s="1144"/>
      <c r="NRE14" s="1614"/>
      <c r="NRF14" s="455"/>
      <c r="NRG14" s="455"/>
      <c r="NRH14" s="455"/>
      <c r="NRI14" s="455"/>
      <c r="NRJ14" s="455"/>
      <c r="NRK14" s="455"/>
      <c r="NRL14" s="455"/>
      <c r="NRM14" s="455"/>
      <c r="NRN14" s="455"/>
      <c r="NRO14" s="455"/>
      <c r="NRP14" s="1144"/>
      <c r="NRQ14" s="1614"/>
      <c r="NRR14" s="455"/>
      <c r="NRS14" s="455"/>
      <c r="NRT14" s="455"/>
      <c r="NRU14" s="455"/>
      <c r="NRV14" s="455"/>
      <c r="NRW14" s="455"/>
      <c r="NRX14" s="455"/>
      <c r="NRY14" s="455"/>
      <c r="NRZ14" s="455"/>
      <c r="NSA14" s="455"/>
      <c r="NSB14" s="1144"/>
      <c r="NSC14" s="1614"/>
      <c r="NSD14" s="455"/>
      <c r="NSE14" s="455"/>
      <c r="NSF14" s="455"/>
      <c r="NSG14" s="455"/>
      <c r="NSH14" s="455"/>
      <c r="NSI14" s="455"/>
      <c r="NSJ14" s="455"/>
      <c r="NSK14" s="455"/>
      <c r="NSL14" s="455"/>
      <c r="NSM14" s="455"/>
      <c r="NSN14" s="1144"/>
      <c r="NSO14" s="1614"/>
      <c r="NSP14" s="455"/>
      <c r="NSQ14" s="455"/>
      <c r="NSR14" s="455"/>
      <c r="NSS14" s="455"/>
      <c r="NST14" s="455"/>
      <c r="NSU14" s="455"/>
      <c r="NSV14" s="455"/>
      <c r="NSW14" s="455"/>
      <c r="NSX14" s="455"/>
      <c r="NSY14" s="455"/>
      <c r="NSZ14" s="1144"/>
      <c r="NTA14" s="1614"/>
      <c r="NTB14" s="455"/>
      <c r="NTC14" s="455"/>
      <c r="NTD14" s="455"/>
      <c r="NTE14" s="455"/>
      <c r="NTF14" s="455"/>
      <c r="NTG14" s="455"/>
      <c r="NTH14" s="455"/>
      <c r="NTI14" s="455"/>
      <c r="NTJ14" s="455"/>
      <c r="NTK14" s="455"/>
      <c r="NTL14" s="1144"/>
      <c r="NTM14" s="1614"/>
      <c r="NTN14" s="455"/>
      <c r="NTO14" s="455"/>
      <c r="NTP14" s="455"/>
      <c r="NTQ14" s="455"/>
      <c r="NTR14" s="455"/>
      <c r="NTS14" s="455"/>
      <c r="NTT14" s="455"/>
      <c r="NTU14" s="455"/>
      <c r="NTV14" s="455"/>
      <c r="NTW14" s="455"/>
      <c r="NTX14" s="1144"/>
      <c r="NTY14" s="1614"/>
      <c r="NTZ14" s="455"/>
      <c r="NUA14" s="455"/>
      <c r="NUB14" s="455"/>
      <c r="NUC14" s="455"/>
      <c r="NUD14" s="455"/>
      <c r="NUE14" s="455"/>
      <c r="NUF14" s="455"/>
      <c r="NUG14" s="455"/>
      <c r="NUH14" s="455"/>
      <c r="NUI14" s="455"/>
      <c r="NUJ14" s="1144"/>
      <c r="NUK14" s="1614"/>
      <c r="NUL14" s="455"/>
      <c r="NUM14" s="455"/>
      <c r="NUN14" s="455"/>
      <c r="NUO14" s="455"/>
      <c r="NUP14" s="455"/>
      <c r="NUQ14" s="455"/>
      <c r="NUR14" s="455"/>
      <c r="NUS14" s="455"/>
      <c r="NUT14" s="455"/>
      <c r="NUU14" s="455"/>
      <c r="NUV14" s="1144"/>
      <c r="NUW14" s="1614"/>
      <c r="NUX14" s="455"/>
      <c r="NUY14" s="455"/>
      <c r="NUZ14" s="455"/>
      <c r="NVA14" s="455"/>
      <c r="NVB14" s="455"/>
      <c r="NVC14" s="455"/>
      <c r="NVD14" s="455"/>
      <c r="NVE14" s="455"/>
      <c r="NVF14" s="455"/>
      <c r="NVG14" s="455"/>
      <c r="NVH14" s="1144"/>
      <c r="NVI14" s="1614"/>
      <c r="NVJ14" s="455"/>
      <c r="NVK14" s="455"/>
      <c r="NVL14" s="455"/>
      <c r="NVM14" s="455"/>
      <c r="NVN14" s="455"/>
      <c r="NVO14" s="455"/>
      <c r="NVP14" s="455"/>
      <c r="NVQ14" s="455"/>
      <c r="NVR14" s="455"/>
      <c r="NVS14" s="455"/>
      <c r="NVT14" s="1144"/>
      <c r="NVU14" s="1614"/>
      <c r="NVV14" s="455"/>
      <c r="NVW14" s="455"/>
      <c r="NVX14" s="455"/>
      <c r="NVY14" s="455"/>
      <c r="NVZ14" s="455"/>
      <c r="NWA14" s="455"/>
      <c r="NWB14" s="455"/>
      <c r="NWC14" s="455"/>
      <c r="NWD14" s="455"/>
      <c r="NWE14" s="455"/>
      <c r="NWF14" s="1144"/>
      <c r="NWG14" s="1614"/>
      <c r="NWH14" s="455"/>
      <c r="NWI14" s="455"/>
      <c r="NWJ14" s="455"/>
      <c r="NWK14" s="455"/>
      <c r="NWL14" s="455"/>
      <c r="NWM14" s="455"/>
      <c r="NWN14" s="455"/>
      <c r="NWO14" s="455"/>
      <c r="NWP14" s="455"/>
      <c r="NWQ14" s="455"/>
      <c r="NWR14" s="1144"/>
      <c r="NWS14" s="1614"/>
      <c r="NWT14" s="455"/>
      <c r="NWU14" s="455"/>
      <c r="NWV14" s="455"/>
      <c r="NWW14" s="455"/>
      <c r="NWX14" s="455"/>
      <c r="NWY14" s="455"/>
      <c r="NWZ14" s="455"/>
      <c r="NXA14" s="455"/>
      <c r="NXB14" s="455"/>
      <c r="NXC14" s="455"/>
      <c r="NXD14" s="1144"/>
      <c r="NXE14" s="1614"/>
      <c r="NXF14" s="455"/>
      <c r="NXG14" s="455"/>
      <c r="NXH14" s="455"/>
      <c r="NXI14" s="455"/>
      <c r="NXJ14" s="455"/>
      <c r="NXK14" s="455"/>
      <c r="NXL14" s="455"/>
      <c r="NXM14" s="455"/>
      <c r="NXN14" s="455"/>
      <c r="NXO14" s="455"/>
      <c r="NXP14" s="1144"/>
      <c r="NXQ14" s="1614"/>
      <c r="NXR14" s="455"/>
      <c r="NXS14" s="455"/>
      <c r="NXT14" s="455"/>
      <c r="NXU14" s="455"/>
      <c r="NXV14" s="455"/>
      <c r="NXW14" s="455"/>
      <c r="NXX14" s="455"/>
      <c r="NXY14" s="455"/>
      <c r="NXZ14" s="455"/>
      <c r="NYA14" s="455"/>
      <c r="NYB14" s="1144"/>
      <c r="NYC14" s="1614"/>
      <c r="NYD14" s="455"/>
      <c r="NYE14" s="455"/>
      <c r="NYF14" s="455"/>
      <c r="NYG14" s="455"/>
      <c r="NYH14" s="455"/>
      <c r="NYI14" s="455"/>
      <c r="NYJ14" s="455"/>
      <c r="NYK14" s="455"/>
      <c r="NYL14" s="455"/>
      <c r="NYM14" s="455"/>
      <c r="NYN14" s="1144"/>
      <c r="NYO14" s="1614"/>
      <c r="NYP14" s="455"/>
      <c r="NYQ14" s="455"/>
      <c r="NYR14" s="455"/>
      <c r="NYS14" s="455"/>
      <c r="NYT14" s="455"/>
      <c r="NYU14" s="455"/>
      <c r="NYV14" s="455"/>
      <c r="NYW14" s="455"/>
      <c r="NYX14" s="455"/>
      <c r="NYY14" s="455"/>
      <c r="NYZ14" s="1144"/>
      <c r="NZA14" s="1614"/>
      <c r="NZB14" s="455"/>
      <c r="NZC14" s="455"/>
      <c r="NZD14" s="455"/>
      <c r="NZE14" s="455"/>
      <c r="NZF14" s="455"/>
      <c r="NZG14" s="455"/>
      <c r="NZH14" s="455"/>
      <c r="NZI14" s="455"/>
      <c r="NZJ14" s="455"/>
      <c r="NZK14" s="455"/>
      <c r="NZL14" s="1144"/>
      <c r="NZM14" s="1614"/>
      <c r="NZN14" s="455"/>
      <c r="NZO14" s="455"/>
      <c r="NZP14" s="455"/>
      <c r="NZQ14" s="455"/>
      <c r="NZR14" s="455"/>
      <c r="NZS14" s="455"/>
      <c r="NZT14" s="455"/>
      <c r="NZU14" s="455"/>
      <c r="NZV14" s="455"/>
      <c r="NZW14" s="455"/>
      <c r="NZX14" s="1144"/>
      <c r="NZY14" s="1614"/>
      <c r="NZZ14" s="455"/>
      <c r="OAA14" s="455"/>
      <c r="OAB14" s="455"/>
      <c r="OAC14" s="455"/>
      <c r="OAD14" s="455"/>
      <c r="OAE14" s="455"/>
      <c r="OAF14" s="455"/>
      <c r="OAG14" s="455"/>
      <c r="OAH14" s="455"/>
      <c r="OAI14" s="455"/>
      <c r="OAJ14" s="1144"/>
      <c r="OAK14" s="1614"/>
      <c r="OAL14" s="455"/>
      <c r="OAM14" s="455"/>
      <c r="OAN14" s="455"/>
      <c r="OAO14" s="455"/>
      <c r="OAP14" s="455"/>
      <c r="OAQ14" s="455"/>
      <c r="OAR14" s="455"/>
      <c r="OAS14" s="455"/>
      <c r="OAT14" s="455"/>
      <c r="OAU14" s="455"/>
      <c r="OAV14" s="1144"/>
      <c r="OAW14" s="1614"/>
      <c r="OAX14" s="455"/>
      <c r="OAY14" s="455"/>
      <c r="OAZ14" s="455"/>
      <c r="OBA14" s="455"/>
      <c r="OBB14" s="455"/>
      <c r="OBC14" s="455"/>
      <c r="OBD14" s="455"/>
      <c r="OBE14" s="455"/>
      <c r="OBF14" s="455"/>
      <c r="OBG14" s="455"/>
      <c r="OBH14" s="1144"/>
      <c r="OBI14" s="1614"/>
      <c r="OBJ14" s="455"/>
      <c r="OBK14" s="455"/>
      <c r="OBL14" s="455"/>
      <c r="OBM14" s="455"/>
      <c r="OBN14" s="455"/>
      <c r="OBO14" s="455"/>
      <c r="OBP14" s="455"/>
      <c r="OBQ14" s="455"/>
      <c r="OBR14" s="455"/>
      <c r="OBS14" s="455"/>
      <c r="OBT14" s="1144"/>
      <c r="OBU14" s="1614"/>
      <c r="OBV14" s="455"/>
      <c r="OBW14" s="455"/>
      <c r="OBX14" s="455"/>
      <c r="OBY14" s="455"/>
      <c r="OBZ14" s="455"/>
      <c r="OCA14" s="455"/>
      <c r="OCB14" s="455"/>
      <c r="OCC14" s="455"/>
      <c r="OCD14" s="455"/>
      <c r="OCE14" s="455"/>
      <c r="OCF14" s="1144"/>
      <c r="OCG14" s="1614"/>
      <c r="OCH14" s="455"/>
      <c r="OCI14" s="455"/>
      <c r="OCJ14" s="455"/>
      <c r="OCK14" s="455"/>
      <c r="OCL14" s="455"/>
      <c r="OCM14" s="455"/>
      <c r="OCN14" s="455"/>
      <c r="OCO14" s="455"/>
      <c r="OCP14" s="455"/>
      <c r="OCQ14" s="455"/>
      <c r="OCR14" s="1144"/>
      <c r="OCS14" s="1614"/>
      <c r="OCT14" s="455"/>
      <c r="OCU14" s="455"/>
      <c r="OCV14" s="455"/>
      <c r="OCW14" s="455"/>
      <c r="OCX14" s="455"/>
      <c r="OCY14" s="455"/>
      <c r="OCZ14" s="455"/>
      <c r="ODA14" s="455"/>
      <c r="ODB14" s="455"/>
      <c r="ODC14" s="455"/>
      <c r="ODD14" s="1144"/>
      <c r="ODE14" s="1614"/>
      <c r="ODF14" s="455"/>
      <c r="ODG14" s="455"/>
      <c r="ODH14" s="455"/>
      <c r="ODI14" s="455"/>
      <c r="ODJ14" s="455"/>
      <c r="ODK14" s="455"/>
      <c r="ODL14" s="455"/>
      <c r="ODM14" s="455"/>
      <c r="ODN14" s="455"/>
      <c r="ODO14" s="455"/>
      <c r="ODP14" s="1144"/>
      <c r="ODQ14" s="1614"/>
      <c r="ODR14" s="455"/>
      <c r="ODS14" s="455"/>
      <c r="ODT14" s="455"/>
      <c r="ODU14" s="455"/>
      <c r="ODV14" s="455"/>
      <c r="ODW14" s="455"/>
      <c r="ODX14" s="455"/>
      <c r="ODY14" s="455"/>
      <c r="ODZ14" s="455"/>
      <c r="OEA14" s="455"/>
      <c r="OEB14" s="1144"/>
      <c r="OEC14" s="1614"/>
      <c r="OED14" s="455"/>
      <c r="OEE14" s="455"/>
      <c r="OEF14" s="455"/>
      <c r="OEG14" s="455"/>
      <c r="OEH14" s="455"/>
      <c r="OEI14" s="455"/>
      <c r="OEJ14" s="455"/>
      <c r="OEK14" s="455"/>
      <c r="OEL14" s="455"/>
      <c r="OEM14" s="455"/>
      <c r="OEN14" s="1144"/>
      <c r="OEO14" s="1614"/>
      <c r="OEP14" s="455"/>
      <c r="OEQ14" s="455"/>
      <c r="OER14" s="455"/>
      <c r="OES14" s="455"/>
      <c r="OET14" s="455"/>
      <c r="OEU14" s="455"/>
      <c r="OEV14" s="455"/>
      <c r="OEW14" s="455"/>
      <c r="OEX14" s="455"/>
      <c r="OEY14" s="455"/>
      <c r="OEZ14" s="1144"/>
      <c r="OFA14" s="1614"/>
      <c r="OFB14" s="455"/>
      <c r="OFC14" s="455"/>
      <c r="OFD14" s="455"/>
      <c r="OFE14" s="455"/>
      <c r="OFF14" s="455"/>
      <c r="OFG14" s="455"/>
      <c r="OFH14" s="455"/>
      <c r="OFI14" s="455"/>
      <c r="OFJ14" s="455"/>
      <c r="OFK14" s="455"/>
      <c r="OFL14" s="1144"/>
      <c r="OFM14" s="1614"/>
      <c r="OFN14" s="455"/>
      <c r="OFO14" s="455"/>
      <c r="OFP14" s="455"/>
      <c r="OFQ14" s="455"/>
      <c r="OFR14" s="455"/>
      <c r="OFS14" s="455"/>
      <c r="OFT14" s="455"/>
      <c r="OFU14" s="455"/>
      <c r="OFV14" s="455"/>
      <c r="OFW14" s="455"/>
      <c r="OFX14" s="1144"/>
      <c r="OFY14" s="1614"/>
      <c r="OFZ14" s="455"/>
      <c r="OGA14" s="455"/>
      <c r="OGB14" s="455"/>
      <c r="OGC14" s="455"/>
      <c r="OGD14" s="455"/>
      <c r="OGE14" s="455"/>
      <c r="OGF14" s="455"/>
      <c r="OGG14" s="455"/>
      <c r="OGH14" s="455"/>
      <c r="OGI14" s="455"/>
      <c r="OGJ14" s="1144"/>
      <c r="OGK14" s="1614"/>
      <c r="OGL14" s="455"/>
      <c r="OGM14" s="455"/>
      <c r="OGN14" s="455"/>
      <c r="OGO14" s="455"/>
      <c r="OGP14" s="455"/>
      <c r="OGQ14" s="455"/>
      <c r="OGR14" s="455"/>
      <c r="OGS14" s="455"/>
      <c r="OGT14" s="455"/>
      <c r="OGU14" s="455"/>
      <c r="OGV14" s="1144"/>
      <c r="OGW14" s="1614"/>
      <c r="OGX14" s="455"/>
      <c r="OGY14" s="455"/>
      <c r="OGZ14" s="455"/>
      <c r="OHA14" s="455"/>
      <c r="OHB14" s="455"/>
      <c r="OHC14" s="455"/>
      <c r="OHD14" s="455"/>
      <c r="OHE14" s="455"/>
      <c r="OHF14" s="455"/>
      <c r="OHG14" s="455"/>
      <c r="OHH14" s="1144"/>
      <c r="OHI14" s="1614"/>
      <c r="OHJ14" s="455"/>
      <c r="OHK14" s="455"/>
      <c r="OHL14" s="455"/>
      <c r="OHM14" s="455"/>
      <c r="OHN14" s="455"/>
      <c r="OHO14" s="455"/>
      <c r="OHP14" s="455"/>
      <c r="OHQ14" s="455"/>
      <c r="OHR14" s="455"/>
      <c r="OHS14" s="455"/>
      <c r="OHT14" s="1144"/>
      <c r="OHU14" s="1614"/>
      <c r="OHV14" s="455"/>
      <c r="OHW14" s="455"/>
      <c r="OHX14" s="455"/>
      <c r="OHY14" s="455"/>
      <c r="OHZ14" s="455"/>
      <c r="OIA14" s="455"/>
      <c r="OIB14" s="455"/>
      <c r="OIC14" s="455"/>
      <c r="OID14" s="455"/>
      <c r="OIE14" s="455"/>
      <c r="OIF14" s="1144"/>
      <c r="OIG14" s="1614"/>
      <c r="OIH14" s="455"/>
      <c r="OII14" s="455"/>
      <c r="OIJ14" s="455"/>
      <c r="OIK14" s="455"/>
      <c r="OIL14" s="455"/>
      <c r="OIM14" s="455"/>
      <c r="OIN14" s="455"/>
      <c r="OIO14" s="455"/>
      <c r="OIP14" s="455"/>
      <c r="OIQ14" s="455"/>
      <c r="OIR14" s="1144"/>
      <c r="OIS14" s="1614"/>
      <c r="OIT14" s="455"/>
      <c r="OIU14" s="455"/>
      <c r="OIV14" s="455"/>
      <c r="OIW14" s="455"/>
      <c r="OIX14" s="455"/>
      <c r="OIY14" s="455"/>
      <c r="OIZ14" s="455"/>
      <c r="OJA14" s="455"/>
      <c r="OJB14" s="455"/>
      <c r="OJC14" s="455"/>
      <c r="OJD14" s="1144"/>
      <c r="OJE14" s="1614"/>
      <c r="OJF14" s="455"/>
      <c r="OJG14" s="455"/>
      <c r="OJH14" s="455"/>
      <c r="OJI14" s="455"/>
      <c r="OJJ14" s="455"/>
      <c r="OJK14" s="455"/>
      <c r="OJL14" s="455"/>
      <c r="OJM14" s="455"/>
      <c r="OJN14" s="455"/>
      <c r="OJO14" s="455"/>
      <c r="OJP14" s="1144"/>
      <c r="OJQ14" s="1614"/>
      <c r="OJR14" s="455"/>
      <c r="OJS14" s="455"/>
      <c r="OJT14" s="455"/>
      <c r="OJU14" s="455"/>
      <c r="OJV14" s="455"/>
      <c r="OJW14" s="455"/>
      <c r="OJX14" s="455"/>
      <c r="OJY14" s="455"/>
      <c r="OJZ14" s="455"/>
      <c r="OKA14" s="455"/>
      <c r="OKB14" s="1144"/>
      <c r="OKC14" s="1614"/>
      <c r="OKD14" s="455"/>
      <c r="OKE14" s="455"/>
      <c r="OKF14" s="455"/>
      <c r="OKG14" s="455"/>
      <c r="OKH14" s="455"/>
      <c r="OKI14" s="455"/>
      <c r="OKJ14" s="455"/>
      <c r="OKK14" s="455"/>
      <c r="OKL14" s="455"/>
      <c r="OKM14" s="455"/>
      <c r="OKN14" s="1144"/>
      <c r="OKO14" s="1614"/>
      <c r="OKP14" s="455"/>
      <c r="OKQ14" s="455"/>
      <c r="OKR14" s="455"/>
      <c r="OKS14" s="455"/>
      <c r="OKT14" s="455"/>
      <c r="OKU14" s="455"/>
      <c r="OKV14" s="455"/>
      <c r="OKW14" s="455"/>
      <c r="OKX14" s="455"/>
      <c r="OKY14" s="455"/>
      <c r="OKZ14" s="1144"/>
      <c r="OLA14" s="1614"/>
      <c r="OLB14" s="455"/>
      <c r="OLC14" s="455"/>
      <c r="OLD14" s="455"/>
      <c r="OLE14" s="455"/>
      <c r="OLF14" s="455"/>
      <c r="OLG14" s="455"/>
      <c r="OLH14" s="455"/>
      <c r="OLI14" s="455"/>
      <c r="OLJ14" s="455"/>
      <c r="OLK14" s="455"/>
      <c r="OLL14" s="1144"/>
      <c r="OLM14" s="1614"/>
      <c r="OLN14" s="455"/>
      <c r="OLO14" s="455"/>
      <c r="OLP14" s="455"/>
      <c r="OLQ14" s="455"/>
      <c r="OLR14" s="455"/>
      <c r="OLS14" s="455"/>
      <c r="OLT14" s="455"/>
      <c r="OLU14" s="455"/>
      <c r="OLV14" s="455"/>
      <c r="OLW14" s="455"/>
      <c r="OLX14" s="1144"/>
      <c r="OLY14" s="1614"/>
      <c r="OLZ14" s="455"/>
      <c r="OMA14" s="455"/>
      <c r="OMB14" s="455"/>
      <c r="OMC14" s="455"/>
      <c r="OMD14" s="455"/>
      <c r="OME14" s="455"/>
      <c r="OMF14" s="455"/>
      <c r="OMG14" s="455"/>
      <c r="OMH14" s="455"/>
      <c r="OMI14" s="455"/>
      <c r="OMJ14" s="1144"/>
      <c r="OMK14" s="1614"/>
      <c r="OML14" s="455"/>
      <c r="OMM14" s="455"/>
      <c r="OMN14" s="455"/>
      <c r="OMO14" s="455"/>
      <c r="OMP14" s="455"/>
      <c r="OMQ14" s="455"/>
      <c r="OMR14" s="455"/>
      <c r="OMS14" s="455"/>
      <c r="OMT14" s="455"/>
      <c r="OMU14" s="455"/>
      <c r="OMV14" s="1144"/>
      <c r="OMW14" s="1614"/>
      <c r="OMX14" s="455"/>
      <c r="OMY14" s="455"/>
      <c r="OMZ14" s="455"/>
      <c r="ONA14" s="455"/>
      <c r="ONB14" s="455"/>
      <c r="ONC14" s="455"/>
      <c r="OND14" s="455"/>
      <c r="ONE14" s="455"/>
      <c r="ONF14" s="455"/>
      <c r="ONG14" s="455"/>
      <c r="ONH14" s="1144"/>
      <c r="ONI14" s="1614"/>
      <c r="ONJ14" s="455"/>
      <c r="ONK14" s="455"/>
      <c r="ONL14" s="455"/>
      <c r="ONM14" s="455"/>
      <c r="ONN14" s="455"/>
      <c r="ONO14" s="455"/>
      <c r="ONP14" s="455"/>
      <c r="ONQ14" s="455"/>
      <c r="ONR14" s="455"/>
      <c r="ONS14" s="455"/>
      <c r="ONT14" s="1144"/>
      <c r="ONU14" s="1614"/>
      <c r="ONV14" s="455"/>
      <c r="ONW14" s="455"/>
      <c r="ONX14" s="455"/>
      <c r="ONY14" s="455"/>
      <c r="ONZ14" s="455"/>
      <c r="OOA14" s="455"/>
      <c r="OOB14" s="455"/>
      <c r="OOC14" s="455"/>
      <c r="OOD14" s="455"/>
      <c r="OOE14" s="455"/>
      <c r="OOF14" s="1144"/>
      <c r="OOG14" s="1614"/>
      <c r="OOH14" s="455"/>
      <c r="OOI14" s="455"/>
      <c r="OOJ14" s="455"/>
      <c r="OOK14" s="455"/>
      <c r="OOL14" s="455"/>
      <c r="OOM14" s="455"/>
      <c r="OON14" s="455"/>
      <c r="OOO14" s="455"/>
      <c r="OOP14" s="455"/>
      <c r="OOQ14" s="455"/>
      <c r="OOR14" s="1144"/>
      <c r="OOS14" s="1614"/>
      <c r="OOT14" s="455"/>
      <c r="OOU14" s="455"/>
      <c r="OOV14" s="455"/>
      <c r="OOW14" s="455"/>
      <c r="OOX14" s="455"/>
      <c r="OOY14" s="455"/>
      <c r="OOZ14" s="455"/>
      <c r="OPA14" s="455"/>
      <c r="OPB14" s="455"/>
      <c r="OPC14" s="455"/>
      <c r="OPD14" s="1144"/>
      <c r="OPE14" s="1614"/>
      <c r="OPF14" s="455"/>
      <c r="OPG14" s="455"/>
      <c r="OPH14" s="455"/>
      <c r="OPI14" s="455"/>
      <c r="OPJ14" s="455"/>
      <c r="OPK14" s="455"/>
      <c r="OPL14" s="455"/>
      <c r="OPM14" s="455"/>
      <c r="OPN14" s="455"/>
      <c r="OPO14" s="455"/>
      <c r="OPP14" s="1144"/>
      <c r="OPQ14" s="1614"/>
      <c r="OPR14" s="455"/>
      <c r="OPS14" s="455"/>
      <c r="OPT14" s="455"/>
      <c r="OPU14" s="455"/>
      <c r="OPV14" s="455"/>
      <c r="OPW14" s="455"/>
      <c r="OPX14" s="455"/>
      <c r="OPY14" s="455"/>
      <c r="OPZ14" s="455"/>
      <c r="OQA14" s="455"/>
      <c r="OQB14" s="1144"/>
      <c r="OQC14" s="1614"/>
      <c r="OQD14" s="455"/>
      <c r="OQE14" s="455"/>
      <c r="OQF14" s="455"/>
      <c r="OQG14" s="455"/>
      <c r="OQH14" s="455"/>
      <c r="OQI14" s="455"/>
      <c r="OQJ14" s="455"/>
      <c r="OQK14" s="455"/>
      <c r="OQL14" s="455"/>
      <c r="OQM14" s="455"/>
      <c r="OQN14" s="1144"/>
      <c r="OQO14" s="1614"/>
      <c r="OQP14" s="455"/>
      <c r="OQQ14" s="455"/>
      <c r="OQR14" s="455"/>
      <c r="OQS14" s="455"/>
      <c r="OQT14" s="455"/>
      <c r="OQU14" s="455"/>
      <c r="OQV14" s="455"/>
      <c r="OQW14" s="455"/>
      <c r="OQX14" s="455"/>
      <c r="OQY14" s="455"/>
      <c r="OQZ14" s="1144"/>
      <c r="ORA14" s="1614"/>
      <c r="ORB14" s="455"/>
      <c r="ORC14" s="455"/>
      <c r="ORD14" s="455"/>
      <c r="ORE14" s="455"/>
      <c r="ORF14" s="455"/>
      <c r="ORG14" s="455"/>
      <c r="ORH14" s="455"/>
      <c r="ORI14" s="455"/>
      <c r="ORJ14" s="455"/>
      <c r="ORK14" s="455"/>
      <c r="ORL14" s="1144"/>
      <c r="ORM14" s="1614"/>
      <c r="ORN14" s="455"/>
      <c r="ORO14" s="455"/>
      <c r="ORP14" s="455"/>
      <c r="ORQ14" s="455"/>
      <c r="ORR14" s="455"/>
      <c r="ORS14" s="455"/>
      <c r="ORT14" s="455"/>
      <c r="ORU14" s="455"/>
      <c r="ORV14" s="455"/>
      <c r="ORW14" s="455"/>
      <c r="ORX14" s="1144"/>
      <c r="ORY14" s="1614"/>
      <c r="ORZ14" s="455"/>
      <c r="OSA14" s="455"/>
      <c r="OSB14" s="455"/>
      <c r="OSC14" s="455"/>
      <c r="OSD14" s="455"/>
      <c r="OSE14" s="455"/>
      <c r="OSF14" s="455"/>
      <c r="OSG14" s="455"/>
      <c r="OSH14" s="455"/>
      <c r="OSI14" s="455"/>
      <c r="OSJ14" s="1144"/>
      <c r="OSK14" s="1614"/>
      <c r="OSL14" s="455"/>
      <c r="OSM14" s="455"/>
      <c r="OSN14" s="455"/>
      <c r="OSO14" s="455"/>
      <c r="OSP14" s="455"/>
      <c r="OSQ14" s="455"/>
      <c r="OSR14" s="455"/>
      <c r="OSS14" s="455"/>
      <c r="OST14" s="455"/>
      <c r="OSU14" s="455"/>
      <c r="OSV14" s="1144"/>
      <c r="OSW14" s="1614"/>
      <c r="OSX14" s="455"/>
      <c r="OSY14" s="455"/>
      <c r="OSZ14" s="455"/>
      <c r="OTA14" s="455"/>
      <c r="OTB14" s="455"/>
      <c r="OTC14" s="455"/>
      <c r="OTD14" s="455"/>
      <c r="OTE14" s="455"/>
      <c r="OTF14" s="455"/>
      <c r="OTG14" s="455"/>
      <c r="OTH14" s="1144"/>
      <c r="OTI14" s="1614"/>
      <c r="OTJ14" s="455"/>
      <c r="OTK14" s="455"/>
      <c r="OTL14" s="455"/>
      <c r="OTM14" s="455"/>
      <c r="OTN14" s="455"/>
      <c r="OTO14" s="455"/>
      <c r="OTP14" s="455"/>
      <c r="OTQ14" s="455"/>
      <c r="OTR14" s="455"/>
      <c r="OTS14" s="455"/>
      <c r="OTT14" s="1144"/>
      <c r="OTU14" s="1614"/>
      <c r="OTV14" s="455"/>
      <c r="OTW14" s="455"/>
      <c r="OTX14" s="455"/>
      <c r="OTY14" s="455"/>
      <c r="OTZ14" s="455"/>
      <c r="OUA14" s="455"/>
      <c r="OUB14" s="455"/>
      <c r="OUC14" s="455"/>
      <c r="OUD14" s="455"/>
      <c r="OUE14" s="455"/>
      <c r="OUF14" s="1144"/>
      <c r="OUG14" s="1614"/>
      <c r="OUH14" s="455"/>
      <c r="OUI14" s="455"/>
      <c r="OUJ14" s="455"/>
      <c r="OUK14" s="455"/>
      <c r="OUL14" s="455"/>
      <c r="OUM14" s="455"/>
      <c r="OUN14" s="455"/>
      <c r="OUO14" s="455"/>
      <c r="OUP14" s="455"/>
      <c r="OUQ14" s="455"/>
      <c r="OUR14" s="1144"/>
      <c r="OUS14" s="1614"/>
      <c r="OUT14" s="455"/>
      <c r="OUU14" s="455"/>
      <c r="OUV14" s="455"/>
      <c r="OUW14" s="455"/>
      <c r="OUX14" s="455"/>
      <c r="OUY14" s="455"/>
      <c r="OUZ14" s="455"/>
      <c r="OVA14" s="455"/>
      <c r="OVB14" s="455"/>
      <c r="OVC14" s="455"/>
      <c r="OVD14" s="1144"/>
      <c r="OVE14" s="1614"/>
      <c r="OVF14" s="455"/>
      <c r="OVG14" s="455"/>
      <c r="OVH14" s="455"/>
      <c r="OVI14" s="455"/>
      <c r="OVJ14" s="455"/>
      <c r="OVK14" s="455"/>
      <c r="OVL14" s="455"/>
      <c r="OVM14" s="455"/>
      <c r="OVN14" s="455"/>
      <c r="OVO14" s="455"/>
      <c r="OVP14" s="1144"/>
      <c r="OVQ14" s="1614"/>
      <c r="OVR14" s="455"/>
      <c r="OVS14" s="455"/>
      <c r="OVT14" s="455"/>
      <c r="OVU14" s="455"/>
      <c r="OVV14" s="455"/>
      <c r="OVW14" s="455"/>
      <c r="OVX14" s="455"/>
      <c r="OVY14" s="455"/>
      <c r="OVZ14" s="455"/>
      <c r="OWA14" s="455"/>
      <c r="OWB14" s="1144"/>
      <c r="OWC14" s="1614"/>
      <c r="OWD14" s="455"/>
      <c r="OWE14" s="455"/>
      <c r="OWF14" s="455"/>
      <c r="OWG14" s="455"/>
      <c r="OWH14" s="455"/>
      <c r="OWI14" s="455"/>
      <c r="OWJ14" s="455"/>
      <c r="OWK14" s="455"/>
      <c r="OWL14" s="455"/>
      <c r="OWM14" s="455"/>
      <c r="OWN14" s="1144"/>
      <c r="OWO14" s="1614"/>
      <c r="OWP14" s="455"/>
      <c r="OWQ14" s="455"/>
      <c r="OWR14" s="455"/>
      <c r="OWS14" s="455"/>
      <c r="OWT14" s="455"/>
      <c r="OWU14" s="455"/>
      <c r="OWV14" s="455"/>
      <c r="OWW14" s="455"/>
      <c r="OWX14" s="455"/>
      <c r="OWY14" s="455"/>
      <c r="OWZ14" s="1144"/>
      <c r="OXA14" s="1614"/>
      <c r="OXB14" s="455"/>
      <c r="OXC14" s="455"/>
      <c r="OXD14" s="455"/>
      <c r="OXE14" s="455"/>
      <c r="OXF14" s="455"/>
      <c r="OXG14" s="455"/>
      <c r="OXH14" s="455"/>
      <c r="OXI14" s="455"/>
      <c r="OXJ14" s="455"/>
      <c r="OXK14" s="455"/>
      <c r="OXL14" s="1144"/>
      <c r="OXM14" s="1614"/>
      <c r="OXN14" s="455"/>
      <c r="OXO14" s="455"/>
      <c r="OXP14" s="455"/>
      <c r="OXQ14" s="455"/>
      <c r="OXR14" s="455"/>
      <c r="OXS14" s="455"/>
      <c r="OXT14" s="455"/>
      <c r="OXU14" s="455"/>
      <c r="OXV14" s="455"/>
      <c r="OXW14" s="455"/>
      <c r="OXX14" s="1144"/>
      <c r="OXY14" s="1614"/>
      <c r="OXZ14" s="455"/>
      <c r="OYA14" s="455"/>
      <c r="OYB14" s="455"/>
      <c r="OYC14" s="455"/>
      <c r="OYD14" s="455"/>
      <c r="OYE14" s="455"/>
      <c r="OYF14" s="455"/>
      <c r="OYG14" s="455"/>
      <c r="OYH14" s="455"/>
      <c r="OYI14" s="455"/>
      <c r="OYJ14" s="1144"/>
      <c r="OYK14" s="1614"/>
      <c r="OYL14" s="455"/>
      <c r="OYM14" s="455"/>
      <c r="OYN14" s="455"/>
      <c r="OYO14" s="455"/>
      <c r="OYP14" s="455"/>
      <c r="OYQ14" s="455"/>
      <c r="OYR14" s="455"/>
      <c r="OYS14" s="455"/>
      <c r="OYT14" s="455"/>
      <c r="OYU14" s="455"/>
      <c r="OYV14" s="1144"/>
      <c r="OYW14" s="1614"/>
      <c r="OYX14" s="455"/>
      <c r="OYY14" s="455"/>
      <c r="OYZ14" s="455"/>
      <c r="OZA14" s="455"/>
      <c r="OZB14" s="455"/>
      <c r="OZC14" s="455"/>
      <c r="OZD14" s="455"/>
      <c r="OZE14" s="455"/>
      <c r="OZF14" s="455"/>
      <c r="OZG14" s="455"/>
      <c r="OZH14" s="1144"/>
      <c r="OZI14" s="1614"/>
      <c r="OZJ14" s="455"/>
      <c r="OZK14" s="455"/>
      <c r="OZL14" s="455"/>
      <c r="OZM14" s="455"/>
      <c r="OZN14" s="455"/>
      <c r="OZO14" s="455"/>
      <c r="OZP14" s="455"/>
      <c r="OZQ14" s="455"/>
      <c r="OZR14" s="455"/>
      <c r="OZS14" s="455"/>
      <c r="OZT14" s="1144"/>
      <c r="OZU14" s="1614"/>
      <c r="OZV14" s="455"/>
      <c r="OZW14" s="455"/>
      <c r="OZX14" s="455"/>
      <c r="OZY14" s="455"/>
      <c r="OZZ14" s="455"/>
      <c r="PAA14" s="455"/>
      <c r="PAB14" s="455"/>
      <c r="PAC14" s="455"/>
      <c r="PAD14" s="455"/>
      <c r="PAE14" s="455"/>
      <c r="PAF14" s="1144"/>
      <c r="PAG14" s="1614"/>
      <c r="PAH14" s="455"/>
      <c r="PAI14" s="455"/>
      <c r="PAJ14" s="455"/>
      <c r="PAK14" s="455"/>
      <c r="PAL14" s="455"/>
      <c r="PAM14" s="455"/>
      <c r="PAN14" s="455"/>
      <c r="PAO14" s="455"/>
      <c r="PAP14" s="455"/>
      <c r="PAQ14" s="455"/>
      <c r="PAR14" s="1144"/>
      <c r="PAS14" s="1614"/>
      <c r="PAT14" s="455"/>
      <c r="PAU14" s="455"/>
      <c r="PAV14" s="455"/>
      <c r="PAW14" s="455"/>
      <c r="PAX14" s="455"/>
      <c r="PAY14" s="455"/>
      <c r="PAZ14" s="455"/>
      <c r="PBA14" s="455"/>
      <c r="PBB14" s="455"/>
      <c r="PBC14" s="455"/>
      <c r="PBD14" s="1144"/>
      <c r="PBE14" s="1614"/>
      <c r="PBF14" s="455"/>
      <c r="PBG14" s="455"/>
      <c r="PBH14" s="455"/>
      <c r="PBI14" s="455"/>
      <c r="PBJ14" s="455"/>
      <c r="PBK14" s="455"/>
      <c r="PBL14" s="455"/>
      <c r="PBM14" s="455"/>
      <c r="PBN14" s="455"/>
      <c r="PBO14" s="455"/>
      <c r="PBP14" s="1144"/>
      <c r="PBQ14" s="1614"/>
      <c r="PBR14" s="455"/>
      <c r="PBS14" s="455"/>
      <c r="PBT14" s="455"/>
      <c r="PBU14" s="455"/>
      <c r="PBV14" s="455"/>
      <c r="PBW14" s="455"/>
      <c r="PBX14" s="455"/>
      <c r="PBY14" s="455"/>
      <c r="PBZ14" s="455"/>
      <c r="PCA14" s="455"/>
      <c r="PCB14" s="1144"/>
      <c r="PCC14" s="1614"/>
      <c r="PCD14" s="455"/>
      <c r="PCE14" s="455"/>
      <c r="PCF14" s="455"/>
      <c r="PCG14" s="455"/>
      <c r="PCH14" s="455"/>
      <c r="PCI14" s="455"/>
      <c r="PCJ14" s="455"/>
      <c r="PCK14" s="455"/>
      <c r="PCL14" s="455"/>
      <c r="PCM14" s="455"/>
      <c r="PCN14" s="1144"/>
      <c r="PCO14" s="1614"/>
      <c r="PCP14" s="455"/>
      <c r="PCQ14" s="455"/>
      <c r="PCR14" s="455"/>
      <c r="PCS14" s="455"/>
      <c r="PCT14" s="455"/>
      <c r="PCU14" s="455"/>
      <c r="PCV14" s="455"/>
      <c r="PCW14" s="455"/>
      <c r="PCX14" s="455"/>
      <c r="PCY14" s="455"/>
      <c r="PCZ14" s="1144"/>
      <c r="PDA14" s="1614"/>
      <c r="PDB14" s="455"/>
      <c r="PDC14" s="455"/>
      <c r="PDD14" s="455"/>
      <c r="PDE14" s="455"/>
      <c r="PDF14" s="455"/>
      <c r="PDG14" s="455"/>
      <c r="PDH14" s="455"/>
      <c r="PDI14" s="455"/>
      <c r="PDJ14" s="455"/>
      <c r="PDK14" s="455"/>
      <c r="PDL14" s="1144"/>
      <c r="PDM14" s="1614"/>
      <c r="PDN14" s="455"/>
      <c r="PDO14" s="455"/>
      <c r="PDP14" s="455"/>
      <c r="PDQ14" s="455"/>
      <c r="PDR14" s="455"/>
      <c r="PDS14" s="455"/>
      <c r="PDT14" s="455"/>
      <c r="PDU14" s="455"/>
      <c r="PDV14" s="455"/>
      <c r="PDW14" s="455"/>
      <c r="PDX14" s="1144"/>
      <c r="PDY14" s="1614"/>
      <c r="PDZ14" s="455"/>
      <c r="PEA14" s="455"/>
      <c r="PEB14" s="455"/>
      <c r="PEC14" s="455"/>
      <c r="PED14" s="455"/>
      <c r="PEE14" s="455"/>
      <c r="PEF14" s="455"/>
      <c r="PEG14" s="455"/>
      <c r="PEH14" s="455"/>
      <c r="PEI14" s="455"/>
      <c r="PEJ14" s="1144"/>
      <c r="PEK14" s="1614"/>
      <c r="PEL14" s="455"/>
      <c r="PEM14" s="455"/>
      <c r="PEN14" s="455"/>
      <c r="PEO14" s="455"/>
      <c r="PEP14" s="455"/>
      <c r="PEQ14" s="455"/>
      <c r="PER14" s="455"/>
      <c r="PES14" s="455"/>
      <c r="PET14" s="455"/>
      <c r="PEU14" s="455"/>
      <c r="PEV14" s="1144"/>
      <c r="PEW14" s="1614"/>
      <c r="PEX14" s="455"/>
      <c r="PEY14" s="455"/>
      <c r="PEZ14" s="455"/>
      <c r="PFA14" s="455"/>
      <c r="PFB14" s="455"/>
      <c r="PFC14" s="455"/>
      <c r="PFD14" s="455"/>
      <c r="PFE14" s="455"/>
      <c r="PFF14" s="455"/>
      <c r="PFG14" s="455"/>
      <c r="PFH14" s="1144"/>
      <c r="PFI14" s="1614"/>
      <c r="PFJ14" s="455"/>
      <c r="PFK14" s="455"/>
      <c r="PFL14" s="455"/>
      <c r="PFM14" s="455"/>
      <c r="PFN14" s="455"/>
      <c r="PFO14" s="455"/>
      <c r="PFP14" s="455"/>
      <c r="PFQ14" s="455"/>
      <c r="PFR14" s="455"/>
      <c r="PFS14" s="455"/>
      <c r="PFT14" s="1144"/>
      <c r="PFU14" s="1614"/>
      <c r="PFV14" s="455"/>
      <c r="PFW14" s="455"/>
      <c r="PFX14" s="455"/>
      <c r="PFY14" s="455"/>
      <c r="PFZ14" s="455"/>
      <c r="PGA14" s="455"/>
      <c r="PGB14" s="455"/>
      <c r="PGC14" s="455"/>
      <c r="PGD14" s="455"/>
      <c r="PGE14" s="455"/>
      <c r="PGF14" s="1144"/>
      <c r="PGG14" s="1614"/>
      <c r="PGH14" s="455"/>
      <c r="PGI14" s="455"/>
      <c r="PGJ14" s="455"/>
      <c r="PGK14" s="455"/>
      <c r="PGL14" s="455"/>
      <c r="PGM14" s="455"/>
      <c r="PGN14" s="455"/>
      <c r="PGO14" s="455"/>
      <c r="PGP14" s="455"/>
      <c r="PGQ14" s="455"/>
      <c r="PGR14" s="1144"/>
      <c r="PGS14" s="1614"/>
      <c r="PGT14" s="455"/>
      <c r="PGU14" s="455"/>
      <c r="PGV14" s="455"/>
      <c r="PGW14" s="455"/>
      <c r="PGX14" s="455"/>
      <c r="PGY14" s="455"/>
      <c r="PGZ14" s="455"/>
      <c r="PHA14" s="455"/>
      <c r="PHB14" s="455"/>
      <c r="PHC14" s="455"/>
      <c r="PHD14" s="1144"/>
      <c r="PHE14" s="1614"/>
      <c r="PHF14" s="455"/>
      <c r="PHG14" s="455"/>
      <c r="PHH14" s="455"/>
      <c r="PHI14" s="455"/>
      <c r="PHJ14" s="455"/>
      <c r="PHK14" s="455"/>
      <c r="PHL14" s="455"/>
      <c r="PHM14" s="455"/>
      <c r="PHN14" s="455"/>
      <c r="PHO14" s="455"/>
      <c r="PHP14" s="1144"/>
      <c r="PHQ14" s="1614"/>
      <c r="PHR14" s="455"/>
      <c r="PHS14" s="455"/>
      <c r="PHT14" s="455"/>
      <c r="PHU14" s="455"/>
      <c r="PHV14" s="455"/>
      <c r="PHW14" s="455"/>
      <c r="PHX14" s="455"/>
      <c r="PHY14" s="455"/>
      <c r="PHZ14" s="455"/>
      <c r="PIA14" s="455"/>
      <c r="PIB14" s="1144"/>
      <c r="PIC14" s="1614"/>
      <c r="PID14" s="455"/>
      <c r="PIE14" s="455"/>
      <c r="PIF14" s="455"/>
      <c r="PIG14" s="455"/>
      <c r="PIH14" s="455"/>
      <c r="PII14" s="455"/>
      <c r="PIJ14" s="455"/>
      <c r="PIK14" s="455"/>
      <c r="PIL14" s="455"/>
      <c r="PIM14" s="455"/>
      <c r="PIN14" s="1144"/>
      <c r="PIO14" s="1614"/>
      <c r="PIP14" s="455"/>
      <c r="PIQ14" s="455"/>
      <c r="PIR14" s="455"/>
      <c r="PIS14" s="455"/>
      <c r="PIT14" s="455"/>
      <c r="PIU14" s="455"/>
      <c r="PIV14" s="455"/>
      <c r="PIW14" s="455"/>
      <c r="PIX14" s="455"/>
      <c r="PIY14" s="455"/>
      <c r="PIZ14" s="1144"/>
      <c r="PJA14" s="1614"/>
      <c r="PJB14" s="455"/>
      <c r="PJC14" s="455"/>
      <c r="PJD14" s="455"/>
      <c r="PJE14" s="455"/>
      <c r="PJF14" s="455"/>
      <c r="PJG14" s="455"/>
      <c r="PJH14" s="455"/>
      <c r="PJI14" s="455"/>
      <c r="PJJ14" s="455"/>
      <c r="PJK14" s="455"/>
      <c r="PJL14" s="1144"/>
      <c r="PJM14" s="1614"/>
      <c r="PJN14" s="455"/>
      <c r="PJO14" s="455"/>
      <c r="PJP14" s="455"/>
      <c r="PJQ14" s="455"/>
      <c r="PJR14" s="455"/>
      <c r="PJS14" s="455"/>
      <c r="PJT14" s="455"/>
      <c r="PJU14" s="455"/>
      <c r="PJV14" s="455"/>
      <c r="PJW14" s="455"/>
      <c r="PJX14" s="1144"/>
      <c r="PJY14" s="1614"/>
      <c r="PJZ14" s="455"/>
      <c r="PKA14" s="455"/>
      <c r="PKB14" s="455"/>
      <c r="PKC14" s="455"/>
      <c r="PKD14" s="455"/>
      <c r="PKE14" s="455"/>
      <c r="PKF14" s="455"/>
      <c r="PKG14" s="455"/>
      <c r="PKH14" s="455"/>
      <c r="PKI14" s="455"/>
      <c r="PKJ14" s="1144"/>
      <c r="PKK14" s="1614"/>
      <c r="PKL14" s="455"/>
      <c r="PKM14" s="455"/>
      <c r="PKN14" s="455"/>
      <c r="PKO14" s="455"/>
      <c r="PKP14" s="455"/>
      <c r="PKQ14" s="455"/>
      <c r="PKR14" s="455"/>
      <c r="PKS14" s="455"/>
      <c r="PKT14" s="455"/>
      <c r="PKU14" s="455"/>
      <c r="PKV14" s="1144"/>
      <c r="PKW14" s="1614"/>
      <c r="PKX14" s="455"/>
      <c r="PKY14" s="455"/>
      <c r="PKZ14" s="455"/>
      <c r="PLA14" s="455"/>
      <c r="PLB14" s="455"/>
      <c r="PLC14" s="455"/>
      <c r="PLD14" s="455"/>
      <c r="PLE14" s="455"/>
      <c r="PLF14" s="455"/>
      <c r="PLG14" s="455"/>
      <c r="PLH14" s="1144"/>
      <c r="PLI14" s="1614"/>
      <c r="PLJ14" s="455"/>
      <c r="PLK14" s="455"/>
      <c r="PLL14" s="455"/>
      <c r="PLM14" s="455"/>
      <c r="PLN14" s="455"/>
      <c r="PLO14" s="455"/>
      <c r="PLP14" s="455"/>
      <c r="PLQ14" s="455"/>
      <c r="PLR14" s="455"/>
      <c r="PLS14" s="455"/>
      <c r="PLT14" s="1144"/>
      <c r="PLU14" s="1614"/>
      <c r="PLV14" s="455"/>
      <c r="PLW14" s="455"/>
      <c r="PLX14" s="455"/>
      <c r="PLY14" s="455"/>
      <c r="PLZ14" s="455"/>
      <c r="PMA14" s="455"/>
      <c r="PMB14" s="455"/>
      <c r="PMC14" s="455"/>
      <c r="PMD14" s="455"/>
      <c r="PME14" s="455"/>
      <c r="PMF14" s="1144"/>
      <c r="PMG14" s="1614"/>
      <c r="PMH14" s="455"/>
      <c r="PMI14" s="455"/>
      <c r="PMJ14" s="455"/>
      <c r="PMK14" s="455"/>
      <c r="PML14" s="455"/>
      <c r="PMM14" s="455"/>
      <c r="PMN14" s="455"/>
      <c r="PMO14" s="455"/>
      <c r="PMP14" s="455"/>
      <c r="PMQ14" s="455"/>
      <c r="PMR14" s="1144"/>
      <c r="PMS14" s="1614"/>
      <c r="PMT14" s="455"/>
      <c r="PMU14" s="455"/>
      <c r="PMV14" s="455"/>
      <c r="PMW14" s="455"/>
      <c r="PMX14" s="455"/>
      <c r="PMY14" s="455"/>
      <c r="PMZ14" s="455"/>
      <c r="PNA14" s="455"/>
      <c r="PNB14" s="455"/>
      <c r="PNC14" s="455"/>
      <c r="PND14" s="1144"/>
      <c r="PNE14" s="1614"/>
      <c r="PNF14" s="455"/>
      <c r="PNG14" s="455"/>
      <c r="PNH14" s="455"/>
      <c r="PNI14" s="455"/>
      <c r="PNJ14" s="455"/>
      <c r="PNK14" s="455"/>
      <c r="PNL14" s="455"/>
      <c r="PNM14" s="455"/>
      <c r="PNN14" s="455"/>
      <c r="PNO14" s="455"/>
      <c r="PNP14" s="1144"/>
      <c r="PNQ14" s="1614"/>
      <c r="PNR14" s="455"/>
      <c r="PNS14" s="455"/>
      <c r="PNT14" s="455"/>
      <c r="PNU14" s="455"/>
      <c r="PNV14" s="455"/>
      <c r="PNW14" s="455"/>
      <c r="PNX14" s="455"/>
      <c r="PNY14" s="455"/>
      <c r="PNZ14" s="455"/>
      <c r="POA14" s="455"/>
      <c r="POB14" s="1144"/>
      <c r="POC14" s="1614"/>
      <c r="POD14" s="455"/>
      <c r="POE14" s="455"/>
      <c r="POF14" s="455"/>
      <c r="POG14" s="455"/>
      <c r="POH14" s="455"/>
      <c r="POI14" s="455"/>
      <c r="POJ14" s="455"/>
      <c r="POK14" s="455"/>
      <c r="POL14" s="455"/>
      <c r="POM14" s="455"/>
      <c r="PON14" s="1144"/>
      <c r="POO14" s="1614"/>
      <c r="POP14" s="455"/>
      <c r="POQ14" s="455"/>
      <c r="POR14" s="455"/>
      <c r="POS14" s="455"/>
      <c r="POT14" s="455"/>
      <c r="POU14" s="455"/>
      <c r="POV14" s="455"/>
      <c r="POW14" s="455"/>
      <c r="POX14" s="455"/>
      <c r="POY14" s="455"/>
      <c r="POZ14" s="1144"/>
      <c r="PPA14" s="1614"/>
      <c r="PPB14" s="455"/>
      <c r="PPC14" s="455"/>
      <c r="PPD14" s="455"/>
      <c r="PPE14" s="455"/>
      <c r="PPF14" s="455"/>
      <c r="PPG14" s="455"/>
      <c r="PPH14" s="455"/>
      <c r="PPI14" s="455"/>
      <c r="PPJ14" s="455"/>
      <c r="PPK14" s="455"/>
      <c r="PPL14" s="1144"/>
      <c r="PPM14" s="1614"/>
      <c r="PPN14" s="455"/>
      <c r="PPO14" s="455"/>
      <c r="PPP14" s="455"/>
      <c r="PPQ14" s="455"/>
      <c r="PPR14" s="455"/>
      <c r="PPS14" s="455"/>
      <c r="PPT14" s="455"/>
      <c r="PPU14" s="455"/>
      <c r="PPV14" s="455"/>
      <c r="PPW14" s="455"/>
      <c r="PPX14" s="1144"/>
      <c r="PPY14" s="1614"/>
      <c r="PPZ14" s="455"/>
      <c r="PQA14" s="455"/>
      <c r="PQB14" s="455"/>
      <c r="PQC14" s="455"/>
      <c r="PQD14" s="455"/>
      <c r="PQE14" s="455"/>
      <c r="PQF14" s="455"/>
      <c r="PQG14" s="455"/>
      <c r="PQH14" s="455"/>
      <c r="PQI14" s="455"/>
      <c r="PQJ14" s="1144"/>
      <c r="PQK14" s="1614"/>
      <c r="PQL14" s="455"/>
      <c r="PQM14" s="455"/>
      <c r="PQN14" s="455"/>
      <c r="PQO14" s="455"/>
      <c r="PQP14" s="455"/>
      <c r="PQQ14" s="455"/>
      <c r="PQR14" s="455"/>
      <c r="PQS14" s="455"/>
      <c r="PQT14" s="455"/>
      <c r="PQU14" s="455"/>
      <c r="PQV14" s="1144"/>
      <c r="PQW14" s="1614"/>
      <c r="PQX14" s="455"/>
      <c r="PQY14" s="455"/>
      <c r="PQZ14" s="455"/>
      <c r="PRA14" s="455"/>
      <c r="PRB14" s="455"/>
      <c r="PRC14" s="455"/>
      <c r="PRD14" s="455"/>
      <c r="PRE14" s="455"/>
      <c r="PRF14" s="455"/>
      <c r="PRG14" s="455"/>
      <c r="PRH14" s="1144"/>
      <c r="PRI14" s="1614"/>
      <c r="PRJ14" s="455"/>
      <c r="PRK14" s="455"/>
      <c r="PRL14" s="455"/>
      <c r="PRM14" s="455"/>
      <c r="PRN14" s="455"/>
      <c r="PRO14" s="455"/>
      <c r="PRP14" s="455"/>
      <c r="PRQ14" s="455"/>
      <c r="PRR14" s="455"/>
      <c r="PRS14" s="455"/>
      <c r="PRT14" s="1144"/>
      <c r="PRU14" s="1614"/>
      <c r="PRV14" s="455"/>
      <c r="PRW14" s="455"/>
      <c r="PRX14" s="455"/>
      <c r="PRY14" s="455"/>
      <c r="PRZ14" s="455"/>
      <c r="PSA14" s="455"/>
      <c r="PSB14" s="455"/>
      <c r="PSC14" s="455"/>
      <c r="PSD14" s="455"/>
      <c r="PSE14" s="455"/>
      <c r="PSF14" s="1144"/>
      <c r="PSG14" s="1614"/>
      <c r="PSH14" s="455"/>
      <c r="PSI14" s="455"/>
      <c r="PSJ14" s="455"/>
      <c r="PSK14" s="455"/>
      <c r="PSL14" s="455"/>
      <c r="PSM14" s="455"/>
      <c r="PSN14" s="455"/>
      <c r="PSO14" s="455"/>
      <c r="PSP14" s="455"/>
      <c r="PSQ14" s="455"/>
      <c r="PSR14" s="1144"/>
      <c r="PSS14" s="1614"/>
      <c r="PST14" s="455"/>
      <c r="PSU14" s="455"/>
      <c r="PSV14" s="455"/>
      <c r="PSW14" s="455"/>
      <c r="PSX14" s="455"/>
      <c r="PSY14" s="455"/>
      <c r="PSZ14" s="455"/>
      <c r="PTA14" s="455"/>
      <c r="PTB14" s="455"/>
      <c r="PTC14" s="455"/>
      <c r="PTD14" s="1144"/>
      <c r="PTE14" s="1614"/>
      <c r="PTF14" s="455"/>
      <c r="PTG14" s="455"/>
      <c r="PTH14" s="455"/>
      <c r="PTI14" s="455"/>
      <c r="PTJ14" s="455"/>
      <c r="PTK14" s="455"/>
      <c r="PTL14" s="455"/>
      <c r="PTM14" s="455"/>
      <c r="PTN14" s="455"/>
      <c r="PTO14" s="455"/>
      <c r="PTP14" s="1144"/>
      <c r="PTQ14" s="1614"/>
      <c r="PTR14" s="455"/>
      <c r="PTS14" s="455"/>
      <c r="PTT14" s="455"/>
      <c r="PTU14" s="455"/>
      <c r="PTV14" s="455"/>
      <c r="PTW14" s="455"/>
      <c r="PTX14" s="455"/>
      <c r="PTY14" s="455"/>
      <c r="PTZ14" s="455"/>
      <c r="PUA14" s="455"/>
      <c r="PUB14" s="1144"/>
      <c r="PUC14" s="1614"/>
      <c r="PUD14" s="455"/>
      <c r="PUE14" s="455"/>
      <c r="PUF14" s="455"/>
      <c r="PUG14" s="455"/>
      <c r="PUH14" s="455"/>
      <c r="PUI14" s="455"/>
      <c r="PUJ14" s="455"/>
      <c r="PUK14" s="455"/>
      <c r="PUL14" s="455"/>
      <c r="PUM14" s="455"/>
      <c r="PUN14" s="1144"/>
      <c r="PUO14" s="1614"/>
      <c r="PUP14" s="455"/>
      <c r="PUQ14" s="455"/>
      <c r="PUR14" s="455"/>
      <c r="PUS14" s="455"/>
      <c r="PUT14" s="455"/>
      <c r="PUU14" s="455"/>
      <c r="PUV14" s="455"/>
      <c r="PUW14" s="455"/>
      <c r="PUX14" s="455"/>
      <c r="PUY14" s="455"/>
      <c r="PUZ14" s="1144"/>
      <c r="PVA14" s="1614"/>
      <c r="PVB14" s="455"/>
      <c r="PVC14" s="455"/>
      <c r="PVD14" s="455"/>
      <c r="PVE14" s="455"/>
      <c r="PVF14" s="455"/>
      <c r="PVG14" s="455"/>
      <c r="PVH14" s="455"/>
      <c r="PVI14" s="455"/>
      <c r="PVJ14" s="455"/>
      <c r="PVK14" s="455"/>
      <c r="PVL14" s="1144"/>
      <c r="PVM14" s="1614"/>
      <c r="PVN14" s="455"/>
      <c r="PVO14" s="455"/>
      <c r="PVP14" s="455"/>
      <c r="PVQ14" s="455"/>
      <c r="PVR14" s="455"/>
      <c r="PVS14" s="455"/>
      <c r="PVT14" s="455"/>
      <c r="PVU14" s="455"/>
      <c r="PVV14" s="455"/>
      <c r="PVW14" s="455"/>
      <c r="PVX14" s="1144"/>
      <c r="PVY14" s="1614"/>
      <c r="PVZ14" s="455"/>
      <c r="PWA14" s="455"/>
      <c r="PWB14" s="455"/>
      <c r="PWC14" s="455"/>
      <c r="PWD14" s="455"/>
      <c r="PWE14" s="455"/>
      <c r="PWF14" s="455"/>
      <c r="PWG14" s="455"/>
      <c r="PWH14" s="455"/>
      <c r="PWI14" s="455"/>
      <c r="PWJ14" s="1144"/>
      <c r="PWK14" s="1614"/>
      <c r="PWL14" s="455"/>
      <c r="PWM14" s="455"/>
      <c r="PWN14" s="455"/>
      <c r="PWO14" s="455"/>
      <c r="PWP14" s="455"/>
      <c r="PWQ14" s="455"/>
      <c r="PWR14" s="455"/>
      <c r="PWS14" s="455"/>
      <c r="PWT14" s="455"/>
      <c r="PWU14" s="455"/>
      <c r="PWV14" s="1144"/>
      <c r="PWW14" s="1614"/>
      <c r="PWX14" s="455"/>
      <c r="PWY14" s="455"/>
      <c r="PWZ14" s="455"/>
      <c r="PXA14" s="455"/>
      <c r="PXB14" s="455"/>
      <c r="PXC14" s="455"/>
      <c r="PXD14" s="455"/>
      <c r="PXE14" s="455"/>
      <c r="PXF14" s="455"/>
      <c r="PXG14" s="455"/>
      <c r="PXH14" s="1144"/>
      <c r="PXI14" s="1614"/>
      <c r="PXJ14" s="455"/>
      <c r="PXK14" s="455"/>
      <c r="PXL14" s="455"/>
      <c r="PXM14" s="455"/>
      <c r="PXN14" s="455"/>
      <c r="PXO14" s="455"/>
      <c r="PXP14" s="455"/>
      <c r="PXQ14" s="455"/>
      <c r="PXR14" s="455"/>
      <c r="PXS14" s="455"/>
      <c r="PXT14" s="1144"/>
      <c r="PXU14" s="1614"/>
      <c r="PXV14" s="455"/>
      <c r="PXW14" s="455"/>
      <c r="PXX14" s="455"/>
      <c r="PXY14" s="455"/>
      <c r="PXZ14" s="455"/>
      <c r="PYA14" s="455"/>
      <c r="PYB14" s="455"/>
      <c r="PYC14" s="455"/>
      <c r="PYD14" s="455"/>
      <c r="PYE14" s="455"/>
      <c r="PYF14" s="1144"/>
      <c r="PYG14" s="1614"/>
      <c r="PYH14" s="455"/>
      <c r="PYI14" s="455"/>
      <c r="PYJ14" s="455"/>
      <c r="PYK14" s="455"/>
      <c r="PYL14" s="455"/>
      <c r="PYM14" s="455"/>
      <c r="PYN14" s="455"/>
      <c r="PYO14" s="455"/>
      <c r="PYP14" s="455"/>
      <c r="PYQ14" s="455"/>
      <c r="PYR14" s="1144"/>
      <c r="PYS14" s="1614"/>
      <c r="PYT14" s="455"/>
      <c r="PYU14" s="455"/>
      <c r="PYV14" s="455"/>
      <c r="PYW14" s="455"/>
      <c r="PYX14" s="455"/>
      <c r="PYY14" s="455"/>
      <c r="PYZ14" s="455"/>
      <c r="PZA14" s="455"/>
      <c r="PZB14" s="455"/>
      <c r="PZC14" s="455"/>
      <c r="PZD14" s="1144"/>
      <c r="PZE14" s="1614"/>
      <c r="PZF14" s="455"/>
      <c r="PZG14" s="455"/>
      <c r="PZH14" s="455"/>
      <c r="PZI14" s="455"/>
      <c r="PZJ14" s="455"/>
      <c r="PZK14" s="455"/>
      <c r="PZL14" s="455"/>
      <c r="PZM14" s="455"/>
      <c r="PZN14" s="455"/>
      <c r="PZO14" s="455"/>
      <c r="PZP14" s="1144"/>
      <c r="PZQ14" s="1614"/>
      <c r="PZR14" s="455"/>
      <c r="PZS14" s="455"/>
      <c r="PZT14" s="455"/>
      <c r="PZU14" s="455"/>
      <c r="PZV14" s="455"/>
      <c r="PZW14" s="455"/>
      <c r="PZX14" s="455"/>
      <c r="PZY14" s="455"/>
      <c r="PZZ14" s="455"/>
      <c r="QAA14" s="455"/>
      <c r="QAB14" s="1144"/>
      <c r="QAC14" s="1614"/>
      <c r="QAD14" s="455"/>
      <c r="QAE14" s="455"/>
      <c r="QAF14" s="455"/>
      <c r="QAG14" s="455"/>
      <c r="QAH14" s="455"/>
      <c r="QAI14" s="455"/>
      <c r="QAJ14" s="455"/>
      <c r="QAK14" s="455"/>
      <c r="QAL14" s="455"/>
      <c r="QAM14" s="455"/>
      <c r="QAN14" s="1144"/>
      <c r="QAO14" s="1614"/>
      <c r="QAP14" s="455"/>
      <c r="QAQ14" s="455"/>
      <c r="QAR14" s="455"/>
      <c r="QAS14" s="455"/>
      <c r="QAT14" s="455"/>
      <c r="QAU14" s="455"/>
      <c r="QAV14" s="455"/>
      <c r="QAW14" s="455"/>
      <c r="QAX14" s="455"/>
      <c r="QAY14" s="455"/>
      <c r="QAZ14" s="1144"/>
      <c r="QBA14" s="1614"/>
      <c r="QBB14" s="455"/>
      <c r="QBC14" s="455"/>
      <c r="QBD14" s="455"/>
      <c r="QBE14" s="455"/>
      <c r="QBF14" s="455"/>
      <c r="QBG14" s="455"/>
      <c r="QBH14" s="455"/>
      <c r="QBI14" s="455"/>
      <c r="QBJ14" s="455"/>
      <c r="QBK14" s="455"/>
      <c r="QBL14" s="1144"/>
      <c r="QBM14" s="1614"/>
      <c r="QBN14" s="455"/>
      <c r="QBO14" s="455"/>
      <c r="QBP14" s="455"/>
      <c r="QBQ14" s="455"/>
      <c r="QBR14" s="455"/>
      <c r="QBS14" s="455"/>
      <c r="QBT14" s="455"/>
      <c r="QBU14" s="455"/>
      <c r="QBV14" s="455"/>
      <c r="QBW14" s="455"/>
      <c r="QBX14" s="1144"/>
      <c r="QBY14" s="1614"/>
      <c r="QBZ14" s="455"/>
      <c r="QCA14" s="455"/>
      <c r="QCB14" s="455"/>
      <c r="QCC14" s="455"/>
      <c r="QCD14" s="455"/>
      <c r="QCE14" s="455"/>
      <c r="QCF14" s="455"/>
      <c r="QCG14" s="455"/>
      <c r="QCH14" s="455"/>
      <c r="QCI14" s="455"/>
      <c r="QCJ14" s="1144"/>
      <c r="QCK14" s="1614"/>
      <c r="QCL14" s="455"/>
      <c r="QCM14" s="455"/>
      <c r="QCN14" s="455"/>
      <c r="QCO14" s="455"/>
      <c r="QCP14" s="455"/>
      <c r="QCQ14" s="455"/>
      <c r="QCR14" s="455"/>
      <c r="QCS14" s="455"/>
      <c r="QCT14" s="455"/>
      <c r="QCU14" s="455"/>
      <c r="QCV14" s="1144"/>
      <c r="QCW14" s="1614"/>
      <c r="QCX14" s="455"/>
      <c r="QCY14" s="455"/>
      <c r="QCZ14" s="455"/>
      <c r="QDA14" s="455"/>
      <c r="QDB14" s="455"/>
      <c r="QDC14" s="455"/>
      <c r="QDD14" s="455"/>
      <c r="QDE14" s="455"/>
      <c r="QDF14" s="455"/>
      <c r="QDG14" s="455"/>
      <c r="QDH14" s="1144"/>
      <c r="QDI14" s="1614"/>
      <c r="QDJ14" s="455"/>
      <c r="QDK14" s="455"/>
      <c r="QDL14" s="455"/>
      <c r="QDM14" s="455"/>
      <c r="QDN14" s="455"/>
      <c r="QDO14" s="455"/>
      <c r="QDP14" s="455"/>
      <c r="QDQ14" s="455"/>
      <c r="QDR14" s="455"/>
      <c r="QDS14" s="455"/>
      <c r="QDT14" s="1144"/>
      <c r="QDU14" s="1614"/>
      <c r="QDV14" s="455"/>
      <c r="QDW14" s="455"/>
      <c r="QDX14" s="455"/>
      <c r="QDY14" s="455"/>
      <c r="QDZ14" s="455"/>
      <c r="QEA14" s="455"/>
      <c r="QEB14" s="455"/>
      <c r="QEC14" s="455"/>
      <c r="QED14" s="455"/>
      <c r="QEE14" s="455"/>
      <c r="QEF14" s="1144"/>
      <c r="QEG14" s="1614"/>
      <c r="QEH14" s="455"/>
      <c r="QEI14" s="455"/>
      <c r="QEJ14" s="455"/>
      <c r="QEK14" s="455"/>
      <c r="QEL14" s="455"/>
      <c r="QEM14" s="455"/>
      <c r="QEN14" s="455"/>
      <c r="QEO14" s="455"/>
      <c r="QEP14" s="455"/>
      <c r="QEQ14" s="455"/>
      <c r="QER14" s="1144"/>
      <c r="QES14" s="1614"/>
      <c r="QET14" s="455"/>
      <c r="QEU14" s="455"/>
      <c r="QEV14" s="455"/>
      <c r="QEW14" s="455"/>
      <c r="QEX14" s="455"/>
      <c r="QEY14" s="455"/>
      <c r="QEZ14" s="455"/>
      <c r="QFA14" s="455"/>
      <c r="QFB14" s="455"/>
      <c r="QFC14" s="455"/>
      <c r="QFD14" s="1144"/>
      <c r="QFE14" s="1614"/>
      <c r="QFF14" s="455"/>
      <c r="QFG14" s="455"/>
      <c r="QFH14" s="455"/>
      <c r="QFI14" s="455"/>
      <c r="QFJ14" s="455"/>
      <c r="QFK14" s="455"/>
      <c r="QFL14" s="455"/>
      <c r="QFM14" s="455"/>
      <c r="QFN14" s="455"/>
      <c r="QFO14" s="455"/>
      <c r="QFP14" s="1144"/>
      <c r="QFQ14" s="1614"/>
      <c r="QFR14" s="455"/>
      <c r="QFS14" s="455"/>
      <c r="QFT14" s="455"/>
      <c r="QFU14" s="455"/>
      <c r="QFV14" s="455"/>
      <c r="QFW14" s="455"/>
      <c r="QFX14" s="455"/>
      <c r="QFY14" s="455"/>
      <c r="QFZ14" s="455"/>
      <c r="QGA14" s="455"/>
      <c r="QGB14" s="1144"/>
      <c r="QGC14" s="1614"/>
      <c r="QGD14" s="455"/>
      <c r="QGE14" s="455"/>
      <c r="QGF14" s="455"/>
      <c r="QGG14" s="455"/>
      <c r="QGH14" s="455"/>
      <c r="QGI14" s="455"/>
      <c r="QGJ14" s="455"/>
      <c r="QGK14" s="455"/>
      <c r="QGL14" s="455"/>
      <c r="QGM14" s="455"/>
      <c r="QGN14" s="1144"/>
      <c r="QGO14" s="1614"/>
      <c r="QGP14" s="455"/>
      <c r="QGQ14" s="455"/>
      <c r="QGR14" s="455"/>
      <c r="QGS14" s="455"/>
      <c r="QGT14" s="455"/>
      <c r="QGU14" s="455"/>
      <c r="QGV14" s="455"/>
      <c r="QGW14" s="455"/>
      <c r="QGX14" s="455"/>
      <c r="QGY14" s="455"/>
      <c r="QGZ14" s="1144"/>
      <c r="QHA14" s="1614"/>
      <c r="QHB14" s="455"/>
      <c r="QHC14" s="455"/>
      <c r="QHD14" s="455"/>
      <c r="QHE14" s="455"/>
      <c r="QHF14" s="455"/>
      <c r="QHG14" s="455"/>
      <c r="QHH14" s="455"/>
      <c r="QHI14" s="455"/>
      <c r="QHJ14" s="455"/>
      <c r="QHK14" s="455"/>
      <c r="QHL14" s="1144"/>
      <c r="QHM14" s="1614"/>
      <c r="QHN14" s="455"/>
      <c r="QHO14" s="455"/>
      <c r="QHP14" s="455"/>
      <c r="QHQ14" s="455"/>
      <c r="QHR14" s="455"/>
      <c r="QHS14" s="455"/>
      <c r="QHT14" s="455"/>
      <c r="QHU14" s="455"/>
      <c r="QHV14" s="455"/>
      <c r="QHW14" s="455"/>
      <c r="QHX14" s="1144"/>
      <c r="QHY14" s="1614"/>
      <c r="QHZ14" s="455"/>
      <c r="QIA14" s="455"/>
      <c r="QIB14" s="455"/>
      <c r="QIC14" s="455"/>
      <c r="QID14" s="455"/>
      <c r="QIE14" s="455"/>
      <c r="QIF14" s="455"/>
      <c r="QIG14" s="455"/>
      <c r="QIH14" s="455"/>
      <c r="QII14" s="455"/>
      <c r="QIJ14" s="1144"/>
      <c r="QIK14" s="1614"/>
      <c r="QIL14" s="455"/>
      <c r="QIM14" s="455"/>
      <c r="QIN14" s="455"/>
      <c r="QIO14" s="455"/>
      <c r="QIP14" s="455"/>
      <c r="QIQ14" s="455"/>
      <c r="QIR14" s="455"/>
      <c r="QIS14" s="455"/>
      <c r="QIT14" s="455"/>
      <c r="QIU14" s="455"/>
      <c r="QIV14" s="1144"/>
      <c r="QIW14" s="1614"/>
      <c r="QIX14" s="455"/>
      <c r="QIY14" s="455"/>
      <c r="QIZ14" s="455"/>
      <c r="QJA14" s="455"/>
      <c r="QJB14" s="455"/>
      <c r="QJC14" s="455"/>
      <c r="QJD14" s="455"/>
      <c r="QJE14" s="455"/>
      <c r="QJF14" s="455"/>
      <c r="QJG14" s="455"/>
      <c r="QJH14" s="1144"/>
      <c r="QJI14" s="1614"/>
      <c r="QJJ14" s="455"/>
      <c r="QJK14" s="455"/>
      <c r="QJL14" s="455"/>
      <c r="QJM14" s="455"/>
      <c r="QJN14" s="455"/>
      <c r="QJO14" s="455"/>
      <c r="QJP14" s="455"/>
      <c r="QJQ14" s="455"/>
      <c r="QJR14" s="455"/>
      <c r="QJS14" s="455"/>
      <c r="QJT14" s="1144"/>
      <c r="QJU14" s="1614"/>
      <c r="QJV14" s="455"/>
      <c r="QJW14" s="455"/>
      <c r="QJX14" s="455"/>
      <c r="QJY14" s="455"/>
      <c r="QJZ14" s="455"/>
      <c r="QKA14" s="455"/>
      <c r="QKB14" s="455"/>
      <c r="QKC14" s="455"/>
      <c r="QKD14" s="455"/>
      <c r="QKE14" s="455"/>
      <c r="QKF14" s="1144"/>
      <c r="QKG14" s="1614"/>
      <c r="QKH14" s="455"/>
      <c r="QKI14" s="455"/>
      <c r="QKJ14" s="455"/>
      <c r="QKK14" s="455"/>
      <c r="QKL14" s="455"/>
      <c r="QKM14" s="455"/>
      <c r="QKN14" s="455"/>
      <c r="QKO14" s="455"/>
      <c r="QKP14" s="455"/>
      <c r="QKQ14" s="455"/>
      <c r="QKR14" s="1144"/>
      <c r="QKS14" s="1614"/>
      <c r="QKT14" s="455"/>
      <c r="QKU14" s="455"/>
      <c r="QKV14" s="455"/>
      <c r="QKW14" s="455"/>
      <c r="QKX14" s="455"/>
      <c r="QKY14" s="455"/>
      <c r="QKZ14" s="455"/>
      <c r="QLA14" s="455"/>
      <c r="QLB14" s="455"/>
      <c r="QLC14" s="455"/>
      <c r="QLD14" s="1144"/>
      <c r="QLE14" s="1614"/>
      <c r="QLF14" s="455"/>
      <c r="QLG14" s="455"/>
      <c r="QLH14" s="455"/>
      <c r="QLI14" s="455"/>
      <c r="QLJ14" s="455"/>
      <c r="QLK14" s="455"/>
      <c r="QLL14" s="455"/>
      <c r="QLM14" s="455"/>
      <c r="QLN14" s="455"/>
      <c r="QLO14" s="455"/>
      <c r="QLP14" s="1144"/>
      <c r="QLQ14" s="1614"/>
      <c r="QLR14" s="455"/>
      <c r="QLS14" s="455"/>
      <c r="QLT14" s="455"/>
      <c r="QLU14" s="455"/>
      <c r="QLV14" s="455"/>
      <c r="QLW14" s="455"/>
      <c r="QLX14" s="455"/>
      <c r="QLY14" s="455"/>
      <c r="QLZ14" s="455"/>
      <c r="QMA14" s="455"/>
      <c r="QMB14" s="1144"/>
      <c r="QMC14" s="1614"/>
      <c r="QMD14" s="455"/>
      <c r="QME14" s="455"/>
      <c r="QMF14" s="455"/>
      <c r="QMG14" s="455"/>
      <c r="QMH14" s="455"/>
      <c r="QMI14" s="455"/>
      <c r="QMJ14" s="455"/>
      <c r="QMK14" s="455"/>
      <c r="QML14" s="455"/>
      <c r="QMM14" s="455"/>
      <c r="QMN14" s="1144"/>
      <c r="QMO14" s="1614"/>
      <c r="QMP14" s="455"/>
      <c r="QMQ14" s="455"/>
      <c r="QMR14" s="455"/>
      <c r="QMS14" s="455"/>
      <c r="QMT14" s="455"/>
      <c r="QMU14" s="455"/>
      <c r="QMV14" s="455"/>
      <c r="QMW14" s="455"/>
      <c r="QMX14" s="455"/>
      <c r="QMY14" s="455"/>
      <c r="QMZ14" s="1144"/>
      <c r="QNA14" s="1614"/>
      <c r="QNB14" s="455"/>
      <c r="QNC14" s="455"/>
      <c r="QND14" s="455"/>
      <c r="QNE14" s="455"/>
      <c r="QNF14" s="455"/>
      <c r="QNG14" s="455"/>
      <c r="QNH14" s="455"/>
      <c r="QNI14" s="455"/>
      <c r="QNJ14" s="455"/>
      <c r="QNK14" s="455"/>
      <c r="QNL14" s="1144"/>
      <c r="QNM14" s="1614"/>
      <c r="QNN14" s="455"/>
      <c r="QNO14" s="455"/>
      <c r="QNP14" s="455"/>
      <c r="QNQ14" s="455"/>
      <c r="QNR14" s="455"/>
      <c r="QNS14" s="455"/>
      <c r="QNT14" s="455"/>
      <c r="QNU14" s="455"/>
      <c r="QNV14" s="455"/>
      <c r="QNW14" s="455"/>
      <c r="QNX14" s="1144"/>
      <c r="QNY14" s="1614"/>
      <c r="QNZ14" s="455"/>
      <c r="QOA14" s="455"/>
      <c r="QOB14" s="455"/>
      <c r="QOC14" s="455"/>
      <c r="QOD14" s="455"/>
      <c r="QOE14" s="455"/>
      <c r="QOF14" s="455"/>
      <c r="QOG14" s="455"/>
      <c r="QOH14" s="455"/>
      <c r="QOI14" s="455"/>
      <c r="QOJ14" s="1144"/>
      <c r="QOK14" s="1614"/>
      <c r="QOL14" s="455"/>
      <c r="QOM14" s="455"/>
      <c r="QON14" s="455"/>
      <c r="QOO14" s="455"/>
      <c r="QOP14" s="455"/>
      <c r="QOQ14" s="455"/>
      <c r="QOR14" s="455"/>
      <c r="QOS14" s="455"/>
      <c r="QOT14" s="455"/>
      <c r="QOU14" s="455"/>
      <c r="QOV14" s="1144"/>
      <c r="QOW14" s="1614"/>
      <c r="QOX14" s="455"/>
      <c r="QOY14" s="455"/>
      <c r="QOZ14" s="455"/>
      <c r="QPA14" s="455"/>
      <c r="QPB14" s="455"/>
      <c r="QPC14" s="455"/>
      <c r="QPD14" s="455"/>
      <c r="QPE14" s="455"/>
      <c r="QPF14" s="455"/>
      <c r="QPG14" s="455"/>
      <c r="QPH14" s="1144"/>
      <c r="QPI14" s="1614"/>
      <c r="QPJ14" s="455"/>
      <c r="QPK14" s="455"/>
      <c r="QPL14" s="455"/>
      <c r="QPM14" s="455"/>
      <c r="QPN14" s="455"/>
      <c r="QPO14" s="455"/>
      <c r="QPP14" s="455"/>
      <c r="QPQ14" s="455"/>
      <c r="QPR14" s="455"/>
      <c r="QPS14" s="455"/>
      <c r="QPT14" s="1144"/>
      <c r="QPU14" s="1614"/>
      <c r="QPV14" s="455"/>
      <c r="QPW14" s="455"/>
      <c r="QPX14" s="455"/>
      <c r="QPY14" s="455"/>
      <c r="QPZ14" s="455"/>
      <c r="QQA14" s="455"/>
      <c r="QQB14" s="455"/>
      <c r="QQC14" s="455"/>
      <c r="QQD14" s="455"/>
      <c r="QQE14" s="455"/>
      <c r="QQF14" s="1144"/>
      <c r="QQG14" s="1614"/>
      <c r="QQH14" s="455"/>
      <c r="QQI14" s="455"/>
      <c r="QQJ14" s="455"/>
      <c r="QQK14" s="455"/>
      <c r="QQL14" s="455"/>
      <c r="QQM14" s="455"/>
      <c r="QQN14" s="455"/>
      <c r="QQO14" s="455"/>
      <c r="QQP14" s="455"/>
      <c r="QQQ14" s="455"/>
      <c r="QQR14" s="1144"/>
      <c r="QQS14" s="1614"/>
      <c r="QQT14" s="455"/>
      <c r="QQU14" s="455"/>
      <c r="QQV14" s="455"/>
      <c r="QQW14" s="455"/>
      <c r="QQX14" s="455"/>
      <c r="QQY14" s="455"/>
      <c r="QQZ14" s="455"/>
      <c r="QRA14" s="455"/>
      <c r="QRB14" s="455"/>
      <c r="QRC14" s="455"/>
      <c r="QRD14" s="1144"/>
      <c r="QRE14" s="1614"/>
      <c r="QRF14" s="455"/>
      <c r="QRG14" s="455"/>
      <c r="QRH14" s="455"/>
      <c r="QRI14" s="455"/>
      <c r="QRJ14" s="455"/>
      <c r="QRK14" s="455"/>
      <c r="QRL14" s="455"/>
      <c r="QRM14" s="455"/>
      <c r="QRN14" s="455"/>
      <c r="QRO14" s="455"/>
      <c r="QRP14" s="1144"/>
      <c r="QRQ14" s="1614"/>
      <c r="QRR14" s="455"/>
      <c r="QRS14" s="455"/>
      <c r="QRT14" s="455"/>
      <c r="QRU14" s="455"/>
      <c r="QRV14" s="455"/>
      <c r="QRW14" s="455"/>
      <c r="QRX14" s="455"/>
      <c r="QRY14" s="455"/>
      <c r="QRZ14" s="455"/>
      <c r="QSA14" s="455"/>
      <c r="QSB14" s="1144"/>
      <c r="QSC14" s="1614"/>
      <c r="QSD14" s="455"/>
      <c r="QSE14" s="455"/>
      <c r="QSF14" s="455"/>
      <c r="QSG14" s="455"/>
      <c r="QSH14" s="455"/>
      <c r="QSI14" s="455"/>
      <c r="QSJ14" s="455"/>
      <c r="QSK14" s="455"/>
      <c r="QSL14" s="455"/>
      <c r="QSM14" s="455"/>
      <c r="QSN14" s="1144"/>
      <c r="QSO14" s="1614"/>
      <c r="QSP14" s="455"/>
      <c r="QSQ14" s="455"/>
      <c r="QSR14" s="455"/>
      <c r="QSS14" s="455"/>
      <c r="QST14" s="455"/>
      <c r="QSU14" s="455"/>
      <c r="QSV14" s="455"/>
      <c r="QSW14" s="455"/>
      <c r="QSX14" s="455"/>
      <c r="QSY14" s="455"/>
      <c r="QSZ14" s="1144"/>
      <c r="QTA14" s="1614"/>
      <c r="QTB14" s="455"/>
      <c r="QTC14" s="455"/>
      <c r="QTD14" s="455"/>
      <c r="QTE14" s="455"/>
      <c r="QTF14" s="455"/>
      <c r="QTG14" s="455"/>
      <c r="QTH14" s="455"/>
      <c r="QTI14" s="455"/>
      <c r="QTJ14" s="455"/>
      <c r="QTK14" s="455"/>
      <c r="QTL14" s="1144"/>
      <c r="QTM14" s="1614"/>
      <c r="QTN14" s="455"/>
      <c r="QTO14" s="455"/>
      <c r="QTP14" s="455"/>
      <c r="QTQ14" s="455"/>
      <c r="QTR14" s="455"/>
      <c r="QTS14" s="455"/>
      <c r="QTT14" s="455"/>
      <c r="QTU14" s="455"/>
      <c r="QTV14" s="455"/>
      <c r="QTW14" s="455"/>
      <c r="QTX14" s="1144"/>
      <c r="QTY14" s="1614"/>
      <c r="QTZ14" s="455"/>
      <c r="QUA14" s="455"/>
      <c r="QUB14" s="455"/>
      <c r="QUC14" s="455"/>
      <c r="QUD14" s="455"/>
      <c r="QUE14" s="455"/>
      <c r="QUF14" s="455"/>
      <c r="QUG14" s="455"/>
      <c r="QUH14" s="455"/>
      <c r="QUI14" s="455"/>
      <c r="QUJ14" s="1144"/>
      <c r="QUK14" s="1614"/>
      <c r="QUL14" s="455"/>
      <c r="QUM14" s="455"/>
      <c r="QUN14" s="455"/>
      <c r="QUO14" s="455"/>
      <c r="QUP14" s="455"/>
      <c r="QUQ14" s="455"/>
      <c r="QUR14" s="455"/>
      <c r="QUS14" s="455"/>
      <c r="QUT14" s="455"/>
      <c r="QUU14" s="455"/>
      <c r="QUV14" s="1144"/>
      <c r="QUW14" s="1614"/>
      <c r="QUX14" s="455"/>
      <c r="QUY14" s="455"/>
      <c r="QUZ14" s="455"/>
      <c r="QVA14" s="455"/>
      <c r="QVB14" s="455"/>
      <c r="QVC14" s="455"/>
      <c r="QVD14" s="455"/>
      <c r="QVE14" s="455"/>
      <c r="QVF14" s="455"/>
      <c r="QVG14" s="455"/>
      <c r="QVH14" s="1144"/>
      <c r="QVI14" s="1614"/>
      <c r="QVJ14" s="455"/>
      <c r="QVK14" s="455"/>
      <c r="QVL14" s="455"/>
      <c r="QVM14" s="455"/>
      <c r="QVN14" s="455"/>
      <c r="QVO14" s="455"/>
      <c r="QVP14" s="455"/>
      <c r="QVQ14" s="455"/>
      <c r="QVR14" s="455"/>
      <c r="QVS14" s="455"/>
      <c r="QVT14" s="1144"/>
      <c r="QVU14" s="1614"/>
      <c r="QVV14" s="455"/>
      <c r="QVW14" s="455"/>
      <c r="QVX14" s="455"/>
      <c r="QVY14" s="455"/>
      <c r="QVZ14" s="455"/>
      <c r="QWA14" s="455"/>
      <c r="QWB14" s="455"/>
      <c r="QWC14" s="455"/>
      <c r="QWD14" s="455"/>
      <c r="QWE14" s="455"/>
      <c r="QWF14" s="1144"/>
      <c r="QWG14" s="1614"/>
      <c r="QWH14" s="455"/>
      <c r="QWI14" s="455"/>
      <c r="QWJ14" s="455"/>
      <c r="QWK14" s="455"/>
      <c r="QWL14" s="455"/>
      <c r="QWM14" s="455"/>
      <c r="QWN14" s="455"/>
      <c r="QWO14" s="455"/>
      <c r="QWP14" s="455"/>
      <c r="QWQ14" s="455"/>
      <c r="QWR14" s="1144"/>
      <c r="QWS14" s="1614"/>
      <c r="QWT14" s="455"/>
      <c r="QWU14" s="455"/>
      <c r="QWV14" s="455"/>
      <c r="QWW14" s="455"/>
      <c r="QWX14" s="455"/>
      <c r="QWY14" s="455"/>
      <c r="QWZ14" s="455"/>
      <c r="QXA14" s="455"/>
      <c r="QXB14" s="455"/>
      <c r="QXC14" s="455"/>
      <c r="QXD14" s="1144"/>
      <c r="QXE14" s="1614"/>
      <c r="QXF14" s="455"/>
      <c r="QXG14" s="455"/>
      <c r="QXH14" s="455"/>
      <c r="QXI14" s="455"/>
      <c r="QXJ14" s="455"/>
      <c r="QXK14" s="455"/>
      <c r="QXL14" s="455"/>
      <c r="QXM14" s="455"/>
      <c r="QXN14" s="455"/>
      <c r="QXO14" s="455"/>
      <c r="QXP14" s="1144"/>
      <c r="QXQ14" s="1614"/>
      <c r="QXR14" s="455"/>
      <c r="QXS14" s="455"/>
      <c r="QXT14" s="455"/>
      <c r="QXU14" s="455"/>
      <c r="QXV14" s="455"/>
      <c r="QXW14" s="455"/>
      <c r="QXX14" s="455"/>
      <c r="QXY14" s="455"/>
      <c r="QXZ14" s="455"/>
      <c r="QYA14" s="455"/>
      <c r="QYB14" s="1144"/>
      <c r="QYC14" s="1614"/>
      <c r="QYD14" s="455"/>
      <c r="QYE14" s="455"/>
      <c r="QYF14" s="455"/>
      <c r="QYG14" s="455"/>
      <c r="QYH14" s="455"/>
      <c r="QYI14" s="455"/>
      <c r="QYJ14" s="455"/>
      <c r="QYK14" s="455"/>
      <c r="QYL14" s="455"/>
      <c r="QYM14" s="455"/>
      <c r="QYN14" s="1144"/>
      <c r="QYO14" s="1614"/>
      <c r="QYP14" s="455"/>
      <c r="QYQ14" s="455"/>
      <c r="QYR14" s="455"/>
      <c r="QYS14" s="455"/>
      <c r="QYT14" s="455"/>
      <c r="QYU14" s="455"/>
      <c r="QYV14" s="455"/>
      <c r="QYW14" s="455"/>
      <c r="QYX14" s="455"/>
      <c r="QYY14" s="455"/>
      <c r="QYZ14" s="1144"/>
      <c r="QZA14" s="1614"/>
      <c r="QZB14" s="455"/>
      <c r="QZC14" s="455"/>
      <c r="QZD14" s="455"/>
      <c r="QZE14" s="455"/>
      <c r="QZF14" s="455"/>
      <c r="QZG14" s="455"/>
      <c r="QZH14" s="455"/>
      <c r="QZI14" s="455"/>
      <c r="QZJ14" s="455"/>
      <c r="QZK14" s="455"/>
      <c r="QZL14" s="1144"/>
      <c r="QZM14" s="1614"/>
      <c r="QZN14" s="455"/>
      <c r="QZO14" s="455"/>
      <c r="QZP14" s="455"/>
      <c r="QZQ14" s="455"/>
      <c r="QZR14" s="455"/>
      <c r="QZS14" s="455"/>
      <c r="QZT14" s="455"/>
      <c r="QZU14" s="455"/>
      <c r="QZV14" s="455"/>
      <c r="QZW14" s="455"/>
      <c r="QZX14" s="1144"/>
      <c r="QZY14" s="1614"/>
      <c r="QZZ14" s="455"/>
      <c r="RAA14" s="455"/>
      <c r="RAB14" s="455"/>
      <c r="RAC14" s="455"/>
      <c r="RAD14" s="455"/>
      <c r="RAE14" s="455"/>
      <c r="RAF14" s="455"/>
      <c r="RAG14" s="455"/>
      <c r="RAH14" s="455"/>
      <c r="RAI14" s="455"/>
      <c r="RAJ14" s="1144"/>
      <c r="RAK14" s="1614"/>
      <c r="RAL14" s="455"/>
      <c r="RAM14" s="455"/>
      <c r="RAN14" s="455"/>
      <c r="RAO14" s="455"/>
      <c r="RAP14" s="455"/>
      <c r="RAQ14" s="455"/>
      <c r="RAR14" s="455"/>
      <c r="RAS14" s="455"/>
      <c r="RAT14" s="455"/>
      <c r="RAU14" s="455"/>
      <c r="RAV14" s="1144"/>
      <c r="RAW14" s="1614"/>
      <c r="RAX14" s="455"/>
      <c r="RAY14" s="455"/>
      <c r="RAZ14" s="455"/>
      <c r="RBA14" s="455"/>
      <c r="RBB14" s="455"/>
      <c r="RBC14" s="455"/>
      <c r="RBD14" s="455"/>
      <c r="RBE14" s="455"/>
      <c r="RBF14" s="455"/>
      <c r="RBG14" s="455"/>
      <c r="RBH14" s="1144"/>
      <c r="RBI14" s="1614"/>
      <c r="RBJ14" s="455"/>
      <c r="RBK14" s="455"/>
      <c r="RBL14" s="455"/>
      <c r="RBM14" s="455"/>
      <c r="RBN14" s="455"/>
      <c r="RBO14" s="455"/>
      <c r="RBP14" s="455"/>
      <c r="RBQ14" s="455"/>
      <c r="RBR14" s="455"/>
      <c r="RBS14" s="455"/>
      <c r="RBT14" s="1144"/>
      <c r="RBU14" s="1614"/>
      <c r="RBV14" s="455"/>
      <c r="RBW14" s="455"/>
      <c r="RBX14" s="455"/>
      <c r="RBY14" s="455"/>
      <c r="RBZ14" s="455"/>
      <c r="RCA14" s="455"/>
      <c r="RCB14" s="455"/>
      <c r="RCC14" s="455"/>
      <c r="RCD14" s="455"/>
      <c r="RCE14" s="455"/>
      <c r="RCF14" s="1144"/>
      <c r="RCG14" s="1614"/>
      <c r="RCH14" s="455"/>
      <c r="RCI14" s="455"/>
      <c r="RCJ14" s="455"/>
      <c r="RCK14" s="455"/>
      <c r="RCL14" s="455"/>
      <c r="RCM14" s="455"/>
      <c r="RCN14" s="455"/>
      <c r="RCO14" s="455"/>
      <c r="RCP14" s="455"/>
      <c r="RCQ14" s="455"/>
      <c r="RCR14" s="1144"/>
      <c r="RCS14" s="1614"/>
      <c r="RCT14" s="455"/>
      <c r="RCU14" s="455"/>
      <c r="RCV14" s="455"/>
      <c r="RCW14" s="455"/>
      <c r="RCX14" s="455"/>
      <c r="RCY14" s="455"/>
      <c r="RCZ14" s="455"/>
      <c r="RDA14" s="455"/>
      <c r="RDB14" s="455"/>
      <c r="RDC14" s="455"/>
      <c r="RDD14" s="1144"/>
      <c r="RDE14" s="1614"/>
      <c r="RDF14" s="455"/>
      <c r="RDG14" s="455"/>
      <c r="RDH14" s="455"/>
      <c r="RDI14" s="455"/>
      <c r="RDJ14" s="455"/>
      <c r="RDK14" s="455"/>
      <c r="RDL14" s="455"/>
      <c r="RDM14" s="455"/>
      <c r="RDN14" s="455"/>
      <c r="RDO14" s="455"/>
      <c r="RDP14" s="1144"/>
      <c r="RDQ14" s="1614"/>
      <c r="RDR14" s="455"/>
      <c r="RDS14" s="455"/>
      <c r="RDT14" s="455"/>
      <c r="RDU14" s="455"/>
      <c r="RDV14" s="455"/>
      <c r="RDW14" s="455"/>
      <c r="RDX14" s="455"/>
      <c r="RDY14" s="455"/>
      <c r="RDZ14" s="455"/>
      <c r="REA14" s="455"/>
      <c r="REB14" s="1144"/>
      <c r="REC14" s="1614"/>
      <c r="RED14" s="455"/>
      <c r="REE14" s="455"/>
      <c r="REF14" s="455"/>
      <c r="REG14" s="455"/>
      <c r="REH14" s="455"/>
      <c r="REI14" s="455"/>
      <c r="REJ14" s="455"/>
      <c r="REK14" s="455"/>
      <c r="REL14" s="455"/>
      <c r="REM14" s="455"/>
      <c r="REN14" s="1144"/>
      <c r="REO14" s="1614"/>
      <c r="REP14" s="455"/>
      <c r="REQ14" s="455"/>
      <c r="RER14" s="455"/>
      <c r="RES14" s="455"/>
      <c r="RET14" s="455"/>
      <c r="REU14" s="455"/>
      <c r="REV14" s="455"/>
      <c r="REW14" s="455"/>
      <c r="REX14" s="455"/>
      <c r="REY14" s="455"/>
      <c r="REZ14" s="1144"/>
      <c r="RFA14" s="1614"/>
      <c r="RFB14" s="455"/>
      <c r="RFC14" s="455"/>
      <c r="RFD14" s="455"/>
      <c r="RFE14" s="455"/>
      <c r="RFF14" s="455"/>
      <c r="RFG14" s="455"/>
      <c r="RFH14" s="455"/>
      <c r="RFI14" s="455"/>
      <c r="RFJ14" s="455"/>
      <c r="RFK14" s="455"/>
      <c r="RFL14" s="1144"/>
      <c r="RFM14" s="1614"/>
      <c r="RFN14" s="455"/>
      <c r="RFO14" s="455"/>
      <c r="RFP14" s="455"/>
      <c r="RFQ14" s="455"/>
      <c r="RFR14" s="455"/>
      <c r="RFS14" s="455"/>
      <c r="RFT14" s="455"/>
      <c r="RFU14" s="455"/>
      <c r="RFV14" s="455"/>
      <c r="RFW14" s="455"/>
      <c r="RFX14" s="1144"/>
      <c r="RFY14" s="1614"/>
      <c r="RFZ14" s="455"/>
      <c r="RGA14" s="455"/>
      <c r="RGB14" s="455"/>
      <c r="RGC14" s="455"/>
      <c r="RGD14" s="455"/>
      <c r="RGE14" s="455"/>
      <c r="RGF14" s="455"/>
      <c r="RGG14" s="455"/>
      <c r="RGH14" s="455"/>
      <c r="RGI14" s="455"/>
      <c r="RGJ14" s="1144"/>
      <c r="RGK14" s="1614"/>
      <c r="RGL14" s="455"/>
      <c r="RGM14" s="455"/>
      <c r="RGN14" s="455"/>
      <c r="RGO14" s="455"/>
      <c r="RGP14" s="455"/>
      <c r="RGQ14" s="455"/>
      <c r="RGR14" s="455"/>
      <c r="RGS14" s="455"/>
      <c r="RGT14" s="455"/>
      <c r="RGU14" s="455"/>
      <c r="RGV14" s="1144"/>
      <c r="RGW14" s="1614"/>
      <c r="RGX14" s="455"/>
      <c r="RGY14" s="455"/>
      <c r="RGZ14" s="455"/>
      <c r="RHA14" s="455"/>
      <c r="RHB14" s="455"/>
      <c r="RHC14" s="455"/>
      <c r="RHD14" s="455"/>
      <c r="RHE14" s="455"/>
      <c r="RHF14" s="455"/>
      <c r="RHG14" s="455"/>
      <c r="RHH14" s="1144"/>
      <c r="RHI14" s="1614"/>
      <c r="RHJ14" s="455"/>
      <c r="RHK14" s="455"/>
      <c r="RHL14" s="455"/>
      <c r="RHM14" s="455"/>
      <c r="RHN14" s="455"/>
      <c r="RHO14" s="455"/>
      <c r="RHP14" s="455"/>
      <c r="RHQ14" s="455"/>
      <c r="RHR14" s="455"/>
      <c r="RHS14" s="455"/>
      <c r="RHT14" s="1144"/>
      <c r="RHU14" s="1614"/>
      <c r="RHV14" s="455"/>
      <c r="RHW14" s="455"/>
      <c r="RHX14" s="455"/>
      <c r="RHY14" s="455"/>
      <c r="RHZ14" s="455"/>
      <c r="RIA14" s="455"/>
      <c r="RIB14" s="455"/>
      <c r="RIC14" s="455"/>
      <c r="RID14" s="455"/>
      <c r="RIE14" s="455"/>
      <c r="RIF14" s="1144"/>
      <c r="RIG14" s="1614"/>
      <c r="RIH14" s="455"/>
      <c r="RII14" s="455"/>
      <c r="RIJ14" s="455"/>
      <c r="RIK14" s="455"/>
      <c r="RIL14" s="455"/>
      <c r="RIM14" s="455"/>
      <c r="RIN14" s="455"/>
      <c r="RIO14" s="455"/>
      <c r="RIP14" s="455"/>
      <c r="RIQ14" s="455"/>
      <c r="RIR14" s="1144"/>
      <c r="RIS14" s="1614"/>
      <c r="RIT14" s="455"/>
      <c r="RIU14" s="455"/>
      <c r="RIV14" s="455"/>
      <c r="RIW14" s="455"/>
      <c r="RIX14" s="455"/>
      <c r="RIY14" s="455"/>
      <c r="RIZ14" s="455"/>
      <c r="RJA14" s="455"/>
      <c r="RJB14" s="455"/>
      <c r="RJC14" s="455"/>
      <c r="RJD14" s="1144"/>
      <c r="RJE14" s="1614"/>
      <c r="RJF14" s="455"/>
      <c r="RJG14" s="455"/>
      <c r="RJH14" s="455"/>
      <c r="RJI14" s="455"/>
      <c r="RJJ14" s="455"/>
      <c r="RJK14" s="455"/>
      <c r="RJL14" s="455"/>
      <c r="RJM14" s="455"/>
      <c r="RJN14" s="455"/>
      <c r="RJO14" s="455"/>
      <c r="RJP14" s="1144"/>
      <c r="RJQ14" s="1614"/>
      <c r="RJR14" s="455"/>
      <c r="RJS14" s="455"/>
      <c r="RJT14" s="455"/>
      <c r="RJU14" s="455"/>
      <c r="RJV14" s="455"/>
      <c r="RJW14" s="455"/>
      <c r="RJX14" s="455"/>
      <c r="RJY14" s="455"/>
      <c r="RJZ14" s="455"/>
      <c r="RKA14" s="455"/>
      <c r="RKB14" s="1144"/>
      <c r="RKC14" s="1614"/>
      <c r="RKD14" s="455"/>
      <c r="RKE14" s="455"/>
      <c r="RKF14" s="455"/>
      <c r="RKG14" s="455"/>
      <c r="RKH14" s="455"/>
      <c r="RKI14" s="455"/>
      <c r="RKJ14" s="455"/>
      <c r="RKK14" s="455"/>
      <c r="RKL14" s="455"/>
      <c r="RKM14" s="455"/>
      <c r="RKN14" s="1144"/>
      <c r="RKO14" s="1614"/>
      <c r="RKP14" s="455"/>
      <c r="RKQ14" s="455"/>
      <c r="RKR14" s="455"/>
      <c r="RKS14" s="455"/>
      <c r="RKT14" s="455"/>
      <c r="RKU14" s="455"/>
      <c r="RKV14" s="455"/>
      <c r="RKW14" s="455"/>
      <c r="RKX14" s="455"/>
      <c r="RKY14" s="455"/>
      <c r="RKZ14" s="1144"/>
      <c r="RLA14" s="1614"/>
      <c r="RLB14" s="455"/>
      <c r="RLC14" s="455"/>
      <c r="RLD14" s="455"/>
      <c r="RLE14" s="455"/>
      <c r="RLF14" s="455"/>
      <c r="RLG14" s="455"/>
      <c r="RLH14" s="455"/>
      <c r="RLI14" s="455"/>
      <c r="RLJ14" s="455"/>
      <c r="RLK14" s="455"/>
      <c r="RLL14" s="1144"/>
      <c r="RLM14" s="1614"/>
      <c r="RLN14" s="455"/>
      <c r="RLO14" s="455"/>
      <c r="RLP14" s="455"/>
      <c r="RLQ14" s="455"/>
      <c r="RLR14" s="455"/>
      <c r="RLS14" s="455"/>
      <c r="RLT14" s="455"/>
      <c r="RLU14" s="455"/>
      <c r="RLV14" s="455"/>
      <c r="RLW14" s="455"/>
      <c r="RLX14" s="1144"/>
      <c r="RLY14" s="1614"/>
      <c r="RLZ14" s="455"/>
      <c r="RMA14" s="455"/>
      <c r="RMB14" s="455"/>
      <c r="RMC14" s="455"/>
      <c r="RMD14" s="455"/>
      <c r="RME14" s="455"/>
      <c r="RMF14" s="455"/>
      <c r="RMG14" s="455"/>
      <c r="RMH14" s="455"/>
      <c r="RMI14" s="455"/>
      <c r="RMJ14" s="1144"/>
      <c r="RMK14" s="1614"/>
      <c r="RML14" s="455"/>
      <c r="RMM14" s="455"/>
      <c r="RMN14" s="455"/>
      <c r="RMO14" s="455"/>
      <c r="RMP14" s="455"/>
      <c r="RMQ14" s="455"/>
      <c r="RMR14" s="455"/>
      <c r="RMS14" s="455"/>
      <c r="RMT14" s="455"/>
      <c r="RMU14" s="455"/>
      <c r="RMV14" s="1144"/>
      <c r="RMW14" s="1614"/>
      <c r="RMX14" s="455"/>
      <c r="RMY14" s="455"/>
      <c r="RMZ14" s="455"/>
      <c r="RNA14" s="455"/>
      <c r="RNB14" s="455"/>
      <c r="RNC14" s="455"/>
      <c r="RND14" s="455"/>
      <c r="RNE14" s="455"/>
      <c r="RNF14" s="455"/>
      <c r="RNG14" s="455"/>
      <c r="RNH14" s="1144"/>
      <c r="RNI14" s="1614"/>
      <c r="RNJ14" s="455"/>
      <c r="RNK14" s="455"/>
      <c r="RNL14" s="455"/>
      <c r="RNM14" s="455"/>
      <c r="RNN14" s="455"/>
      <c r="RNO14" s="455"/>
      <c r="RNP14" s="455"/>
      <c r="RNQ14" s="455"/>
      <c r="RNR14" s="455"/>
      <c r="RNS14" s="455"/>
      <c r="RNT14" s="1144"/>
      <c r="RNU14" s="1614"/>
      <c r="RNV14" s="455"/>
      <c r="RNW14" s="455"/>
      <c r="RNX14" s="455"/>
      <c r="RNY14" s="455"/>
      <c r="RNZ14" s="455"/>
      <c r="ROA14" s="455"/>
      <c r="ROB14" s="455"/>
      <c r="ROC14" s="455"/>
      <c r="ROD14" s="455"/>
      <c r="ROE14" s="455"/>
      <c r="ROF14" s="1144"/>
      <c r="ROG14" s="1614"/>
      <c r="ROH14" s="455"/>
      <c r="ROI14" s="455"/>
      <c r="ROJ14" s="455"/>
      <c r="ROK14" s="455"/>
      <c r="ROL14" s="455"/>
      <c r="ROM14" s="455"/>
      <c r="RON14" s="455"/>
      <c r="ROO14" s="455"/>
      <c r="ROP14" s="455"/>
      <c r="ROQ14" s="455"/>
      <c r="ROR14" s="1144"/>
      <c r="ROS14" s="1614"/>
      <c r="ROT14" s="455"/>
      <c r="ROU14" s="455"/>
      <c r="ROV14" s="455"/>
      <c r="ROW14" s="455"/>
      <c r="ROX14" s="455"/>
      <c r="ROY14" s="455"/>
      <c r="ROZ14" s="455"/>
      <c r="RPA14" s="455"/>
      <c r="RPB14" s="455"/>
      <c r="RPC14" s="455"/>
      <c r="RPD14" s="1144"/>
      <c r="RPE14" s="1614"/>
      <c r="RPF14" s="455"/>
      <c r="RPG14" s="455"/>
      <c r="RPH14" s="455"/>
      <c r="RPI14" s="455"/>
      <c r="RPJ14" s="455"/>
      <c r="RPK14" s="455"/>
      <c r="RPL14" s="455"/>
      <c r="RPM14" s="455"/>
      <c r="RPN14" s="455"/>
      <c r="RPO14" s="455"/>
      <c r="RPP14" s="1144"/>
      <c r="RPQ14" s="1614"/>
      <c r="RPR14" s="455"/>
      <c r="RPS14" s="455"/>
      <c r="RPT14" s="455"/>
      <c r="RPU14" s="455"/>
      <c r="RPV14" s="455"/>
      <c r="RPW14" s="455"/>
      <c r="RPX14" s="455"/>
      <c r="RPY14" s="455"/>
      <c r="RPZ14" s="455"/>
      <c r="RQA14" s="455"/>
      <c r="RQB14" s="1144"/>
      <c r="RQC14" s="1614"/>
      <c r="RQD14" s="455"/>
      <c r="RQE14" s="455"/>
      <c r="RQF14" s="455"/>
      <c r="RQG14" s="455"/>
      <c r="RQH14" s="455"/>
      <c r="RQI14" s="455"/>
      <c r="RQJ14" s="455"/>
      <c r="RQK14" s="455"/>
      <c r="RQL14" s="455"/>
      <c r="RQM14" s="455"/>
      <c r="RQN14" s="1144"/>
      <c r="RQO14" s="1614"/>
      <c r="RQP14" s="455"/>
      <c r="RQQ14" s="455"/>
      <c r="RQR14" s="455"/>
      <c r="RQS14" s="455"/>
      <c r="RQT14" s="455"/>
      <c r="RQU14" s="455"/>
      <c r="RQV14" s="455"/>
      <c r="RQW14" s="455"/>
      <c r="RQX14" s="455"/>
      <c r="RQY14" s="455"/>
      <c r="RQZ14" s="1144"/>
      <c r="RRA14" s="1614"/>
      <c r="RRB14" s="455"/>
      <c r="RRC14" s="455"/>
      <c r="RRD14" s="455"/>
      <c r="RRE14" s="455"/>
      <c r="RRF14" s="455"/>
      <c r="RRG14" s="455"/>
      <c r="RRH14" s="455"/>
      <c r="RRI14" s="455"/>
      <c r="RRJ14" s="455"/>
      <c r="RRK14" s="455"/>
      <c r="RRL14" s="1144"/>
      <c r="RRM14" s="1614"/>
      <c r="RRN14" s="455"/>
      <c r="RRO14" s="455"/>
      <c r="RRP14" s="455"/>
      <c r="RRQ14" s="455"/>
      <c r="RRR14" s="455"/>
      <c r="RRS14" s="455"/>
      <c r="RRT14" s="455"/>
      <c r="RRU14" s="455"/>
      <c r="RRV14" s="455"/>
      <c r="RRW14" s="455"/>
      <c r="RRX14" s="1144"/>
      <c r="RRY14" s="1614"/>
      <c r="RRZ14" s="455"/>
      <c r="RSA14" s="455"/>
      <c r="RSB14" s="455"/>
      <c r="RSC14" s="455"/>
      <c r="RSD14" s="455"/>
      <c r="RSE14" s="455"/>
      <c r="RSF14" s="455"/>
      <c r="RSG14" s="455"/>
      <c r="RSH14" s="455"/>
      <c r="RSI14" s="455"/>
      <c r="RSJ14" s="1144"/>
      <c r="RSK14" s="1614"/>
      <c r="RSL14" s="455"/>
      <c r="RSM14" s="455"/>
      <c r="RSN14" s="455"/>
      <c r="RSO14" s="455"/>
      <c r="RSP14" s="455"/>
      <c r="RSQ14" s="455"/>
      <c r="RSR14" s="455"/>
      <c r="RSS14" s="455"/>
      <c r="RST14" s="455"/>
      <c r="RSU14" s="455"/>
      <c r="RSV14" s="1144"/>
      <c r="RSW14" s="1614"/>
      <c r="RSX14" s="455"/>
      <c r="RSY14" s="455"/>
      <c r="RSZ14" s="455"/>
      <c r="RTA14" s="455"/>
      <c r="RTB14" s="455"/>
      <c r="RTC14" s="455"/>
      <c r="RTD14" s="455"/>
      <c r="RTE14" s="455"/>
      <c r="RTF14" s="455"/>
      <c r="RTG14" s="455"/>
      <c r="RTH14" s="1144"/>
      <c r="RTI14" s="1614"/>
      <c r="RTJ14" s="455"/>
      <c r="RTK14" s="455"/>
      <c r="RTL14" s="455"/>
      <c r="RTM14" s="455"/>
      <c r="RTN14" s="455"/>
      <c r="RTO14" s="455"/>
      <c r="RTP14" s="455"/>
      <c r="RTQ14" s="455"/>
      <c r="RTR14" s="455"/>
      <c r="RTS14" s="455"/>
      <c r="RTT14" s="1144"/>
      <c r="RTU14" s="1614"/>
      <c r="RTV14" s="455"/>
      <c r="RTW14" s="455"/>
      <c r="RTX14" s="455"/>
      <c r="RTY14" s="455"/>
      <c r="RTZ14" s="455"/>
      <c r="RUA14" s="455"/>
      <c r="RUB14" s="455"/>
      <c r="RUC14" s="455"/>
      <c r="RUD14" s="455"/>
      <c r="RUE14" s="455"/>
      <c r="RUF14" s="1144"/>
      <c r="RUG14" s="1614"/>
      <c r="RUH14" s="455"/>
      <c r="RUI14" s="455"/>
      <c r="RUJ14" s="455"/>
      <c r="RUK14" s="455"/>
      <c r="RUL14" s="455"/>
      <c r="RUM14" s="455"/>
      <c r="RUN14" s="455"/>
      <c r="RUO14" s="455"/>
      <c r="RUP14" s="455"/>
      <c r="RUQ14" s="455"/>
      <c r="RUR14" s="1144"/>
      <c r="RUS14" s="1614"/>
      <c r="RUT14" s="455"/>
      <c r="RUU14" s="455"/>
      <c r="RUV14" s="455"/>
      <c r="RUW14" s="455"/>
      <c r="RUX14" s="455"/>
      <c r="RUY14" s="455"/>
      <c r="RUZ14" s="455"/>
      <c r="RVA14" s="455"/>
      <c r="RVB14" s="455"/>
      <c r="RVC14" s="455"/>
      <c r="RVD14" s="1144"/>
      <c r="RVE14" s="1614"/>
      <c r="RVF14" s="455"/>
      <c r="RVG14" s="455"/>
      <c r="RVH14" s="455"/>
      <c r="RVI14" s="455"/>
      <c r="RVJ14" s="455"/>
      <c r="RVK14" s="455"/>
      <c r="RVL14" s="455"/>
      <c r="RVM14" s="455"/>
      <c r="RVN14" s="455"/>
      <c r="RVO14" s="455"/>
      <c r="RVP14" s="1144"/>
      <c r="RVQ14" s="1614"/>
      <c r="RVR14" s="455"/>
      <c r="RVS14" s="455"/>
      <c r="RVT14" s="455"/>
      <c r="RVU14" s="455"/>
      <c r="RVV14" s="455"/>
      <c r="RVW14" s="455"/>
      <c r="RVX14" s="455"/>
      <c r="RVY14" s="455"/>
      <c r="RVZ14" s="455"/>
      <c r="RWA14" s="455"/>
      <c r="RWB14" s="1144"/>
      <c r="RWC14" s="1614"/>
      <c r="RWD14" s="455"/>
      <c r="RWE14" s="455"/>
      <c r="RWF14" s="455"/>
      <c r="RWG14" s="455"/>
      <c r="RWH14" s="455"/>
      <c r="RWI14" s="455"/>
      <c r="RWJ14" s="455"/>
      <c r="RWK14" s="455"/>
      <c r="RWL14" s="455"/>
      <c r="RWM14" s="455"/>
      <c r="RWN14" s="1144"/>
      <c r="RWO14" s="1614"/>
      <c r="RWP14" s="455"/>
      <c r="RWQ14" s="455"/>
      <c r="RWR14" s="455"/>
      <c r="RWS14" s="455"/>
      <c r="RWT14" s="455"/>
      <c r="RWU14" s="455"/>
      <c r="RWV14" s="455"/>
      <c r="RWW14" s="455"/>
      <c r="RWX14" s="455"/>
      <c r="RWY14" s="455"/>
      <c r="RWZ14" s="1144"/>
      <c r="RXA14" s="1614"/>
      <c r="RXB14" s="455"/>
      <c r="RXC14" s="455"/>
      <c r="RXD14" s="455"/>
      <c r="RXE14" s="455"/>
      <c r="RXF14" s="455"/>
      <c r="RXG14" s="455"/>
      <c r="RXH14" s="455"/>
      <c r="RXI14" s="455"/>
      <c r="RXJ14" s="455"/>
      <c r="RXK14" s="455"/>
      <c r="RXL14" s="1144"/>
      <c r="RXM14" s="1614"/>
      <c r="RXN14" s="455"/>
      <c r="RXO14" s="455"/>
      <c r="RXP14" s="455"/>
      <c r="RXQ14" s="455"/>
      <c r="RXR14" s="455"/>
      <c r="RXS14" s="455"/>
      <c r="RXT14" s="455"/>
      <c r="RXU14" s="455"/>
      <c r="RXV14" s="455"/>
      <c r="RXW14" s="455"/>
      <c r="RXX14" s="1144"/>
      <c r="RXY14" s="1614"/>
      <c r="RXZ14" s="455"/>
      <c r="RYA14" s="455"/>
      <c r="RYB14" s="455"/>
      <c r="RYC14" s="455"/>
      <c r="RYD14" s="455"/>
      <c r="RYE14" s="455"/>
      <c r="RYF14" s="455"/>
      <c r="RYG14" s="455"/>
      <c r="RYH14" s="455"/>
      <c r="RYI14" s="455"/>
      <c r="RYJ14" s="1144"/>
      <c r="RYK14" s="1614"/>
      <c r="RYL14" s="455"/>
      <c r="RYM14" s="455"/>
      <c r="RYN14" s="455"/>
      <c r="RYO14" s="455"/>
      <c r="RYP14" s="455"/>
      <c r="RYQ14" s="455"/>
      <c r="RYR14" s="455"/>
      <c r="RYS14" s="455"/>
      <c r="RYT14" s="455"/>
      <c r="RYU14" s="455"/>
      <c r="RYV14" s="1144"/>
      <c r="RYW14" s="1614"/>
      <c r="RYX14" s="455"/>
      <c r="RYY14" s="455"/>
      <c r="RYZ14" s="455"/>
      <c r="RZA14" s="455"/>
      <c r="RZB14" s="455"/>
      <c r="RZC14" s="455"/>
      <c r="RZD14" s="455"/>
      <c r="RZE14" s="455"/>
      <c r="RZF14" s="455"/>
      <c r="RZG14" s="455"/>
      <c r="RZH14" s="1144"/>
      <c r="RZI14" s="1614"/>
      <c r="RZJ14" s="455"/>
      <c r="RZK14" s="455"/>
      <c r="RZL14" s="455"/>
      <c r="RZM14" s="455"/>
      <c r="RZN14" s="455"/>
      <c r="RZO14" s="455"/>
      <c r="RZP14" s="455"/>
      <c r="RZQ14" s="455"/>
      <c r="RZR14" s="455"/>
      <c r="RZS14" s="455"/>
      <c r="RZT14" s="1144"/>
      <c r="RZU14" s="1614"/>
      <c r="RZV14" s="455"/>
      <c r="RZW14" s="455"/>
      <c r="RZX14" s="455"/>
      <c r="RZY14" s="455"/>
      <c r="RZZ14" s="455"/>
      <c r="SAA14" s="455"/>
      <c r="SAB14" s="455"/>
      <c r="SAC14" s="455"/>
      <c r="SAD14" s="455"/>
      <c r="SAE14" s="455"/>
      <c r="SAF14" s="1144"/>
      <c r="SAG14" s="1614"/>
      <c r="SAH14" s="455"/>
      <c r="SAI14" s="455"/>
      <c r="SAJ14" s="455"/>
      <c r="SAK14" s="455"/>
      <c r="SAL14" s="455"/>
      <c r="SAM14" s="455"/>
      <c r="SAN14" s="455"/>
      <c r="SAO14" s="455"/>
      <c r="SAP14" s="455"/>
      <c r="SAQ14" s="455"/>
      <c r="SAR14" s="1144"/>
      <c r="SAS14" s="1614"/>
      <c r="SAT14" s="455"/>
      <c r="SAU14" s="455"/>
      <c r="SAV14" s="455"/>
      <c r="SAW14" s="455"/>
      <c r="SAX14" s="455"/>
      <c r="SAY14" s="455"/>
      <c r="SAZ14" s="455"/>
      <c r="SBA14" s="455"/>
      <c r="SBB14" s="455"/>
      <c r="SBC14" s="455"/>
      <c r="SBD14" s="1144"/>
      <c r="SBE14" s="1614"/>
      <c r="SBF14" s="455"/>
      <c r="SBG14" s="455"/>
      <c r="SBH14" s="455"/>
      <c r="SBI14" s="455"/>
      <c r="SBJ14" s="455"/>
      <c r="SBK14" s="455"/>
      <c r="SBL14" s="455"/>
      <c r="SBM14" s="455"/>
      <c r="SBN14" s="455"/>
      <c r="SBO14" s="455"/>
      <c r="SBP14" s="1144"/>
      <c r="SBQ14" s="1614"/>
      <c r="SBR14" s="455"/>
      <c r="SBS14" s="455"/>
      <c r="SBT14" s="455"/>
      <c r="SBU14" s="455"/>
      <c r="SBV14" s="455"/>
      <c r="SBW14" s="455"/>
      <c r="SBX14" s="455"/>
      <c r="SBY14" s="455"/>
      <c r="SBZ14" s="455"/>
      <c r="SCA14" s="455"/>
      <c r="SCB14" s="1144"/>
      <c r="SCC14" s="1614"/>
      <c r="SCD14" s="455"/>
      <c r="SCE14" s="455"/>
      <c r="SCF14" s="455"/>
      <c r="SCG14" s="455"/>
      <c r="SCH14" s="455"/>
      <c r="SCI14" s="455"/>
      <c r="SCJ14" s="455"/>
      <c r="SCK14" s="455"/>
      <c r="SCL14" s="455"/>
      <c r="SCM14" s="455"/>
      <c r="SCN14" s="1144"/>
      <c r="SCO14" s="1614"/>
      <c r="SCP14" s="455"/>
      <c r="SCQ14" s="455"/>
      <c r="SCR14" s="455"/>
      <c r="SCS14" s="455"/>
      <c r="SCT14" s="455"/>
      <c r="SCU14" s="455"/>
      <c r="SCV14" s="455"/>
      <c r="SCW14" s="455"/>
      <c r="SCX14" s="455"/>
      <c r="SCY14" s="455"/>
      <c r="SCZ14" s="1144"/>
      <c r="SDA14" s="1614"/>
      <c r="SDB14" s="455"/>
      <c r="SDC14" s="455"/>
      <c r="SDD14" s="455"/>
      <c r="SDE14" s="455"/>
      <c r="SDF14" s="455"/>
      <c r="SDG14" s="455"/>
      <c r="SDH14" s="455"/>
      <c r="SDI14" s="455"/>
      <c r="SDJ14" s="455"/>
      <c r="SDK14" s="455"/>
      <c r="SDL14" s="1144"/>
      <c r="SDM14" s="1614"/>
      <c r="SDN14" s="455"/>
      <c r="SDO14" s="455"/>
      <c r="SDP14" s="455"/>
      <c r="SDQ14" s="455"/>
      <c r="SDR14" s="455"/>
      <c r="SDS14" s="455"/>
      <c r="SDT14" s="455"/>
      <c r="SDU14" s="455"/>
      <c r="SDV14" s="455"/>
      <c r="SDW14" s="455"/>
      <c r="SDX14" s="1144"/>
      <c r="SDY14" s="1614"/>
      <c r="SDZ14" s="455"/>
      <c r="SEA14" s="455"/>
      <c r="SEB14" s="455"/>
      <c r="SEC14" s="455"/>
      <c r="SED14" s="455"/>
      <c r="SEE14" s="455"/>
      <c r="SEF14" s="455"/>
      <c r="SEG14" s="455"/>
      <c r="SEH14" s="455"/>
      <c r="SEI14" s="455"/>
      <c r="SEJ14" s="1144"/>
      <c r="SEK14" s="1614"/>
      <c r="SEL14" s="455"/>
      <c r="SEM14" s="455"/>
      <c r="SEN14" s="455"/>
      <c r="SEO14" s="455"/>
      <c r="SEP14" s="455"/>
      <c r="SEQ14" s="455"/>
      <c r="SER14" s="455"/>
      <c r="SES14" s="455"/>
      <c r="SET14" s="455"/>
      <c r="SEU14" s="455"/>
      <c r="SEV14" s="1144"/>
      <c r="SEW14" s="1614"/>
      <c r="SEX14" s="455"/>
      <c r="SEY14" s="455"/>
      <c r="SEZ14" s="455"/>
      <c r="SFA14" s="455"/>
      <c r="SFB14" s="455"/>
      <c r="SFC14" s="455"/>
      <c r="SFD14" s="455"/>
      <c r="SFE14" s="455"/>
      <c r="SFF14" s="455"/>
      <c r="SFG14" s="455"/>
      <c r="SFH14" s="1144"/>
      <c r="SFI14" s="1614"/>
      <c r="SFJ14" s="455"/>
      <c r="SFK14" s="455"/>
      <c r="SFL14" s="455"/>
      <c r="SFM14" s="455"/>
      <c r="SFN14" s="455"/>
      <c r="SFO14" s="455"/>
      <c r="SFP14" s="455"/>
      <c r="SFQ14" s="455"/>
      <c r="SFR14" s="455"/>
      <c r="SFS14" s="455"/>
      <c r="SFT14" s="1144"/>
      <c r="SFU14" s="1614"/>
      <c r="SFV14" s="455"/>
      <c r="SFW14" s="455"/>
      <c r="SFX14" s="455"/>
      <c r="SFY14" s="455"/>
      <c r="SFZ14" s="455"/>
      <c r="SGA14" s="455"/>
      <c r="SGB14" s="455"/>
      <c r="SGC14" s="455"/>
      <c r="SGD14" s="455"/>
      <c r="SGE14" s="455"/>
      <c r="SGF14" s="1144"/>
      <c r="SGG14" s="1614"/>
      <c r="SGH14" s="455"/>
      <c r="SGI14" s="455"/>
      <c r="SGJ14" s="455"/>
      <c r="SGK14" s="455"/>
      <c r="SGL14" s="455"/>
      <c r="SGM14" s="455"/>
      <c r="SGN14" s="455"/>
      <c r="SGO14" s="455"/>
      <c r="SGP14" s="455"/>
      <c r="SGQ14" s="455"/>
      <c r="SGR14" s="1144"/>
      <c r="SGS14" s="1614"/>
      <c r="SGT14" s="455"/>
      <c r="SGU14" s="455"/>
      <c r="SGV14" s="455"/>
      <c r="SGW14" s="455"/>
      <c r="SGX14" s="455"/>
      <c r="SGY14" s="455"/>
      <c r="SGZ14" s="455"/>
      <c r="SHA14" s="455"/>
      <c r="SHB14" s="455"/>
      <c r="SHC14" s="455"/>
      <c r="SHD14" s="1144"/>
      <c r="SHE14" s="1614"/>
      <c r="SHF14" s="455"/>
      <c r="SHG14" s="455"/>
      <c r="SHH14" s="455"/>
      <c r="SHI14" s="455"/>
      <c r="SHJ14" s="455"/>
      <c r="SHK14" s="455"/>
      <c r="SHL14" s="455"/>
      <c r="SHM14" s="455"/>
      <c r="SHN14" s="455"/>
      <c r="SHO14" s="455"/>
      <c r="SHP14" s="1144"/>
      <c r="SHQ14" s="1614"/>
      <c r="SHR14" s="455"/>
      <c r="SHS14" s="455"/>
      <c r="SHT14" s="455"/>
      <c r="SHU14" s="455"/>
      <c r="SHV14" s="455"/>
      <c r="SHW14" s="455"/>
      <c r="SHX14" s="455"/>
      <c r="SHY14" s="455"/>
      <c r="SHZ14" s="455"/>
      <c r="SIA14" s="455"/>
      <c r="SIB14" s="1144"/>
      <c r="SIC14" s="1614"/>
      <c r="SID14" s="455"/>
      <c r="SIE14" s="455"/>
      <c r="SIF14" s="455"/>
      <c r="SIG14" s="455"/>
      <c r="SIH14" s="455"/>
      <c r="SII14" s="455"/>
      <c r="SIJ14" s="455"/>
      <c r="SIK14" s="455"/>
      <c r="SIL14" s="455"/>
      <c r="SIM14" s="455"/>
      <c r="SIN14" s="1144"/>
      <c r="SIO14" s="1614"/>
      <c r="SIP14" s="455"/>
      <c r="SIQ14" s="455"/>
      <c r="SIR14" s="455"/>
      <c r="SIS14" s="455"/>
      <c r="SIT14" s="455"/>
      <c r="SIU14" s="455"/>
      <c r="SIV14" s="455"/>
      <c r="SIW14" s="455"/>
      <c r="SIX14" s="455"/>
      <c r="SIY14" s="455"/>
      <c r="SIZ14" s="1144"/>
      <c r="SJA14" s="1614"/>
      <c r="SJB14" s="455"/>
      <c r="SJC14" s="455"/>
      <c r="SJD14" s="455"/>
      <c r="SJE14" s="455"/>
      <c r="SJF14" s="455"/>
      <c r="SJG14" s="455"/>
      <c r="SJH14" s="455"/>
      <c r="SJI14" s="455"/>
      <c r="SJJ14" s="455"/>
      <c r="SJK14" s="455"/>
      <c r="SJL14" s="1144"/>
      <c r="SJM14" s="1614"/>
      <c r="SJN14" s="455"/>
      <c r="SJO14" s="455"/>
      <c r="SJP14" s="455"/>
      <c r="SJQ14" s="455"/>
      <c r="SJR14" s="455"/>
      <c r="SJS14" s="455"/>
      <c r="SJT14" s="455"/>
      <c r="SJU14" s="455"/>
      <c r="SJV14" s="455"/>
      <c r="SJW14" s="455"/>
      <c r="SJX14" s="1144"/>
      <c r="SJY14" s="1614"/>
      <c r="SJZ14" s="455"/>
      <c r="SKA14" s="455"/>
      <c r="SKB14" s="455"/>
      <c r="SKC14" s="455"/>
      <c r="SKD14" s="455"/>
      <c r="SKE14" s="455"/>
      <c r="SKF14" s="455"/>
      <c r="SKG14" s="455"/>
      <c r="SKH14" s="455"/>
      <c r="SKI14" s="455"/>
      <c r="SKJ14" s="1144"/>
      <c r="SKK14" s="1614"/>
      <c r="SKL14" s="455"/>
      <c r="SKM14" s="455"/>
      <c r="SKN14" s="455"/>
      <c r="SKO14" s="455"/>
      <c r="SKP14" s="455"/>
      <c r="SKQ14" s="455"/>
      <c r="SKR14" s="455"/>
      <c r="SKS14" s="455"/>
      <c r="SKT14" s="455"/>
      <c r="SKU14" s="455"/>
      <c r="SKV14" s="1144"/>
      <c r="SKW14" s="1614"/>
      <c r="SKX14" s="455"/>
      <c r="SKY14" s="455"/>
      <c r="SKZ14" s="455"/>
      <c r="SLA14" s="455"/>
      <c r="SLB14" s="455"/>
      <c r="SLC14" s="455"/>
      <c r="SLD14" s="455"/>
      <c r="SLE14" s="455"/>
      <c r="SLF14" s="455"/>
      <c r="SLG14" s="455"/>
      <c r="SLH14" s="1144"/>
      <c r="SLI14" s="1614"/>
      <c r="SLJ14" s="455"/>
      <c r="SLK14" s="455"/>
      <c r="SLL14" s="455"/>
      <c r="SLM14" s="455"/>
      <c r="SLN14" s="455"/>
      <c r="SLO14" s="455"/>
      <c r="SLP14" s="455"/>
      <c r="SLQ14" s="455"/>
      <c r="SLR14" s="455"/>
      <c r="SLS14" s="455"/>
      <c r="SLT14" s="1144"/>
      <c r="SLU14" s="1614"/>
      <c r="SLV14" s="455"/>
      <c r="SLW14" s="455"/>
      <c r="SLX14" s="455"/>
      <c r="SLY14" s="455"/>
      <c r="SLZ14" s="455"/>
      <c r="SMA14" s="455"/>
      <c r="SMB14" s="455"/>
      <c r="SMC14" s="455"/>
      <c r="SMD14" s="455"/>
      <c r="SME14" s="455"/>
      <c r="SMF14" s="1144"/>
      <c r="SMG14" s="1614"/>
      <c r="SMH14" s="455"/>
      <c r="SMI14" s="455"/>
      <c r="SMJ14" s="455"/>
      <c r="SMK14" s="455"/>
      <c r="SML14" s="455"/>
      <c r="SMM14" s="455"/>
      <c r="SMN14" s="455"/>
      <c r="SMO14" s="455"/>
      <c r="SMP14" s="455"/>
      <c r="SMQ14" s="455"/>
      <c r="SMR14" s="1144"/>
      <c r="SMS14" s="1614"/>
      <c r="SMT14" s="455"/>
      <c r="SMU14" s="455"/>
      <c r="SMV14" s="455"/>
      <c r="SMW14" s="455"/>
      <c r="SMX14" s="455"/>
      <c r="SMY14" s="455"/>
      <c r="SMZ14" s="455"/>
      <c r="SNA14" s="455"/>
      <c r="SNB14" s="455"/>
      <c r="SNC14" s="455"/>
      <c r="SND14" s="1144"/>
      <c r="SNE14" s="1614"/>
      <c r="SNF14" s="455"/>
      <c r="SNG14" s="455"/>
      <c r="SNH14" s="455"/>
      <c r="SNI14" s="455"/>
      <c r="SNJ14" s="455"/>
      <c r="SNK14" s="455"/>
      <c r="SNL14" s="455"/>
      <c r="SNM14" s="455"/>
      <c r="SNN14" s="455"/>
      <c r="SNO14" s="455"/>
      <c r="SNP14" s="1144"/>
      <c r="SNQ14" s="1614"/>
      <c r="SNR14" s="455"/>
      <c r="SNS14" s="455"/>
      <c r="SNT14" s="455"/>
      <c r="SNU14" s="455"/>
      <c r="SNV14" s="455"/>
      <c r="SNW14" s="455"/>
      <c r="SNX14" s="455"/>
      <c r="SNY14" s="455"/>
      <c r="SNZ14" s="455"/>
      <c r="SOA14" s="455"/>
      <c r="SOB14" s="1144"/>
      <c r="SOC14" s="1614"/>
      <c r="SOD14" s="455"/>
      <c r="SOE14" s="455"/>
      <c r="SOF14" s="455"/>
      <c r="SOG14" s="455"/>
      <c r="SOH14" s="455"/>
      <c r="SOI14" s="455"/>
      <c r="SOJ14" s="455"/>
      <c r="SOK14" s="455"/>
      <c r="SOL14" s="455"/>
      <c r="SOM14" s="455"/>
      <c r="SON14" s="1144"/>
      <c r="SOO14" s="1614"/>
      <c r="SOP14" s="455"/>
      <c r="SOQ14" s="455"/>
      <c r="SOR14" s="455"/>
      <c r="SOS14" s="455"/>
      <c r="SOT14" s="455"/>
      <c r="SOU14" s="455"/>
      <c r="SOV14" s="455"/>
      <c r="SOW14" s="455"/>
      <c r="SOX14" s="455"/>
      <c r="SOY14" s="455"/>
      <c r="SOZ14" s="1144"/>
      <c r="SPA14" s="1614"/>
      <c r="SPB14" s="455"/>
      <c r="SPC14" s="455"/>
      <c r="SPD14" s="455"/>
      <c r="SPE14" s="455"/>
      <c r="SPF14" s="455"/>
      <c r="SPG14" s="455"/>
      <c r="SPH14" s="455"/>
      <c r="SPI14" s="455"/>
      <c r="SPJ14" s="455"/>
      <c r="SPK14" s="455"/>
      <c r="SPL14" s="1144"/>
      <c r="SPM14" s="1614"/>
      <c r="SPN14" s="455"/>
      <c r="SPO14" s="455"/>
      <c r="SPP14" s="455"/>
      <c r="SPQ14" s="455"/>
      <c r="SPR14" s="455"/>
      <c r="SPS14" s="455"/>
      <c r="SPT14" s="455"/>
      <c r="SPU14" s="455"/>
      <c r="SPV14" s="455"/>
      <c r="SPW14" s="455"/>
      <c r="SPX14" s="1144"/>
      <c r="SPY14" s="1614"/>
      <c r="SPZ14" s="455"/>
      <c r="SQA14" s="455"/>
      <c r="SQB14" s="455"/>
      <c r="SQC14" s="455"/>
      <c r="SQD14" s="455"/>
      <c r="SQE14" s="455"/>
      <c r="SQF14" s="455"/>
      <c r="SQG14" s="455"/>
      <c r="SQH14" s="455"/>
      <c r="SQI14" s="455"/>
      <c r="SQJ14" s="1144"/>
      <c r="SQK14" s="1614"/>
      <c r="SQL14" s="455"/>
      <c r="SQM14" s="455"/>
      <c r="SQN14" s="455"/>
      <c r="SQO14" s="455"/>
      <c r="SQP14" s="455"/>
      <c r="SQQ14" s="455"/>
      <c r="SQR14" s="455"/>
      <c r="SQS14" s="455"/>
      <c r="SQT14" s="455"/>
      <c r="SQU14" s="455"/>
      <c r="SQV14" s="1144"/>
      <c r="SQW14" s="1614"/>
      <c r="SQX14" s="455"/>
      <c r="SQY14" s="455"/>
      <c r="SQZ14" s="455"/>
      <c r="SRA14" s="455"/>
      <c r="SRB14" s="455"/>
      <c r="SRC14" s="455"/>
      <c r="SRD14" s="455"/>
      <c r="SRE14" s="455"/>
      <c r="SRF14" s="455"/>
      <c r="SRG14" s="455"/>
      <c r="SRH14" s="1144"/>
      <c r="SRI14" s="1614"/>
      <c r="SRJ14" s="455"/>
      <c r="SRK14" s="455"/>
      <c r="SRL14" s="455"/>
      <c r="SRM14" s="455"/>
      <c r="SRN14" s="455"/>
      <c r="SRO14" s="455"/>
      <c r="SRP14" s="455"/>
      <c r="SRQ14" s="455"/>
      <c r="SRR14" s="455"/>
      <c r="SRS14" s="455"/>
      <c r="SRT14" s="1144"/>
      <c r="SRU14" s="1614"/>
      <c r="SRV14" s="455"/>
      <c r="SRW14" s="455"/>
      <c r="SRX14" s="455"/>
      <c r="SRY14" s="455"/>
      <c r="SRZ14" s="455"/>
      <c r="SSA14" s="455"/>
      <c r="SSB14" s="455"/>
      <c r="SSC14" s="455"/>
      <c r="SSD14" s="455"/>
      <c r="SSE14" s="455"/>
      <c r="SSF14" s="1144"/>
      <c r="SSG14" s="1614"/>
      <c r="SSH14" s="455"/>
      <c r="SSI14" s="455"/>
      <c r="SSJ14" s="455"/>
      <c r="SSK14" s="455"/>
      <c r="SSL14" s="455"/>
      <c r="SSM14" s="455"/>
      <c r="SSN14" s="455"/>
      <c r="SSO14" s="455"/>
      <c r="SSP14" s="455"/>
      <c r="SSQ14" s="455"/>
      <c r="SSR14" s="1144"/>
      <c r="SSS14" s="1614"/>
      <c r="SST14" s="455"/>
      <c r="SSU14" s="455"/>
      <c r="SSV14" s="455"/>
      <c r="SSW14" s="455"/>
      <c r="SSX14" s="455"/>
      <c r="SSY14" s="455"/>
      <c r="SSZ14" s="455"/>
      <c r="STA14" s="455"/>
      <c r="STB14" s="455"/>
      <c r="STC14" s="455"/>
      <c r="STD14" s="1144"/>
      <c r="STE14" s="1614"/>
      <c r="STF14" s="455"/>
      <c r="STG14" s="455"/>
      <c r="STH14" s="455"/>
      <c r="STI14" s="455"/>
      <c r="STJ14" s="455"/>
      <c r="STK14" s="455"/>
      <c r="STL14" s="455"/>
      <c r="STM14" s="455"/>
      <c r="STN14" s="455"/>
      <c r="STO14" s="455"/>
      <c r="STP14" s="1144"/>
      <c r="STQ14" s="1614"/>
      <c r="STR14" s="455"/>
      <c r="STS14" s="455"/>
      <c r="STT14" s="455"/>
      <c r="STU14" s="455"/>
      <c r="STV14" s="455"/>
      <c r="STW14" s="455"/>
      <c r="STX14" s="455"/>
      <c r="STY14" s="455"/>
      <c r="STZ14" s="455"/>
      <c r="SUA14" s="455"/>
      <c r="SUB14" s="1144"/>
      <c r="SUC14" s="1614"/>
      <c r="SUD14" s="455"/>
      <c r="SUE14" s="455"/>
      <c r="SUF14" s="455"/>
      <c r="SUG14" s="455"/>
      <c r="SUH14" s="455"/>
      <c r="SUI14" s="455"/>
      <c r="SUJ14" s="455"/>
      <c r="SUK14" s="455"/>
      <c r="SUL14" s="455"/>
      <c r="SUM14" s="455"/>
      <c r="SUN14" s="1144"/>
      <c r="SUO14" s="1614"/>
      <c r="SUP14" s="455"/>
      <c r="SUQ14" s="455"/>
      <c r="SUR14" s="455"/>
      <c r="SUS14" s="455"/>
      <c r="SUT14" s="455"/>
      <c r="SUU14" s="455"/>
      <c r="SUV14" s="455"/>
      <c r="SUW14" s="455"/>
      <c r="SUX14" s="455"/>
      <c r="SUY14" s="455"/>
      <c r="SUZ14" s="1144"/>
      <c r="SVA14" s="1614"/>
      <c r="SVB14" s="455"/>
      <c r="SVC14" s="455"/>
      <c r="SVD14" s="455"/>
      <c r="SVE14" s="455"/>
      <c r="SVF14" s="455"/>
      <c r="SVG14" s="455"/>
      <c r="SVH14" s="455"/>
      <c r="SVI14" s="455"/>
      <c r="SVJ14" s="455"/>
      <c r="SVK14" s="455"/>
      <c r="SVL14" s="1144"/>
      <c r="SVM14" s="1614"/>
      <c r="SVN14" s="455"/>
      <c r="SVO14" s="455"/>
      <c r="SVP14" s="455"/>
      <c r="SVQ14" s="455"/>
      <c r="SVR14" s="455"/>
      <c r="SVS14" s="455"/>
      <c r="SVT14" s="455"/>
      <c r="SVU14" s="455"/>
      <c r="SVV14" s="455"/>
      <c r="SVW14" s="455"/>
      <c r="SVX14" s="1144"/>
      <c r="SVY14" s="1614"/>
      <c r="SVZ14" s="455"/>
      <c r="SWA14" s="455"/>
      <c r="SWB14" s="455"/>
      <c r="SWC14" s="455"/>
      <c r="SWD14" s="455"/>
      <c r="SWE14" s="455"/>
      <c r="SWF14" s="455"/>
      <c r="SWG14" s="455"/>
      <c r="SWH14" s="455"/>
      <c r="SWI14" s="455"/>
      <c r="SWJ14" s="1144"/>
      <c r="SWK14" s="1614"/>
      <c r="SWL14" s="455"/>
      <c r="SWM14" s="455"/>
      <c r="SWN14" s="455"/>
      <c r="SWO14" s="455"/>
      <c r="SWP14" s="455"/>
      <c r="SWQ14" s="455"/>
      <c r="SWR14" s="455"/>
      <c r="SWS14" s="455"/>
      <c r="SWT14" s="455"/>
      <c r="SWU14" s="455"/>
      <c r="SWV14" s="1144"/>
      <c r="SWW14" s="1614"/>
      <c r="SWX14" s="455"/>
      <c r="SWY14" s="455"/>
      <c r="SWZ14" s="455"/>
      <c r="SXA14" s="455"/>
      <c r="SXB14" s="455"/>
      <c r="SXC14" s="455"/>
      <c r="SXD14" s="455"/>
      <c r="SXE14" s="455"/>
      <c r="SXF14" s="455"/>
      <c r="SXG14" s="455"/>
      <c r="SXH14" s="1144"/>
      <c r="SXI14" s="1614"/>
      <c r="SXJ14" s="455"/>
      <c r="SXK14" s="455"/>
      <c r="SXL14" s="455"/>
      <c r="SXM14" s="455"/>
      <c r="SXN14" s="455"/>
      <c r="SXO14" s="455"/>
      <c r="SXP14" s="455"/>
      <c r="SXQ14" s="455"/>
      <c r="SXR14" s="455"/>
      <c r="SXS14" s="455"/>
      <c r="SXT14" s="1144"/>
      <c r="SXU14" s="1614"/>
      <c r="SXV14" s="455"/>
      <c r="SXW14" s="455"/>
      <c r="SXX14" s="455"/>
      <c r="SXY14" s="455"/>
      <c r="SXZ14" s="455"/>
      <c r="SYA14" s="455"/>
      <c r="SYB14" s="455"/>
      <c r="SYC14" s="455"/>
      <c r="SYD14" s="455"/>
      <c r="SYE14" s="455"/>
      <c r="SYF14" s="1144"/>
      <c r="SYG14" s="1614"/>
      <c r="SYH14" s="455"/>
      <c r="SYI14" s="455"/>
      <c r="SYJ14" s="455"/>
      <c r="SYK14" s="455"/>
      <c r="SYL14" s="455"/>
      <c r="SYM14" s="455"/>
      <c r="SYN14" s="455"/>
      <c r="SYO14" s="455"/>
      <c r="SYP14" s="455"/>
      <c r="SYQ14" s="455"/>
      <c r="SYR14" s="1144"/>
      <c r="SYS14" s="1614"/>
      <c r="SYT14" s="455"/>
      <c r="SYU14" s="455"/>
      <c r="SYV14" s="455"/>
      <c r="SYW14" s="455"/>
      <c r="SYX14" s="455"/>
      <c r="SYY14" s="455"/>
      <c r="SYZ14" s="455"/>
      <c r="SZA14" s="455"/>
      <c r="SZB14" s="455"/>
      <c r="SZC14" s="455"/>
      <c r="SZD14" s="1144"/>
      <c r="SZE14" s="1614"/>
      <c r="SZF14" s="455"/>
      <c r="SZG14" s="455"/>
      <c r="SZH14" s="455"/>
      <c r="SZI14" s="455"/>
      <c r="SZJ14" s="455"/>
      <c r="SZK14" s="455"/>
      <c r="SZL14" s="455"/>
      <c r="SZM14" s="455"/>
      <c r="SZN14" s="455"/>
      <c r="SZO14" s="455"/>
      <c r="SZP14" s="1144"/>
      <c r="SZQ14" s="1614"/>
      <c r="SZR14" s="455"/>
      <c r="SZS14" s="455"/>
      <c r="SZT14" s="455"/>
      <c r="SZU14" s="455"/>
      <c r="SZV14" s="455"/>
      <c r="SZW14" s="455"/>
      <c r="SZX14" s="455"/>
      <c r="SZY14" s="455"/>
      <c r="SZZ14" s="455"/>
      <c r="TAA14" s="455"/>
      <c r="TAB14" s="1144"/>
      <c r="TAC14" s="1614"/>
      <c r="TAD14" s="455"/>
      <c r="TAE14" s="455"/>
      <c r="TAF14" s="455"/>
      <c r="TAG14" s="455"/>
      <c r="TAH14" s="455"/>
      <c r="TAI14" s="455"/>
      <c r="TAJ14" s="455"/>
      <c r="TAK14" s="455"/>
      <c r="TAL14" s="455"/>
      <c r="TAM14" s="455"/>
      <c r="TAN14" s="1144"/>
      <c r="TAO14" s="1614"/>
      <c r="TAP14" s="455"/>
      <c r="TAQ14" s="455"/>
      <c r="TAR14" s="455"/>
      <c r="TAS14" s="455"/>
      <c r="TAT14" s="455"/>
      <c r="TAU14" s="455"/>
      <c r="TAV14" s="455"/>
      <c r="TAW14" s="455"/>
      <c r="TAX14" s="455"/>
      <c r="TAY14" s="455"/>
      <c r="TAZ14" s="1144"/>
      <c r="TBA14" s="1614"/>
      <c r="TBB14" s="455"/>
      <c r="TBC14" s="455"/>
      <c r="TBD14" s="455"/>
      <c r="TBE14" s="455"/>
      <c r="TBF14" s="455"/>
      <c r="TBG14" s="455"/>
      <c r="TBH14" s="455"/>
      <c r="TBI14" s="455"/>
      <c r="TBJ14" s="455"/>
      <c r="TBK14" s="455"/>
      <c r="TBL14" s="1144"/>
      <c r="TBM14" s="1614"/>
      <c r="TBN14" s="455"/>
      <c r="TBO14" s="455"/>
      <c r="TBP14" s="455"/>
      <c r="TBQ14" s="455"/>
      <c r="TBR14" s="455"/>
      <c r="TBS14" s="455"/>
      <c r="TBT14" s="455"/>
      <c r="TBU14" s="455"/>
      <c r="TBV14" s="455"/>
      <c r="TBW14" s="455"/>
      <c r="TBX14" s="1144"/>
      <c r="TBY14" s="1614"/>
      <c r="TBZ14" s="455"/>
      <c r="TCA14" s="455"/>
      <c r="TCB14" s="455"/>
      <c r="TCC14" s="455"/>
      <c r="TCD14" s="455"/>
      <c r="TCE14" s="455"/>
      <c r="TCF14" s="455"/>
      <c r="TCG14" s="455"/>
      <c r="TCH14" s="455"/>
      <c r="TCI14" s="455"/>
      <c r="TCJ14" s="1144"/>
      <c r="TCK14" s="1614"/>
      <c r="TCL14" s="455"/>
      <c r="TCM14" s="455"/>
      <c r="TCN14" s="455"/>
      <c r="TCO14" s="455"/>
      <c r="TCP14" s="455"/>
      <c r="TCQ14" s="455"/>
      <c r="TCR14" s="455"/>
      <c r="TCS14" s="455"/>
      <c r="TCT14" s="455"/>
      <c r="TCU14" s="455"/>
      <c r="TCV14" s="1144"/>
      <c r="TCW14" s="1614"/>
      <c r="TCX14" s="455"/>
      <c r="TCY14" s="455"/>
      <c r="TCZ14" s="455"/>
      <c r="TDA14" s="455"/>
      <c r="TDB14" s="455"/>
      <c r="TDC14" s="455"/>
      <c r="TDD14" s="455"/>
      <c r="TDE14" s="455"/>
      <c r="TDF14" s="455"/>
      <c r="TDG14" s="455"/>
      <c r="TDH14" s="1144"/>
      <c r="TDI14" s="1614"/>
      <c r="TDJ14" s="455"/>
      <c r="TDK14" s="455"/>
      <c r="TDL14" s="455"/>
      <c r="TDM14" s="455"/>
      <c r="TDN14" s="455"/>
      <c r="TDO14" s="455"/>
      <c r="TDP14" s="455"/>
      <c r="TDQ14" s="455"/>
      <c r="TDR14" s="455"/>
      <c r="TDS14" s="455"/>
      <c r="TDT14" s="1144"/>
      <c r="TDU14" s="1614"/>
      <c r="TDV14" s="455"/>
      <c r="TDW14" s="455"/>
      <c r="TDX14" s="455"/>
      <c r="TDY14" s="455"/>
      <c r="TDZ14" s="455"/>
      <c r="TEA14" s="455"/>
      <c r="TEB14" s="455"/>
      <c r="TEC14" s="455"/>
      <c r="TED14" s="455"/>
      <c r="TEE14" s="455"/>
      <c r="TEF14" s="1144"/>
      <c r="TEG14" s="1614"/>
      <c r="TEH14" s="455"/>
      <c r="TEI14" s="455"/>
      <c r="TEJ14" s="455"/>
      <c r="TEK14" s="455"/>
      <c r="TEL14" s="455"/>
      <c r="TEM14" s="455"/>
      <c r="TEN14" s="455"/>
      <c r="TEO14" s="455"/>
      <c r="TEP14" s="455"/>
      <c r="TEQ14" s="455"/>
      <c r="TER14" s="1144"/>
      <c r="TES14" s="1614"/>
      <c r="TET14" s="455"/>
      <c r="TEU14" s="455"/>
      <c r="TEV14" s="455"/>
      <c r="TEW14" s="455"/>
      <c r="TEX14" s="455"/>
      <c r="TEY14" s="455"/>
      <c r="TEZ14" s="455"/>
      <c r="TFA14" s="455"/>
      <c r="TFB14" s="455"/>
      <c r="TFC14" s="455"/>
      <c r="TFD14" s="1144"/>
      <c r="TFE14" s="1614"/>
      <c r="TFF14" s="455"/>
      <c r="TFG14" s="455"/>
      <c r="TFH14" s="455"/>
      <c r="TFI14" s="455"/>
      <c r="TFJ14" s="455"/>
      <c r="TFK14" s="455"/>
      <c r="TFL14" s="455"/>
      <c r="TFM14" s="455"/>
      <c r="TFN14" s="455"/>
      <c r="TFO14" s="455"/>
      <c r="TFP14" s="1144"/>
      <c r="TFQ14" s="1614"/>
      <c r="TFR14" s="455"/>
      <c r="TFS14" s="455"/>
      <c r="TFT14" s="455"/>
      <c r="TFU14" s="455"/>
      <c r="TFV14" s="455"/>
      <c r="TFW14" s="455"/>
      <c r="TFX14" s="455"/>
      <c r="TFY14" s="455"/>
      <c r="TFZ14" s="455"/>
      <c r="TGA14" s="455"/>
      <c r="TGB14" s="1144"/>
      <c r="TGC14" s="1614"/>
      <c r="TGD14" s="455"/>
      <c r="TGE14" s="455"/>
      <c r="TGF14" s="455"/>
      <c r="TGG14" s="455"/>
      <c r="TGH14" s="455"/>
      <c r="TGI14" s="455"/>
      <c r="TGJ14" s="455"/>
      <c r="TGK14" s="455"/>
      <c r="TGL14" s="455"/>
      <c r="TGM14" s="455"/>
      <c r="TGN14" s="1144"/>
      <c r="TGO14" s="1614"/>
      <c r="TGP14" s="455"/>
      <c r="TGQ14" s="455"/>
      <c r="TGR14" s="455"/>
      <c r="TGS14" s="455"/>
      <c r="TGT14" s="455"/>
      <c r="TGU14" s="455"/>
      <c r="TGV14" s="455"/>
      <c r="TGW14" s="455"/>
      <c r="TGX14" s="455"/>
      <c r="TGY14" s="455"/>
      <c r="TGZ14" s="1144"/>
      <c r="THA14" s="1614"/>
      <c r="THB14" s="455"/>
      <c r="THC14" s="455"/>
      <c r="THD14" s="455"/>
      <c r="THE14" s="455"/>
      <c r="THF14" s="455"/>
      <c r="THG14" s="455"/>
      <c r="THH14" s="455"/>
      <c r="THI14" s="455"/>
      <c r="THJ14" s="455"/>
      <c r="THK14" s="455"/>
      <c r="THL14" s="1144"/>
      <c r="THM14" s="1614"/>
      <c r="THN14" s="455"/>
      <c r="THO14" s="455"/>
      <c r="THP14" s="455"/>
      <c r="THQ14" s="455"/>
      <c r="THR14" s="455"/>
      <c r="THS14" s="455"/>
      <c r="THT14" s="455"/>
      <c r="THU14" s="455"/>
      <c r="THV14" s="455"/>
      <c r="THW14" s="455"/>
      <c r="THX14" s="1144"/>
      <c r="THY14" s="1614"/>
      <c r="THZ14" s="455"/>
      <c r="TIA14" s="455"/>
      <c r="TIB14" s="455"/>
      <c r="TIC14" s="455"/>
      <c r="TID14" s="455"/>
      <c r="TIE14" s="455"/>
      <c r="TIF14" s="455"/>
      <c r="TIG14" s="455"/>
      <c r="TIH14" s="455"/>
      <c r="TII14" s="455"/>
      <c r="TIJ14" s="1144"/>
      <c r="TIK14" s="1614"/>
      <c r="TIL14" s="455"/>
      <c r="TIM14" s="455"/>
      <c r="TIN14" s="455"/>
      <c r="TIO14" s="455"/>
      <c r="TIP14" s="455"/>
      <c r="TIQ14" s="455"/>
      <c r="TIR14" s="455"/>
      <c r="TIS14" s="455"/>
      <c r="TIT14" s="455"/>
      <c r="TIU14" s="455"/>
      <c r="TIV14" s="1144"/>
      <c r="TIW14" s="1614"/>
      <c r="TIX14" s="455"/>
      <c r="TIY14" s="455"/>
      <c r="TIZ14" s="455"/>
      <c r="TJA14" s="455"/>
      <c r="TJB14" s="455"/>
      <c r="TJC14" s="455"/>
      <c r="TJD14" s="455"/>
      <c r="TJE14" s="455"/>
      <c r="TJF14" s="455"/>
      <c r="TJG14" s="455"/>
      <c r="TJH14" s="1144"/>
      <c r="TJI14" s="1614"/>
      <c r="TJJ14" s="455"/>
      <c r="TJK14" s="455"/>
      <c r="TJL14" s="455"/>
      <c r="TJM14" s="455"/>
      <c r="TJN14" s="455"/>
      <c r="TJO14" s="455"/>
      <c r="TJP14" s="455"/>
      <c r="TJQ14" s="455"/>
      <c r="TJR14" s="455"/>
      <c r="TJS14" s="455"/>
      <c r="TJT14" s="1144"/>
      <c r="TJU14" s="1614"/>
      <c r="TJV14" s="455"/>
      <c r="TJW14" s="455"/>
      <c r="TJX14" s="455"/>
      <c r="TJY14" s="455"/>
      <c r="TJZ14" s="455"/>
      <c r="TKA14" s="455"/>
      <c r="TKB14" s="455"/>
      <c r="TKC14" s="455"/>
      <c r="TKD14" s="455"/>
      <c r="TKE14" s="455"/>
      <c r="TKF14" s="1144"/>
      <c r="TKG14" s="1614"/>
      <c r="TKH14" s="455"/>
      <c r="TKI14" s="455"/>
      <c r="TKJ14" s="455"/>
      <c r="TKK14" s="455"/>
      <c r="TKL14" s="455"/>
      <c r="TKM14" s="455"/>
      <c r="TKN14" s="455"/>
      <c r="TKO14" s="455"/>
      <c r="TKP14" s="455"/>
      <c r="TKQ14" s="455"/>
      <c r="TKR14" s="1144"/>
      <c r="TKS14" s="1614"/>
      <c r="TKT14" s="455"/>
      <c r="TKU14" s="455"/>
      <c r="TKV14" s="455"/>
      <c r="TKW14" s="455"/>
      <c r="TKX14" s="455"/>
      <c r="TKY14" s="455"/>
      <c r="TKZ14" s="455"/>
      <c r="TLA14" s="455"/>
      <c r="TLB14" s="455"/>
      <c r="TLC14" s="455"/>
      <c r="TLD14" s="1144"/>
      <c r="TLE14" s="1614"/>
      <c r="TLF14" s="455"/>
      <c r="TLG14" s="455"/>
      <c r="TLH14" s="455"/>
      <c r="TLI14" s="455"/>
      <c r="TLJ14" s="455"/>
      <c r="TLK14" s="455"/>
      <c r="TLL14" s="455"/>
      <c r="TLM14" s="455"/>
      <c r="TLN14" s="455"/>
      <c r="TLO14" s="455"/>
      <c r="TLP14" s="1144"/>
      <c r="TLQ14" s="1614"/>
      <c r="TLR14" s="455"/>
      <c r="TLS14" s="455"/>
      <c r="TLT14" s="455"/>
      <c r="TLU14" s="455"/>
      <c r="TLV14" s="455"/>
      <c r="TLW14" s="455"/>
      <c r="TLX14" s="455"/>
      <c r="TLY14" s="455"/>
      <c r="TLZ14" s="455"/>
      <c r="TMA14" s="455"/>
      <c r="TMB14" s="1144"/>
      <c r="TMC14" s="1614"/>
      <c r="TMD14" s="455"/>
      <c r="TME14" s="455"/>
      <c r="TMF14" s="455"/>
      <c r="TMG14" s="455"/>
      <c r="TMH14" s="455"/>
      <c r="TMI14" s="455"/>
      <c r="TMJ14" s="455"/>
      <c r="TMK14" s="455"/>
      <c r="TML14" s="455"/>
      <c r="TMM14" s="455"/>
      <c r="TMN14" s="1144"/>
      <c r="TMO14" s="1614"/>
      <c r="TMP14" s="455"/>
      <c r="TMQ14" s="455"/>
      <c r="TMR14" s="455"/>
      <c r="TMS14" s="455"/>
      <c r="TMT14" s="455"/>
      <c r="TMU14" s="455"/>
      <c r="TMV14" s="455"/>
      <c r="TMW14" s="455"/>
      <c r="TMX14" s="455"/>
      <c r="TMY14" s="455"/>
      <c r="TMZ14" s="1144"/>
      <c r="TNA14" s="1614"/>
      <c r="TNB14" s="455"/>
      <c r="TNC14" s="455"/>
      <c r="TND14" s="455"/>
      <c r="TNE14" s="455"/>
      <c r="TNF14" s="455"/>
      <c r="TNG14" s="455"/>
      <c r="TNH14" s="455"/>
      <c r="TNI14" s="455"/>
      <c r="TNJ14" s="455"/>
      <c r="TNK14" s="455"/>
      <c r="TNL14" s="1144"/>
      <c r="TNM14" s="1614"/>
      <c r="TNN14" s="455"/>
      <c r="TNO14" s="455"/>
      <c r="TNP14" s="455"/>
      <c r="TNQ14" s="455"/>
      <c r="TNR14" s="455"/>
      <c r="TNS14" s="455"/>
      <c r="TNT14" s="455"/>
      <c r="TNU14" s="455"/>
      <c r="TNV14" s="455"/>
      <c r="TNW14" s="455"/>
      <c r="TNX14" s="1144"/>
      <c r="TNY14" s="1614"/>
      <c r="TNZ14" s="455"/>
      <c r="TOA14" s="455"/>
      <c r="TOB14" s="455"/>
      <c r="TOC14" s="455"/>
      <c r="TOD14" s="455"/>
      <c r="TOE14" s="455"/>
      <c r="TOF14" s="455"/>
      <c r="TOG14" s="455"/>
      <c r="TOH14" s="455"/>
      <c r="TOI14" s="455"/>
      <c r="TOJ14" s="1144"/>
      <c r="TOK14" s="1614"/>
      <c r="TOL14" s="455"/>
      <c r="TOM14" s="455"/>
      <c r="TON14" s="455"/>
      <c r="TOO14" s="455"/>
      <c r="TOP14" s="455"/>
      <c r="TOQ14" s="455"/>
      <c r="TOR14" s="455"/>
      <c r="TOS14" s="455"/>
      <c r="TOT14" s="455"/>
      <c r="TOU14" s="455"/>
      <c r="TOV14" s="1144"/>
      <c r="TOW14" s="1614"/>
      <c r="TOX14" s="455"/>
      <c r="TOY14" s="455"/>
      <c r="TOZ14" s="455"/>
      <c r="TPA14" s="455"/>
      <c r="TPB14" s="455"/>
      <c r="TPC14" s="455"/>
      <c r="TPD14" s="455"/>
      <c r="TPE14" s="455"/>
      <c r="TPF14" s="455"/>
      <c r="TPG14" s="455"/>
      <c r="TPH14" s="1144"/>
      <c r="TPI14" s="1614"/>
      <c r="TPJ14" s="455"/>
      <c r="TPK14" s="455"/>
      <c r="TPL14" s="455"/>
      <c r="TPM14" s="455"/>
      <c r="TPN14" s="455"/>
      <c r="TPO14" s="455"/>
      <c r="TPP14" s="455"/>
      <c r="TPQ14" s="455"/>
      <c r="TPR14" s="455"/>
      <c r="TPS14" s="455"/>
      <c r="TPT14" s="1144"/>
      <c r="TPU14" s="1614"/>
      <c r="TPV14" s="455"/>
      <c r="TPW14" s="455"/>
      <c r="TPX14" s="455"/>
      <c r="TPY14" s="455"/>
      <c r="TPZ14" s="455"/>
      <c r="TQA14" s="455"/>
      <c r="TQB14" s="455"/>
      <c r="TQC14" s="455"/>
      <c r="TQD14" s="455"/>
      <c r="TQE14" s="455"/>
      <c r="TQF14" s="1144"/>
      <c r="TQG14" s="1614"/>
      <c r="TQH14" s="455"/>
      <c r="TQI14" s="455"/>
      <c r="TQJ14" s="455"/>
      <c r="TQK14" s="455"/>
      <c r="TQL14" s="455"/>
      <c r="TQM14" s="455"/>
      <c r="TQN14" s="455"/>
      <c r="TQO14" s="455"/>
      <c r="TQP14" s="455"/>
      <c r="TQQ14" s="455"/>
      <c r="TQR14" s="1144"/>
      <c r="TQS14" s="1614"/>
      <c r="TQT14" s="455"/>
      <c r="TQU14" s="455"/>
      <c r="TQV14" s="455"/>
      <c r="TQW14" s="455"/>
      <c r="TQX14" s="455"/>
      <c r="TQY14" s="455"/>
      <c r="TQZ14" s="455"/>
      <c r="TRA14" s="455"/>
      <c r="TRB14" s="455"/>
      <c r="TRC14" s="455"/>
      <c r="TRD14" s="1144"/>
      <c r="TRE14" s="1614"/>
      <c r="TRF14" s="455"/>
      <c r="TRG14" s="455"/>
      <c r="TRH14" s="455"/>
      <c r="TRI14" s="455"/>
      <c r="TRJ14" s="455"/>
      <c r="TRK14" s="455"/>
      <c r="TRL14" s="455"/>
      <c r="TRM14" s="455"/>
      <c r="TRN14" s="455"/>
      <c r="TRO14" s="455"/>
      <c r="TRP14" s="1144"/>
      <c r="TRQ14" s="1614"/>
      <c r="TRR14" s="455"/>
      <c r="TRS14" s="455"/>
      <c r="TRT14" s="455"/>
      <c r="TRU14" s="455"/>
      <c r="TRV14" s="455"/>
      <c r="TRW14" s="455"/>
      <c r="TRX14" s="455"/>
      <c r="TRY14" s="455"/>
      <c r="TRZ14" s="455"/>
      <c r="TSA14" s="455"/>
      <c r="TSB14" s="1144"/>
      <c r="TSC14" s="1614"/>
      <c r="TSD14" s="455"/>
      <c r="TSE14" s="455"/>
      <c r="TSF14" s="455"/>
      <c r="TSG14" s="455"/>
      <c r="TSH14" s="455"/>
      <c r="TSI14" s="455"/>
      <c r="TSJ14" s="455"/>
      <c r="TSK14" s="455"/>
      <c r="TSL14" s="455"/>
      <c r="TSM14" s="455"/>
      <c r="TSN14" s="1144"/>
      <c r="TSO14" s="1614"/>
      <c r="TSP14" s="455"/>
      <c r="TSQ14" s="455"/>
      <c r="TSR14" s="455"/>
      <c r="TSS14" s="455"/>
      <c r="TST14" s="455"/>
      <c r="TSU14" s="455"/>
      <c r="TSV14" s="455"/>
      <c r="TSW14" s="455"/>
      <c r="TSX14" s="455"/>
      <c r="TSY14" s="455"/>
      <c r="TSZ14" s="1144"/>
      <c r="TTA14" s="1614"/>
      <c r="TTB14" s="455"/>
      <c r="TTC14" s="455"/>
      <c r="TTD14" s="455"/>
      <c r="TTE14" s="455"/>
      <c r="TTF14" s="455"/>
      <c r="TTG14" s="455"/>
      <c r="TTH14" s="455"/>
      <c r="TTI14" s="455"/>
      <c r="TTJ14" s="455"/>
      <c r="TTK14" s="455"/>
      <c r="TTL14" s="1144"/>
      <c r="TTM14" s="1614"/>
      <c r="TTN14" s="455"/>
      <c r="TTO14" s="455"/>
      <c r="TTP14" s="455"/>
      <c r="TTQ14" s="455"/>
      <c r="TTR14" s="455"/>
      <c r="TTS14" s="455"/>
      <c r="TTT14" s="455"/>
      <c r="TTU14" s="455"/>
      <c r="TTV14" s="455"/>
      <c r="TTW14" s="455"/>
      <c r="TTX14" s="1144"/>
      <c r="TTY14" s="1614"/>
      <c r="TTZ14" s="455"/>
      <c r="TUA14" s="455"/>
      <c r="TUB14" s="455"/>
      <c r="TUC14" s="455"/>
      <c r="TUD14" s="455"/>
      <c r="TUE14" s="455"/>
      <c r="TUF14" s="455"/>
      <c r="TUG14" s="455"/>
      <c r="TUH14" s="455"/>
      <c r="TUI14" s="455"/>
      <c r="TUJ14" s="1144"/>
      <c r="TUK14" s="1614"/>
      <c r="TUL14" s="455"/>
      <c r="TUM14" s="455"/>
      <c r="TUN14" s="455"/>
      <c r="TUO14" s="455"/>
      <c r="TUP14" s="455"/>
      <c r="TUQ14" s="455"/>
      <c r="TUR14" s="455"/>
      <c r="TUS14" s="455"/>
      <c r="TUT14" s="455"/>
      <c r="TUU14" s="455"/>
      <c r="TUV14" s="1144"/>
      <c r="TUW14" s="1614"/>
      <c r="TUX14" s="455"/>
      <c r="TUY14" s="455"/>
      <c r="TUZ14" s="455"/>
      <c r="TVA14" s="455"/>
      <c r="TVB14" s="455"/>
      <c r="TVC14" s="455"/>
      <c r="TVD14" s="455"/>
      <c r="TVE14" s="455"/>
      <c r="TVF14" s="455"/>
      <c r="TVG14" s="455"/>
      <c r="TVH14" s="1144"/>
      <c r="TVI14" s="1614"/>
      <c r="TVJ14" s="455"/>
      <c r="TVK14" s="455"/>
      <c r="TVL14" s="455"/>
      <c r="TVM14" s="455"/>
      <c r="TVN14" s="455"/>
      <c r="TVO14" s="455"/>
      <c r="TVP14" s="455"/>
      <c r="TVQ14" s="455"/>
      <c r="TVR14" s="455"/>
      <c r="TVS14" s="455"/>
      <c r="TVT14" s="1144"/>
      <c r="TVU14" s="1614"/>
      <c r="TVV14" s="455"/>
      <c r="TVW14" s="455"/>
      <c r="TVX14" s="455"/>
      <c r="TVY14" s="455"/>
      <c r="TVZ14" s="455"/>
      <c r="TWA14" s="455"/>
      <c r="TWB14" s="455"/>
      <c r="TWC14" s="455"/>
      <c r="TWD14" s="455"/>
      <c r="TWE14" s="455"/>
      <c r="TWF14" s="1144"/>
      <c r="TWG14" s="1614"/>
      <c r="TWH14" s="455"/>
      <c r="TWI14" s="455"/>
      <c r="TWJ14" s="455"/>
      <c r="TWK14" s="455"/>
      <c r="TWL14" s="455"/>
      <c r="TWM14" s="455"/>
      <c r="TWN14" s="455"/>
      <c r="TWO14" s="455"/>
      <c r="TWP14" s="455"/>
      <c r="TWQ14" s="455"/>
      <c r="TWR14" s="1144"/>
      <c r="TWS14" s="1614"/>
      <c r="TWT14" s="455"/>
      <c r="TWU14" s="455"/>
      <c r="TWV14" s="455"/>
      <c r="TWW14" s="455"/>
      <c r="TWX14" s="455"/>
      <c r="TWY14" s="455"/>
      <c r="TWZ14" s="455"/>
      <c r="TXA14" s="455"/>
      <c r="TXB14" s="455"/>
      <c r="TXC14" s="455"/>
      <c r="TXD14" s="1144"/>
      <c r="TXE14" s="1614"/>
      <c r="TXF14" s="455"/>
      <c r="TXG14" s="455"/>
      <c r="TXH14" s="455"/>
      <c r="TXI14" s="455"/>
      <c r="TXJ14" s="455"/>
      <c r="TXK14" s="455"/>
      <c r="TXL14" s="455"/>
      <c r="TXM14" s="455"/>
      <c r="TXN14" s="455"/>
      <c r="TXO14" s="455"/>
      <c r="TXP14" s="1144"/>
      <c r="TXQ14" s="1614"/>
      <c r="TXR14" s="455"/>
      <c r="TXS14" s="455"/>
      <c r="TXT14" s="455"/>
      <c r="TXU14" s="455"/>
      <c r="TXV14" s="455"/>
      <c r="TXW14" s="455"/>
      <c r="TXX14" s="455"/>
      <c r="TXY14" s="455"/>
      <c r="TXZ14" s="455"/>
      <c r="TYA14" s="455"/>
      <c r="TYB14" s="1144"/>
      <c r="TYC14" s="1614"/>
      <c r="TYD14" s="455"/>
      <c r="TYE14" s="455"/>
      <c r="TYF14" s="455"/>
      <c r="TYG14" s="455"/>
      <c r="TYH14" s="455"/>
      <c r="TYI14" s="455"/>
      <c r="TYJ14" s="455"/>
      <c r="TYK14" s="455"/>
      <c r="TYL14" s="455"/>
      <c r="TYM14" s="455"/>
      <c r="TYN14" s="1144"/>
      <c r="TYO14" s="1614"/>
      <c r="TYP14" s="455"/>
      <c r="TYQ14" s="455"/>
      <c r="TYR14" s="455"/>
      <c r="TYS14" s="455"/>
      <c r="TYT14" s="455"/>
      <c r="TYU14" s="455"/>
      <c r="TYV14" s="455"/>
      <c r="TYW14" s="455"/>
      <c r="TYX14" s="455"/>
      <c r="TYY14" s="455"/>
      <c r="TYZ14" s="1144"/>
      <c r="TZA14" s="1614"/>
      <c r="TZB14" s="455"/>
      <c r="TZC14" s="455"/>
      <c r="TZD14" s="455"/>
      <c r="TZE14" s="455"/>
      <c r="TZF14" s="455"/>
      <c r="TZG14" s="455"/>
      <c r="TZH14" s="455"/>
      <c r="TZI14" s="455"/>
      <c r="TZJ14" s="455"/>
      <c r="TZK14" s="455"/>
      <c r="TZL14" s="1144"/>
      <c r="TZM14" s="1614"/>
      <c r="TZN14" s="455"/>
      <c r="TZO14" s="455"/>
      <c r="TZP14" s="455"/>
      <c r="TZQ14" s="455"/>
      <c r="TZR14" s="455"/>
      <c r="TZS14" s="455"/>
      <c r="TZT14" s="455"/>
      <c r="TZU14" s="455"/>
      <c r="TZV14" s="455"/>
      <c r="TZW14" s="455"/>
      <c r="TZX14" s="1144"/>
      <c r="TZY14" s="1614"/>
      <c r="TZZ14" s="455"/>
      <c r="UAA14" s="455"/>
      <c r="UAB14" s="455"/>
      <c r="UAC14" s="455"/>
      <c r="UAD14" s="455"/>
      <c r="UAE14" s="455"/>
      <c r="UAF14" s="455"/>
      <c r="UAG14" s="455"/>
      <c r="UAH14" s="455"/>
      <c r="UAI14" s="455"/>
      <c r="UAJ14" s="1144"/>
      <c r="UAK14" s="1614"/>
      <c r="UAL14" s="455"/>
      <c r="UAM14" s="455"/>
      <c r="UAN14" s="455"/>
      <c r="UAO14" s="455"/>
      <c r="UAP14" s="455"/>
      <c r="UAQ14" s="455"/>
      <c r="UAR14" s="455"/>
      <c r="UAS14" s="455"/>
      <c r="UAT14" s="455"/>
      <c r="UAU14" s="455"/>
      <c r="UAV14" s="1144"/>
      <c r="UAW14" s="1614"/>
      <c r="UAX14" s="455"/>
      <c r="UAY14" s="455"/>
      <c r="UAZ14" s="455"/>
      <c r="UBA14" s="455"/>
      <c r="UBB14" s="455"/>
      <c r="UBC14" s="455"/>
      <c r="UBD14" s="455"/>
      <c r="UBE14" s="455"/>
      <c r="UBF14" s="455"/>
      <c r="UBG14" s="455"/>
      <c r="UBH14" s="1144"/>
      <c r="UBI14" s="1614"/>
      <c r="UBJ14" s="455"/>
      <c r="UBK14" s="455"/>
      <c r="UBL14" s="455"/>
      <c r="UBM14" s="455"/>
      <c r="UBN14" s="455"/>
      <c r="UBO14" s="455"/>
      <c r="UBP14" s="455"/>
      <c r="UBQ14" s="455"/>
      <c r="UBR14" s="455"/>
      <c r="UBS14" s="455"/>
      <c r="UBT14" s="1144"/>
      <c r="UBU14" s="1614"/>
      <c r="UBV14" s="455"/>
      <c r="UBW14" s="455"/>
      <c r="UBX14" s="455"/>
      <c r="UBY14" s="455"/>
      <c r="UBZ14" s="455"/>
      <c r="UCA14" s="455"/>
      <c r="UCB14" s="455"/>
      <c r="UCC14" s="455"/>
      <c r="UCD14" s="455"/>
      <c r="UCE14" s="455"/>
      <c r="UCF14" s="1144"/>
      <c r="UCG14" s="1614"/>
      <c r="UCH14" s="455"/>
      <c r="UCI14" s="455"/>
      <c r="UCJ14" s="455"/>
      <c r="UCK14" s="455"/>
      <c r="UCL14" s="455"/>
      <c r="UCM14" s="455"/>
      <c r="UCN14" s="455"/>
      <c r="UCO14" s="455"/>
      <c r="UCP14" s="455"/>
      <c r="UCQ14" s="455"/>
      <c r="UCR14" s="1144"/>
      <c r="UCS14" s="1614"/>
      <c r="UCT14" s="455"/>
      <c r="UCU14" s="455"/>
      <c r="UCV14" s="455"/>
      <c r="UCW14" s="455"/>
      <c r="UCX14" s="455"/>
      <c r="UCY14" s="455"/>
      <c r="UCZ14" s="455"/>
      <c r="UDA14" s="455"/>
      <c r="UDB14" s="455"/>
      <c r="UDC14" s="455"/>
      <c r="UDD14" s="1144"/>
      <c r="UDE14" s="1614"/>
      <c r="UDF14" s="455"/>
      <c r="UDG14" s="455"/>
      <c r="UDH14" s="455"/>
      <c r="UDI14" s="455"/>
      <c r="UDJ14" s="455"/>
      <c r="UDK14" s="455"/>
      <c r="UDL14" s="455"/>
      <c r="UDM14" s="455"/>
      <c r="UDN14" s="455"/>
      <c r="UDO14" s="455"/>
      <c r="UDP14" s="1144"/>
      <c r="UDQ14" s="1614"/>
      <c r="UDR14" s="455"/>
      <c r="UDS14" s="455"/>
      <c r="UDT14" s="455"/>
      <c r="UDU14" s="455"/>
      <c r="UDV14" s="455"/>
      <c r="UDW14" s="455"/>
      <c r="UDX14" s="455"/>
      <c r="UDY14" s="455"/>
      <c r="UDZ14" s="455"/>
      <c r="UEA14" s="455"/>
      <c r="UEB14" s="1144"/>
      <c r="UEC14" s="1614"/>
      <c r="UED14" s="455"/>
      <c r="UEE14" s="455"/>
      <c r="UEF14" s="455"/>
      <c r="UEG14" s="455"/>
      <c r="UEH14" s="455"/>
      <c r="UEI14" s="455"/>
      <c r="UEJ14" s="455"/>
      <c r="UEK14" s="455"/>
      <c r="UEL14" s="455"/>
      <c r="UEM14" s="455"/>
      <c r="UEN14" s="1144"/>
      <c r="UEO14" s="1614"/>
      <c r="UEP14" s="455"/>
      <c r="UEQ14" s="455"/>
      <c r="UER14" s="455"/>
      <c r="UES14" s="455"/>
      <c r="UET14" s="455"/>
      <c r="UEU14" s="455"/>
      <c r="UEV14" s="455"/>
      <c r="UEW14" s="455"/>
      <c r="UEX14" s="455"/>
      <c r="UEY14" s="455"/>
      <c r="UEZ14" s="1144"/>
      <c r="UFA14" s="1614"/>
      <c r="UFB14" s="455"/>
      <c r="UFC14" s="455"/>
      <c r="UFD14" s="455"/>
      <c r="UFE14" s="455"/>
      <c r="UFF14" s="455"/>
      <c r="UFG14" s="455"/>
      <c r="UFH14" s="455"/>
      <c r="UFI14" s="455"/>
      <c r="UFJ14" s="455"/>
      <c r="UFK14" s="455"/>
      <c r="UFL14" s="1144"/>
      <c r="UFM14" s="1614"/>
      <c r="UFN14" s="455"/>
      <c r="UFO14" s="455"/>
      <c r="UFP14" s="455"/>
      <c r="UFQ14" s="455"/>
      <c r="UFR14" s="455"/>
      <c r="UFS14" s="455"/>
      <c r="UFT14" s="455"/>
      <c r="UFU14" s="455"/>
      <c r="UFV14" s="455"/>
      <c r="UFW14" s="455"/>
      <c r="UFX14" s="1144"/>
      <c r="UFY14" s="1614"/>
      <c r="UFZ14" s="455"/>
      <c r="UGA14" s="455"/>
      <c r="UGB14" s="455"/>
      <c r="UGC14" s="455"/>
      <c r="UGD14" s="455"/>
      <c r="UGE14" s="455"/>
      <c r="UGF14" s="455"/>
      <c r="UGG14" s="455"/>
      <c r="UGH14" s="455"/>
      <c r="UGI14" s="455"/>
      <c r="UGJ14" s="1144"/>
      <c r="UGK14" s="1614"/>
      <c r="UGL14" s="455"/>
      <c r="UGM14" s="455"/>
      <c r="UGN14" s="455"/>
      <c r="UGO14" s="455"/>
      <c r="UGP14" s="455"/>
      <c r="UGQ14" s="455"/>
      <c r="UGR14" s="455"/>
      <c r="UGS14" s="455"/>
      <c r="UGT14" s="455"/>
      <c r="UGU14" s="455"/>
      <c r="UGV14" s="1144"/>
      <c r="UGW14" s="1614"/>
      <c r="UGX14" s="455"/>
      <c r="UGY14" s="455"/>
      <c r="UGZ14" s="455"/>
      <c r="UHA14" s="455"/>
      <c r="UHB14" s="455"/>
      <c r="UHC14" s="455"/>
      <c r="UHD14" s="455"/>
      <c r="UHE14" s="455"/>
      <c r="UHF14" s="455"/>
      <c r="UHG14" s="455"/>
      <c r="UHH14" s="1144"/>
      <c r="UHI14" s="1614"/>
      <c r="UHJ14" s="455"/>
      <c r="UHK14" s="455"/>
      <c r="UHL14" s="455"/>
      <c r="UHM14" s="455"/>
      <c r="UHN14" s="455"/>
      <c r="UHO14" s="455"/>
      <c r="UHP14" s="455"/>
      <c r="UHQ14" s="455"/>
      <c r="UHR14" s="455"/>
      <c r="UHS14" s="455"/>
      <c r="UHT14" s="1144"/>
      <c r="UHU14" s="1614"/>
      <c r="UHV14" s="455"/>
      <c r="UHW14" s="455"/>
      <c r="UHX14" s="455"/>
      <c r="UHY14" s="455"/>
      <c r="UHZ14" s="455"/>
      <c r="UIA14" s="455"/>
      <c r="UIB14" s="455"/>
      <c r="UIC14" s="455"/>
      <c r="UID14" s="455"/>
      <c r="UIE14" s="455"/>
      <c r="UIF14" s="1144"/>
      <c r="UIG14" s="1614"/>
      <c r="UIH14" s="455"/>
      <c r="UII14" s="455"/>
      <c r="UIJ14" s="455"/>
      <c r="UIK14" s="455"/>
      <c r="UIL14" s="455"/>
      <c r="UIM14" s="455"/>
      <c r="UIN14" s="455"/>
      <c r="UIO14" s="455"/>
      <c r="UIP14" s="455"/>
      <c r="UIQ14" s="455"/>
      <c r="UIR14" s="1144"/>
      <c r="UIS14" s="1614"/>
      <c r="UIT14" s="455"/>
      <c r="UIU14" s="455"/>
      <c r="UIV14" s="455"/>
      <c r="UIW14" s="455"/>
      <c r="UIX14" s="455"/>
      <c r="UIY14" s="455"/>
      <c r="UIZ14" s="455"/>
      <c r="UJA14" s="455"/>
      <c r="UJB14" s="455"/>
      <c r="UJC14" s="455"/>
      <c r="UJD14" s="1144"/>
      <c r="UJE14" s="1614"/>
      <c r="UJF14" s="455"/>
      <c r="UJG14" s="455"/>
      <c r="UJH14" s="455"/>
      <c r="UJI14" s="455"/>
      <c r="UJJ14" s="455"/>
      <c r="UJK14" s="455"/>
      <c r="UJL14" s="455"/>
      <c r="UJM14" s="455"/>
      <c r="UJN14" s="455"/>
      <c r="UJO14" s="455"/>
      <c r="UJP14" s="1144"/>
      <c r="UJQ14" s="1614"/>
      <c r="UJR14" s="455"/>
      <c r="UJS14" s="455"/>
      <c r="UJT14" s="455"/>
      <c r="UJU14" s="455"/>
      <c r="UJV14" s="455"/>
      <c r="UJW14" s="455"/>
      <c r="UJX14" s="455"/>
      <c r="UJY14" s="455"/>
      <c r="UJZ14" s="455"/>
      <c r="UKA14" s="455"/>
      <c r="UKB14" s="1144"/>
      <c r="UKC14" s="1614"/>
      <c r="UKD14" s="455"/>
      <c r="UKE14" s="455"/>
      <c r="UKF14" s="455"/>
      <c r="UKG14" s="455"/>
      <c r="UKH14" s="455"/>
      <c r="UKI14" s="455"/>
      <c r="UKJ14" s="455"/>
      <c r="UKK14" s="455"/>
      <c r="UKL14" s="455"/>
      <c r="UKM14" s="455"/>
      <c r="UKN14" s="1144"/>
      <c r="UKO14" s="1614"/>
      <c r="UKP14" s="455"/>
      <c r="UKQ14" s="455"/>
      <c r="UKR14" s="455"/>
      <c r="UKS14" s="455"/>
      <c r="UKT14" s="455"/>
      <c r="UKU14" s="455"/>
      <c r="UKV14" s="455"/>
      <c r="UKW14" s="455"/>
      <c r="UKX14" s="455"/>
      <c r="UKY14" s="455"/>
      <c r="UKZ14" s="1144"/>
      <c r="ULA14" s="1614"/>
      <c r="ULB14" s="455"/>
      <c r="ULC14" s="455"/>
      <c r="ULD14" s="455"/>
      <c r="ULE14" s="455"/>
      <c r="ULF14" s="455"/>
      <c r="ULG14" s="455"/>
      <c r="ULH14" s="455"/>
      <c r="ULI14" s="455"/>
      <c r="ULJ14" s="455"/>
      <c r="ULK14" s="455"/>
      <c r="ULL14" s="1144"/>
      <c r="ULM14" s="1614"/>
      <c r="ULN14" s="455"/>
      <c r="ULO14" s="455"/>
      <c r="ULP14" s="455"/>
      <c r="ULQ14" s="455"/>
      <c r="ULR14" s="455"/>
      <c r="ULS14" s="455"/>
      <c r="ULT14" s="455"/>
      <c r="ULU14" s="455"/>
      <c r="ULV14" s="455"/>
      <c r="ULW14" s="455"/>
      <c r="ULX14" s="1144"/>
      <c r="ULY14" s="1614"/>
      <c r="ULZ14" s="455"/>
      <c r="UMA14" s="455"/>
      <c r="UMB14" s="455"/>
      <c r="UMC14" s="455"/>
      <c r="UMD14" s="455"/>
      <c r="UME14" s="455"/>
      <c r="UMF14" s="455"/>
      <c r="UMG14" s="455"/>
      <c r="UMH14" s="455"/>
      <c r="UMI14" s="455"/>
      <c r="UMJ14" s="1144"/>
      <c r="UMK14" s="1614"/>
      <c r="UML14" s="455"/>
      <c r="UMM14" s="455"/>
      <c r="UMN14" s="455"/>
      <c r="UMO14" s="455"/>
      <c r="UMP14" s="455"/>
      <c r="UMQ14" s="455"/>
      <c r="UMR14" s="455"/>
      <c r="UMS14" s="455"/>
      <c r="UMT14" s="455"/>
      <c r="UMU14" s="455"/>
      <c r="UMV14" s="1144"/>
      <c r="UMW14" s="1614"/>
      <c r="UMX14" s="455"/>
      <c r="UMY14" s="455"/>
      <c r="UMZ14" s="455"/>
      <c r="UNA14" s="455"/>
      <c r="UNB14" s="455"/>
      <c r="UNC14" s="455"/>
      <c r="UND14" s="455"/>
      <c r="UNE14" s="455"/>
      <c r="UNF14" s="455"/>
      <c r="UNG14" s="455"/>
      <c r="UNH14" s="1144"/>
      <c r="UNI14" s="1614"/>
      <c r="UNJ14" s="455"/>
      <c r="UNK14" s="455"/>
      <c r="UNL14" s="455"/>
      <c r="UNM14" s="455"/>
      <c r="UNN14" s="455"/>
      <c r="UNO14" s="455"/>
      <c r="UNP14" s="455"/>
      <c r="UNQ14" s="455"/>
      <c r="UNR14" s="455"/>
      <c r="UNS14" s="455"/>
      <c r="UNT14" s="1144"/>
      <c r="UNU14" s="1614"/>
      <c r="UNV14" s="455"/>
      <c r="UNW14" s="455"/>
      <c r="UNX14" s="455"/>
      <c r="UNY14" s="455"/>
      <c r="UNZ14" s="455"/>
      <c r="UOA14" s="455"/>
      <c r="UOB14" s="455"/>
      <c r="UOC14" s="455"/>
      <c r="UOD14" s="455"/>
      <c r="UOE14" s="455"/>
      <c r="UOF14" s="1144"/>
      <c r="UOG14" s="1614"/>
      <c r="UOH14" s="455"/>
      <c r="UOI14" s="455"/>
      <c r="UOJ14" s="455"/>
      <c r="UOK14" s="455"/>
      <c r="UOL14" s="455"/>
      <c r="UOM14" s="455"/>
      <c r="UON14" s="455"/>
      <c r="UOO14" s="455"/>
      <c r="UOP14" s="455"/>
      <c r="UOQ14" s="455"/>
      <c r="UOR14" s="1144"/>
      <c r="UOS14" s="1614"/>
      <c r="UOT14" s="455"/>
      <c r="UOU14" s="455"/>
      <c r="UOV14" s="455"/>
      <c r="UOW14" s="455"/>
      <c r="UOX14" s="455"/>
      <c r="UOY14" s="455"/>
      <c r="UOZ14" s="455"/>
      <c r="UPA14" s="455"/>
      <c r="UPB14" s="455"/>
      <c r="UPC14" s="455"/>
      <c r="UPD14" s="1144"/>
      <c r="UPE14" s="1614"/>
      <c r="UPF14" s="455"/>
      <c r="UPG14" s="455"/>
      <c r="UPH14" s="455"/>
      <c r="UPI14" s="455"/>
      <c r="UPJ14" s="455"/>
      <c r="UPK14" s="455"/>
      <c r="UPL14" s="455"/>
      <c r="UPM14" s="455"/>
      <c r="UPN14" s="455"/>
      <c r="UPO14" s="455"/>
      <c r="UPP14" s="1144"/>
      <c r="UPQ14" s="1614"/>
      <c r="UPR14" s="455"/>
      <c r="UPS14" s="455"/>
      <c r="UPT14" s="455"/>
      <c r="UPU14" s="455"/>
      <c r="UPV14" s="455"/>
      <c r="UPW14" s="455"/>
      <c r="UPX14" s="455"/>
      <c r="UPY14" s="455"/>
      <c r="UPZ14" s="455"/>
      <c r="UQA14" s="455"/>
      <c r="UQB14" s="1144"/>
      <c r="UQC14" s="1614"/>
      <c r="UQD14" s="455"/>
      <c r="UQE14" s="455"/>
      <c r="UQF14" s="455"/>
      <c r="UQG14" s="455"/>
      <c r="UQH14" s="455"/>
      <c r="UQI14" s="455"/>
      <c r="UQJ14" s="455"/>
      <c r="UQK14" s="455"/>
      <c r="UQL14" s="455"/>
      <c r="UQM14" s="455"/>
      <c r="UQN14" s="1144"/>
      <c r="UQO14" s="1614"/>
      <c r="UQP14" s="455"/>
      <c r="UQQ14" s="455"/>
      <c r="UQR14" s="455"/>
      <c r="UQS14" s="455"/>
      <c r="UQT14" s="455"/>
      <c r="UQU14" s="455"/>
      <c r="UQV14" s="455"/>
      <c r="UQW14" s="455"/>
      <c r="UQX14" s="455"/>
      <c r="UQY14" s="455"/>
      <c r="UQZ14" s="1144"/>
      <c r="URA14" s="1614"/>
      <c r="URB14" s="455"/>
      <c r="URC14" s="455"/>
      <c r="URD14" s="455"/>
      <c r="URE14" s="455"/>
      <c r="URF14" s="455"/>
      <c r="URG14" s="455"/>
      <c r="URH14" s="455"/>
      <c r="URI14" s="455"/>
      <c r="URJ14" s="455"/>
      <c r="URK14" s="455"/>
      <c r="URL14" s="1144"/>
      <c r="URM14" s="1614"/>
      <c r="URN14" s="455"/>
      <c r="URO14" s="455"/>
      <c r="URP14" s="455"/>
      <c r="URQ14" s="455"/>
      <c r="URR14" s="455"/>
      <c r="URS14" s="455"/>
      <c r="URT14" s="455"/>
      <c r="URU14" s="455"/>
      <c r="URV14" s="455"/>
      <c r="URW14" s="455"/>
      <c r="URX14" s="1144"/>
      <c r="URY14" s="1614"/>
      <c r="URZ14" s="455"/>
      <c r="USA14" s="455"/>
      <c r="USB14" s="455"/>
      <c r="USC14" s="455"/>
      <c r="USD14" s="455"/>
      <c r="USE14" s="455"/>
      <c r="USF14" s="455"/>
      <c r="USG14" s="455"/>
      <c r="USH14" s="455"/>
      <c r="USI14" s="455"/>
      <c r="USJ14" s="1144"/>
      <c r="USK14" s="1614"/>
      <c r="USL14" s="455"/>
      <c r="USM14" s="455"/>
      <c r="USN14" s="455"/>
      <c r="USO14" s="455"/>
      <c r="USP14" s="455"/>
      <c r="USQ14" s="455"/>
      <c r="USR14" s="455"/>
      <c r="USS14" s="455"/>
      <c r="UST14" s="455"/>
      <c r="USU14" s="455"/>
      <c r="USV14" s="1144"/>
      <c r="USW14" s="1614"/>
      <c r="USX14" s="455"/>
      <c r="USY14" s="455"/>
      <c r="USZ14" s="455"/>
      <c r="UTA14" s="455"/>
      <c r="UTB14" s="455"/>
      <c r="UTC14" s="455"/>
      <c r="UTD14" s="455"/>
      <c r="UTE14" s="455"/>
      <c r="UTF14" s="455"/>
      <c r="UTG14" s="455"/>
      <c r="UTH14" s="1144"/>
      <c r="UTI14" s="1614"/>
      <c r="UTJ14" s="455"/>
      <c r="UTK14" s="455"/>
      <c r="UTL14" s="455"/>
      <c r="UTM14" s="455"/>
      <c r="UTN14" s="455"/>
      <c r="UTO14" s="455"/>
      <c r="UTP14" s="455"/>
      <c r="UTQ14" s="455"/>
      <c r="UTR14" s="455"/>
      <c r="UTS14" s="455"/>
      <c r="UTT14" s="1144"/>
      <c r="UTU14" s="1614"/>
      <c r="UTV14" s="455"/>
      <c r="UTW14" s="455"/>
      <c r="UTX14" s="455"/>
      <c r="UTY14" s="455"/>
      <c r="UTZ14" s="455"/>
      <c r="UUA14" s="455"/>
      <c r="UUB14" s="455"/>
      <c r="UUC14" s="455"/>
      <c r="UUD14" s="455"/>
      <c r="UUE14" s="455"/>
      <c r="UUF14" s="1144"/>
      <c r="UUG14" s="1614"/>
      <c r="UUH14" s="455"/>
      <c r="UUI14" s="455"/>
      <c r="UUJ14" s="455"/>
      <c r="UUK14" s="455"/>
      <c r="UUL14" s="455"/>
      <c r="UUM14" s="455"/>
      <c r="UUN14" s="455"/>
      <c r="UUO14" s="455"/>
      <c r="UUP14" s="455"/>
      <c r="UUQ14" s="455"/>
      <c r="UUR14" s="1144"/>
      <c r="UUS14" s="1614"/>
      <c r="UUT14" s="455"/>
      <c r="UUU14" s="455"/>
      <c r="UUV14" s="455"/>
      <c r="UUW14" s="455"/>
      <c r="UUX14" s="455"/>
      <c r="UUY14" s="455"/>
      <c r="UUZ14" s="455"/>
      <c r="UVA14" s="455"/>
      <c r="UVB14" s="455"/>
      <c r="UVC14" s="455"/>
      <c r="UVD14" s="1144"/>
      <c r="UVE14" s="1614"/>
      <c r="UVF14" s="455"/>
      <c r="UVG14" s="455"/>
      <c r="UVH14" s="455"/>
      <c r="UVI14" s="455"/>
      <c r="UVJ14" s="455"/>
      <c r="UVK14" s="455"/>
      <c r="UVL14" s="455"/>
      <c r="UVM14" s="455"/>
      <c r="UVN14" s="455"/>
      <c r="UVO14" s="455"/>
      <c r="UVP14" s="1144"/>
      <c r="UVQ14" s="1614"/>
      <c r="UVR14" s="455"/>
      <c r="UVS14" s="455"/>
      <c r="UVT14" s="455"/>
      <c r="UVU14" s="455"/>
      <c r="UVV14" s="455"/>
      <c r="UVW14" s="455"/>
      <c r="UVX14" s="455"/>
      <c r="UVY14" s="455"/>
      <c r="UVZ14" s="455"/>
      <c r="UWA14" s="455"/>
      <c r="UWB14" s="1144"/>
      <c r="UWC14" s="1614"/>
      <c r="UWD14" s="455"/>
      <c r="UWE14" s="455"/>
      <c r="UWF14" s="455"/>
      <c r="UWG14" s="455"/>
      <c r="UWH14" s="455"/>
      <c r="UWI14" s="455"/>
      <c r="UWJ14" s="455"/>
      <c r="UWK14" s="455"/>
      <c r="UWL14" s="455"/>
      <c r="UWM14" s="455"/>
      <c r="UWN14" s="1144"/>
      <c r="UWO14" s="1614"/>
      <c r="UWP14" s="455"/>
      <c r="UWQ14" s="455"/>
      <c r="UWR14" s="455"/>
      <c r="UWS14" s="455"/>
      <c r="UWT14" s="455"/>
      <c r="UWU14" s="455"/>
      <c r="UWV14" s="455"/>
      <c r="UWW14" s="455"/>
      <c r="UWX14" s="455"/>
      <c r="UWY14" s="455"/>
      <c r="UWZ14" s="1144"/>
      <c r="UXA14" s="1614"/>
      <c r="UXB14" s="455"/>
      <c r="UXC14" s="455"/>
      <c r="UXD14" s="455"/>
      <c r="UXE14" s="455"/>
      <c r="UXF14" s="455"/>
      <c r="UXG14" s="455"/>
      <c r="UXH14" s="455"/>
      <c r="UXI14" s="455"/>
      <c r="UXJ14" s="455"/>
      <c r="UXK14" s="455"/>
      <c r="UXL14" s="1144"/>
      <c r="UXM14" s="1614"/>
      <c r="UXN14" s="455"/>
      <c r="UXO14" s="455"/>
      <c r="UXP14" s="455"/>
      <c r="UXQ14" s="455"/>
      <c r="UXR14" s="455"/>
      <c r="UXS14" s="455"/>
      <c r="UXT14" s="455"/>
      <c r="UXU14" s="455"/>
      <c r="UXV14" s="455"/>
      <c r="UXW14" s="455"/>
      <c r="UXX14" s="1144"/>
      <c r="UXY14" s="1614"/>
      <c r="UXZ14" s="455"/>
      <c r="UYA14" s="455"/>
      <c r="UYB14" s="455"/>
      <c r="UYC14" s="455"/>
      <c r="UYD14" s="455"/>
      <c r="UYE14" s="455"/>
      <c r="UYF14" s="455"/>
      <c r="UYG14" s="455"/>
      <c r="UYH14" s="455"/>
      <c r="UYI14" s="455"/>
      <c r="UYJ14" s="1144"/>
      <c r="UYK14" s="1614"/>
      <c r="UYL14" s="455"/>
      <c r="UYM14" s="455"/>
      <c r="UYN14" s="455"/>
      <c r="UYO14" s="455"/>
      <c r="UYP14" s="455"/>
      <c r="UYQ14" s="455"/>
      <c r="UYR14" s="455"/>
      <c r="UYS14" s="455"/>
      <c r="UYT14" s="455"/>
      <c r="UYU14" s="455"/>
      <c r="UYV14" s="1144"/>
      <c r="UYW14" s="1614"/>
      <c r="UYX14" s="455"/>
      <c r="UYY14" s="455"/>
      <c r="UYZ14" s="455"/>
      <c r="UZA14" s="455"/>
      <c r="UZB14" s="455"/>
      <c r="UZC14" s="455"/>
      <c r="UZD14" s="455"/>
      <c r="UZE14" s="455"/>
      <c r="UZF14" s="455"/>
      <c r="UZG14" s="455"/>
      <c r="UZH14" s="1144"/>
      <c r="UZI14" s="1614"/>
      <c r="UZJ14" s="455"/>
      <c r="UZK14" s="455"/>
      <c r="UZL14" s="455"/>
      <c r="UZM14" s="455"/>
      <c r="UZN14" s="455"/>
      <c r="UZO14" s="455"/>
      <c r="UZP14" s="455"/>
      <c r="UZQ14" s="455"/>
      <c r="UZR14" s="455"/>
      <c r="UZS14" s="455"/>
      <c r="UZT14" s="1144"/>
      <c r="UZU14" s="1614"/>
      <c r="UZV14" s="455"/>
      <c r="UZW14" s="455"/>
      <c r="UZX14" s="455"/>
      <c r="UZY14" s="455"/>
      <c r="UZZ14" s="455"/>
      <c r="VAA14" s="455"/>
      <c r="VAB14" s="455"/>
      <c r="VAC14" s="455"/>
      <c r="VAD14" s="455"/>
      <c r="VAE14" s="455"/>
      <c r="VAF14" s="1144"/>
      <c r="VAG14" s="1614"/>
      <c r="VAH14" s="455"/>
      <c r="VAI14" s="455"/>
      <c r="VAJ14" s="455"/>
      <c r="VAK14" s="455"/>
      <c r="VAL14" s="455"/>
      <c r="VAM14" s="455"/>
      <c r="VAN14" s="455"/>
      <c r="VAO14" s="455"/>
      <c r="VAP14" s="455"/>
      <c r="VAQ14" s="455"/>
      <c r="VAR14" s="1144"/>
      <c r="VAS14" s="1614"/>
      <c r="VAT14" s="455"/>
      <c r="VAU14" s="455"/>
      <c r="VAV14" s="455"/>
      <c r="VAW14" s="455"/>
      <c r="VAX14" s="455"/>
      <c r="VAY14" s="455"/>
      <c r="VAZ14" s="455"/>
      <c r="VBA14" s="455"/>
      <c r="VBB14" s="455"/>
      <c r="VBC14" s="455"/>
      <c r="VBD14" s="1144"/>
      <c r="VBE14" s="1614"/>
      <c r="VBF14" s="455"/>
      <c r="VBG14" s="455"/>
      <c r="VBH14" s="455"/>
      <c r="VBI14" s="455"/>
      <c r="VBJ14" s="455"/>
      <c r="VBK14" s="455"/>
      <c r="VBL14" s="455"/>
      <c r="VBM14" s="455"/>
      <c r="VBN14" s="455"/>
      <c r="VBO14" s="455"/>
      <c r="VBP14" s="1144"/>
      <c r="VBQ14" s="1614"/>
      <c r="VBR14" s="455"/>
      <c r="VBS14" s="455"/>
      <c r="VBT14" s="455"/>
      <c r="VBU14" s="455"/>
      <c r="VBV14" s="455"/>
      <c r="VBW14" s="455"/>
      <c r="VBX14" s="455"/>
      <c r="VBY14" s="455"/>
      <c r="VBZ14" s="455"/>
      <c r="VCA14" s="455"/>
      <c r="VCB14" s="1144"/>
      <c r="VCC14" s="1614"/>
      <c r="VCD14" s="455"/>
      <c r="VCE14" s="455"/>
      <c r="VCF14" s="455"/>
      <c r="VCG14" s="455"/>
      <c r="VCH14" s="455"/>
      <c r="VCI14" s="455"/>
      <c r="VCJ14" s="455"/>
      <c r="VCK14" s="455"/>
      <c r="VCL14" s="455"/>
      <c r="VCM14" s="455"/>
      <c r="VCN14" s="1144"/>
      <c r="VCO14" s="1614"/>
      <c r="VCP14" s="455"/>
      <c r="VCQ14" s="455"/>
      <c r="VCR14" s="455"/>
      <c r="VCS14" s="455"/>
      <c r="VCT14" s="455"/>
      <c r="VCU14" s="455"/>
      <c r="VCV14" s="455"/>
      <c r="VCW14" s="455"/>
      <c r="VCX14" s="455"/>
      <c r="VCY14" s="455"/>
      <c r="VCZ14" s="1144"/>
      <c r="VDA14" s="1614"/>
      <c r="VDB14" s="455"/>
      <c r="VDC14" s="455"/>
      <c r="VDD14" s="455"/>
      <c r="VDE14" s="455"/>
      <c r="VDF14" s="455"/>
      <c r="VDG14" s="455"/>
      <c r="VDH14" s="455"/>
      <c r="VDI14" s="455"/>
      <c r="VDJ14" s="455"/>
      <c r="VDK14" s="455"/>
      <c r="VDL14" s="1144"/>
      <c r="VDM14" s="1614"/>
      <c r="VDN14" s="455"/>
      <c r="VDO14" s="455"/>
      <c r="VDP14" s="455"/>
      <c r="VDQ14" s="455"/>
      <c r="VDR14" s="455"/>
      <c r="VDS14" s="455"/>
      <c r="VDT14" s="455"/>
      <c r="VDU14" s="455"/>
      <c r="VDV14" s="455"/>
      <c r="VDW14" s="455"/>
      <c r="VDX14" s="1144"/>
      <c r="VDY14" s="1614"/>
      <c r="VDZ14" s="455"/>
      <c r="VEA14" s="455"/>
      <c r="VEB14" s="455"/>
      <c r="VEC14" s="455"/>
      <c r="VED14" s="455"/>
      <c r="VEE14" s="455"/>
      <c r="VEF14" s="455"/>
      <c r="VEG14" s="455"/>
      <c r="VEH14" s="455"/>
      <c r="VEI14" s="455"/>
      <c r="VEJ14" s="1144"/>
      <c r="VEK14" s="1614"/>
      <c r="VEL14" s="455"/>
      <c r="VEM14" s="455"/>
      <c r="VEN14" s="455"/>
      <c r="VEO14" s="455"/>
      <c r="VEP14" s="455"/>
      <c r="VEQ14" s="455"/>
      <c r="VER14" s="455"/>
      <c r="VES14" s="455"/>
      <c r="VET14" s="455"/>
      <c r="VEU14" s="455"/>
      <c r="VEV14" s="1144"/>
      <c r="VEW14" s="1614"/>
      <c r="VEX14" s="455"/>
      <c r="VEY14" s="455"/>
      <c r="VEZ14" s="455"/>
      <c r="VFA14" s="455"/>
      <c r="VFB14" s="455"/>
      <c r="VFC14" s="455"/>
      <c r="VFD14" s="455"/>
      <c r="VFE14" s="455"/>
      <c r="VFF14" s="455"/>
      <c r="VFG14" s="455"/>
      <c r="VFH14" s="1144"/>
      <c r="VFI14" s="1614"/>
      <c r="VFJ14" s="455"/>
      <c r="VFK14" s="455"/>
      <c r="VFL14" s="455"/>
      <c r="VFM14" s="455"/>
      <c r="VFN14" s="455"/>
      <c r="VFO14" s="455"/>
      <c r="VFP14" s="455"/>
      <c r="VFQ14" s="455"/>
      <c r="VFR14" s="455"/>
      <c r="VFS14" s="455"/>
      <c r="VFT14" s="1144"/>
      <c r="VFU14" s="1614"/>
      <c r="VFV14" s="455"/>
      <c r="VFW14" s="455"/>
      <c r="VFX14" s="455"/>
      <c r="VFY14" s="455"/>
      <c r="VFZ14" s="455"/>
      <c r="VGA14" s="455"/>
      <c r="VGB14" s="455"/>
      <c r="VGC14" s="455"/>
      <c r="VGD14" s="455"/>
      <c r="VGE14" s="455"/>
      <c r="VGF14" s="1144"/>
      <c r="VGG14" s="1614"/>
      <c r="VGH14" s="455"/>
      <c r="VGI14" s="455"/>
      <c r="VGJ14" s="455"/>
      <c r="VGK14" s="455"/>
      <c r="VGL14" s="455"/>
      <c r="VGM14" s="455"/>
      <c r="VGN14" s="455"/>
      <c r="VGO14" s="455"/>
      <c r="VGP14" s="455"/>
      <c r="VGQ14" s="455"/>
      <c r="VGR14" s="1144"/>
      <c r="VGS14" s="1614"/>
      <c r="VGT14" s="455"/>
      <c r="VGU14" s="455"/>
      <c r="VGV14" s="455"/>
      <c r="VGW14" s="455"/>
      <c r="VGX14" s="455"/>
      <c r="VGY14" s="455"/>
      <c r="VGZ14" s="455"/>
      <c r="VHA14" s="455"/>
      <c r="VHB14" s="455"/>
      <c r="VHC14" s="455"/>
      <c r="VHD14" s="1144"/>
      <c r="VHE14" s="1614"/>
      <c r="VHF14" s="455"/>
      <c r="VHG14" s="455"/>
      <c r="VHH14" s="455"/>
      <c r="VHI14" s="455"/>
      <c r="VHJ14" s="455"/>
      <c r="VHK14" s="455"/>
      <c r="VHL14" s="455"/>
      <c r="VHM14" s="455"/>
      <c r="VHN14" s="455"/>
      <c r="VHO14" s="455"/>
      <c r="VHP14" s="1144"/>
      <c r="VHQ14" s="1614"/>
      <c r="VHR14" s="455"/>
      <c r="VHS14" s="455"/>
      <c r="VHT14" s="455"/>
      <c r="VHU14" s="455"/>
      <c r="VHV14" s="455"/>
      <c r="VHW14" s="455"/>
      <c r="VHX14" s="455"/>
      <c r="VHY14" s="455"/>
      <c r="VHZ14" s="455"/>
      <c r="VIA14" s="455"/>
      <c r="VIB14" s="1144"/>
      <c r="VIC14" s="1614"/>
      <c r="VID14" s="455"/>
      <c r="VIE14" s="455"/>
      <c r="VIF14" s="455"/>
      <c r="VIG14" s="455"/>
      <c r="VIH14" s="455"/>
      <c r="VII14" s="455"/>
      <c r="VIJ14" s="455"/>
      <c r="VIK14" s="455"/>
      <c r="VIL14" s="455"/>
      <c r="VIM14" s="455"/>
      <c r="VIN14" s="1144"/>
      <c r="VIO14" s="1614"/>
      <c r="VIP14" s="455"/>
      <c r="VIQ14" s="455"/>
      <c r="VIR14" s="455"/>
      <c r="VIS14" s="455"/>
      <c r="VIT14" s="455"/>
      <c r="VIU14" s="455"/>
      <c r="VIV14" s="455"/>
      <c r="VIW14" s="455"/>
      <c r="VIX14" s="455"/>
      <c r="VIY14" s="455"/>
      <c r="VIZ14" s="1144"/>
      <c r="VJA14" s="1614"/>
      <c r="VJB14" s="455"/>
      <c r="VJC14" s="455"/>
      <c r="VJD14" s="455"/>
      <c r="VJE14" s="455"/>
      <c r="VJF14" s="455"/>
      <c r="VJG14" s="455"/>
      <c r="VJH14" s="455"/>
      <c r="VJI14" s="455"/>
      <c r="VJJ14" s="455"/>
      <c r="VJK14" s="455"/>
      <c r="VJL14" s="1144"/>
      <c r="VJM14" s="1614"/>
      <c r="VJN14" s="455"/>
      <c r="VJO14" s="455"/>
      <c r="VJP14" s="455"/>
      <c r="VJQ14" s="455"/>
      <c r="VJR14" s="455"/>
      <c r="VJS14" s="455"/>
      <c r="VJT14" s="455"/>
      <c r="VJU14" s="455"/>
      <c r="VJV14" s="455"/>
      <c r="VJW14" s="455"/>
      <c r="VJX14" s="1144"/>
      <c r="VJY14" s="1614"/>
      <c r="VJZ14" s="455"/>
      <c r="VKA14" s="455"/>
      <c r="VKB14" s="455"/>
      <c r="VKC14" s="455"/>
      <c r="VKD14" s="455"/>
      <c r="VKE14" s="455"/>
      <c r="VKF14" s="455"/>
      <c r="VKG14" s="455"/>
      <c r="VKH14" s="455"/>
      <c r="VKI14" s="455"/>
      <c r="VKJ14" s="1144"/>
      <c r="VKK14" s="1614"/>
      <c r="VKL14" s="455"/>
      <c r="VKM14" s="455"/>
      <c r="VKN14" s="455"/>
      <c r="VKO14" s="455"/>
      <c r="VKP14" s="455"/>
      <c r="VKQ14" s="455"/>
      <c r="VKR14" s="455"/>
      <c r="VKS14" s="455"/>
      <c r="VKT14" s="455"/>
      <c r="VKU14" s="455"/>
      <c r="VKV14" s="1144"/>
      <c r="VKW14" s="1614"/>
      <c r="VKX14" s="455"/>
      <c r="VKY14" s="455"/>
      <c r="VKZ14" s="455"/>
      <c r="VLA14" s="455"/>
      <c r="VLB14" s="455"/>
      <c r="VLC14" s="455"/>
      <c r="VLD14" s="455"/>
      <c r="VLE14" s="455"/>
      <c r="VLF14" s="455"/>
      <c r="VLG14" s="455"/>
      <c r="VLH14" s="1144"/>
      <c r="VLI14" s="1614"/>
      <c r="VLJ14" s="455"/>
      <c r="VLK14" s="455"/>
      <c r="VLL14" s="455"/>
      <c r="VLM14" s="455"/>
      <c r="VLN14" s="455"/>
      <c r="VLO14" s="455"/>
      <c r="VLP14" s="455"/>
      <c r="VLQ14" s="455"/>
      <c r="VLR14" s="455"/>
      <c r="VLS14" s="455"/>
      <c r="VLT14" s="1144"/>
      <c r="VLU14" s="1614"/>
      <c r="VLV14" s="455"/>
      <c r="VLW14" s="455"/>
      <c r="VLX14" s="455"/>
      <c r="VLY14" s="455"/>
      <c r="VLZ14" s="455"/>
      <c r="VMA14" s="455"/>
      <c r="VMB14" s="455"/>
      <c r="VMC14" s="455"/>
      <c r="VMD14" s="455"/>
      <c r="VME14" s="455"/>
      <c r="VMF14" s="1144"/>
      <c r="VMG14" s="1614"/>
      <c r="VMH14" s="455"/>
      <c r="VMI14" s="455"/>
      <c r="VMJ14" s="455"/>
      <c r="VMK14" s="455"/>
      <c r="VML14" s="455"/>
      <c r="VMM14" s="455"/>
      <c r="VMN14" s="455"/>
      <c r="VMO14" s="455"/>
      <c r="VMP14" s="455"/>
      <c r="VMQ14" s="455"/>
      <c r="VMR14" s="1144"/>
      <c r="VMS14" s="1614"/>
      <c r="VMT14" s="455"/>
      <c r="VMU14" s="455"/>
      <c r="VMV14" s="455"/>
      <c r="VMW14" s="455"/>
      <c r="VMX14" s="455"/>
      <c r="VMY14" s="455"/>
      <c r="VMZ14" s="455"/>
      <c r="VNA14" s="455"/>
      <c r="VNB14" s="455"/>
      <c r="VNC14" s="455"/>
      <c r="VND14" s="1144"/>
      <c r="VNE14" s="1614"/>
      <c r="VNF14" s="455"/>
      <c r="VNG14" s="455"/>
      <c r="VNH14" s="455"/>
      <c r="VNI14" s="455"/>
      <c r="VNJ14" s="455"/>
      <c r="VNK14" s="455"/>
      <c r="VNL14" s="455"/>
      <c r="VNM14" s="455"/>
      <c r="VNN14" s="455"/>
      <c r="VNO14" s="455"/>
      <c r="VNP14" s="1144"/>
      <c r="VNQ14" s="1614"/>
      <c r="VNR14" s="455"/>
      <c r="VNS14" s="455"/>
      <c r="VNT14" s="455"/>
      <c r="VNU14" s="455"/>
      <c r="VNV14" s="455"/>
      <c r="VNW14" s="455"/>
      <c r="VNX14" s="455"/>
      <c r="VNY14" s="455"/>
      <c r="VNZ14" s="455"/>
      <c r="VOA14" s="455"/>
      <c r="VOB14" s="1144"/>
      <c r="VOC14" s="1614"/>
      <c r="VOD14" s="455"/>
      <c r="VOE14" s="455"/>
      <c r="VOF14" s="455"/>
      <c r="VOG14" s="455"/>
      <c r="VOH14" s="455"/>
      <c r="VOI14" s="455"/>
      <c r="VOJ14" s="455"/>
      <c r="VOK14" s="455"/>
      <c r="VOL14" s="455"/>
      <c r="VOM14" s="455"/>
      <c r="VON14" s="1144"/>
      <c r="VOO14" s="1614"/>
      <c r="VOP14" s="455"/>
      <c r="VOQ14" s="455"/>
      <c r="VOR14" s="455"/>
      <c r="VOS14" s="455"/>
      <c r="VOT14" s="455"/>
      <c r="VOU14" s="455"/>
      <c r="VOV14" s="455"/>
      <c r="VOW14" s="455"/>
      <c r="VOX14" s="455"/>
      <c r="VOY14" s="455"/>
      <c r="VOZ14" s="1144"/>
      <c r="VPA14" s="1614"/>
      <c r="VPB14" s="455"/>
      <c r="VPC14" s="455"/>
      <c r="VPD14" s="455"/>
      <c r="VPE14" s="455"/>
      <c r="VPF14" s="455"/>
      <c r="VPG14" s="455"/>
      <c r="VPH14" s="455"/>
      <c r="VPI14" s="455"/>
      <c r="VPJ14" s="455"/>
      <c r="VPK14" s="455"/>
      <c r="VPL14" s="1144"/>
      <c r="VPM14" s="1614"/>
      <c r="VPN14" s="455"/>
      <c r="VPO14" s="455"/>
      <c r="VPP14" s="455"/>
      <c r="VPQ14" s="455"/>
      <c r="VPR14" s="455"/>
      <c r="VPS14" s="455"/>
      <c r="VPT14" s="455"/>
      <c r="VPU14" s="455"/>
      <c r="VPV14" s="455"/>
      <c r="VPW14" s="455"/>
      <c r="VPX14" s="1144"/>
      <c r="VPY14" s="1614"/>
      <c r="VPZ14" s="455"/>
      <c r="VQA14" s="455"/>
      <c r="VQB14" s="455"/>
      <c r="VQC14" s="455"/>
      <c r="VQD14" s="455"/>
      <c r="VQE14" s="455"/>
      <c r="VQF14" s="455"/>
      <c r="VQG14" s="455"/>
      <c r="VQH14" s="455"/>
      <c r="VQI14" s="455"/>
      <c r="VQJ14" s="1144"/>
      <c r="VQK14" s="1614"/>
      <c r="VQL14" s="455"/>
      <c r="VQM14" s="455"/>
      <c r="VQN14" s="455"/>
      <c r="VQO14" s="455"/>
      <c r="VQP14" s="455"/>
      <c r="VQQ14" s="455"/>
      <c r="VQR14" s="455"/>
      <c r="VQS14" s="455"/>
      <c r="VQT14" s="455"/>
      <c r="VQU14" s="455"/>
      <c r="VQV14" s="1144"/>
      <c r="VQW14" s="1614"/>
      <c r="VQX14" s="455"/>
      <c r="VQY14" s="455"/>
      <c r="VQZ14" s="455"/>
      <c r="VRA14" s="455"/>
      <c r="VRB14" s="455"/>
      <c r="VRC14" s="455"/>
      <c r="VRD14" s="455"/>
      <c r="VRE14" s="455"/>
      <c r="VRF14" s="455"/>
      <c r="VRG14" s="455"/>
      <c r="VRH14" s="1144"/>
      <c r="VRI14" s="1614"/>
      <c r="VRJ14" s="455"/>
      <c r="VRK14" s="455"/>
      <c r="VRL14" s="455"/>
      <c r="VRM14" s="455"/>
      <c r="VRN14" s="455"/>
      <c r="VRO14" s="455"/>
      <c r="VRP14" s="455"/>
      <c r="VRQ14" s="455"/>
      <c r="VRR14" s="455"/>
      <c r="VRS14" s="455"/>
      <c r="VRT14" s="1144"/>
      <c r="VRU14" s="1614"/>
      <c r="VRV14" s="455"/>
      <c r="VRW14" s="455"/>
      <c r="VRX14" s="455"/>
      <c r="VRY14" s="455"/>
      <c r="VRZ14" s="455"/>
      <c r="VSA14" s="455"/>
      <c r="VSB14" s="455"/>
      <c r="VSC14" s="455"/>
      <c r="VSD14" s="455"/>
      <c r="VSE14" s="455"/>
      <c r="VSF14" s="1144"/>
      <c r="VSG14" s="1614"/>
      <c r="VSH14" s="455"/>
      <c r="VSI14" s="455"/>
      <c r="VSJ14" s="455"/>
      <c r="VSK14" s="455"/>
      <c r="VSL14" s="455"/>
      <c r="VSM14" s="455"/>
      <c r="VSN14" s="455"/>
      <c r="VSO14" s="455"/>
      <c r="VSP14" s="455"/>
      <c r="VSQ14" s="455"/>
      <c r="VSR14" s="1144"/>
      <c r="VSS14" s="1614"/>
      <c r="VST14" s="455"/>
      <c r="VSU14" s="455"/>
      <c r="VSV14" s="455"/>
      <c r="VSW14" s="455"/>
      <c r="VSX14" s="455"/>
      <c r="VSY14" s="455"/>
      <c r="VSZ14" s="455"/>
      <c r="VTA14" s="455"/>
      <c r="VTB14" s="455"/>
      <c r="VTC14" s="455"/>
      <c r="VTD14" s="1144"/>
      <c r="VTE14" s="1614"/>
      <c r="VTF14" s="455"/>
      <c r="VTG14" s="455"/>
      <c r="VTH14" s="455"/>
      <c r="VTI14" s="455"/>
      <c r="VTJ14" s="455"/>
      <c r="VTK14" s="455"/>
      <c r="VTL14" s="455"/>
      <c r="VTM14" s="455"/>
      <c r="VTN14" s="455"/>
      <c r="VTO14" s="455"/>
      <c r="VTP14" s="1144"/>
      <c r="VTQ14" s="1614"/>
      <c r="VTR14" s="455"/>
      <c r="VTS14" s="455"/>
      <c r="VTT14" s="455"/>
      <c r="VTU14" s="455"/>
      <c r="VTV14" s="455"/>
      <c r="VTW14" s="455"/>
      <c r="VTX14" s="455"/>
      <c r="VTY14" s="455"/>
      <c r="VTZ14" s="455"/>
      <c r="VUA14" s="455"/>
      <c r="VUB14" s="1144"/>
      <c r="VUC14" s="1614"/>
      <c r="VUD14" s="455"/>
      <c r="VUE14" s="455"/>
      <c r="VUF14" s="455"/>
      <c r="VUG14" s="455"/>
      <c r="VUH14" s="455"/>
      <c r="VUI14" s="455"/>
      <c r="VUJ14" s="455"/>
      <c r="VUK14" s="455"/>
      <c r="VUL14" s="455"/>
      <c r="VUM14" s="455"/>
      <c r="VUN14" s="1144"/>
      <c r="VUO14" s="1614"/>
      <c r="VUP14" s="455"/>
      <c r="VUQ14" s="455"/>
      <c r="VUR14" s="455"/>
      <c r="VUS14" s="455"/>
      <c r="VUT14" s="455"/>
      <c r="VUU14" s="455"/>
      <c r="VUV14" s="455"/>
      <c r="VUW14" s="455"/>
      <c r="VUX14" s="455"/>
      <c r="VUY14" s="455"/>
      <c r="VUZ14" s="1144"/>
      <c r="VVA14" s="1614"/>
      <c r="VVB14" s="455"/>
      <c r="VVC14" s="455"/>
      <c r="VVD14" s="455"/>
      <c r="VVE14" s="455"/>
      <c r="VVF14" s="455"/>
      <c r="VVG14" s="455"/>
      <c r="VVH14" s="455"/>
      <c r="VVI14" s="455"/>
      <c r="VVJ14" s="455"/>
      <c r="VVK14" s="455"/>
      <c r="VVL14" s="1144"/>
      <c r="VVM14" s="1614"/>
      <c r="VVN14" s="455"/>
      <c r="VVO14" s="455"/>
      <c r="VVP14" s="455"/>
      <c r="VVQ14" s="455"/>
      <c r="VVR14" s="455"/>
      <c r="VVS14" s="455"/>
      <c r="VVT14" s="455"/>
      <c r="VVU14" s="455"/>
      <c r="VVV14" s="455"/>
      <c r="VVW14" s="455"/>
      <c r="VVX14" s="1144"/>
      <c r="VVY14" s="1614"/>
      <c r="VVZ14" s="455"/>
      <c r="VWA14" s="455"/>
      <c r="VWB14" s="455"/>
      <c r="VWC14" s="455"/>
      <c r="VWD14" s="455"/>
      <c r="VWE14" s="455"/>
      <c r="VWF14" s="455"/>
      <c r="VWG14" s="455"/>
      <c r="VWH14" s="455"/>
      <c r="VWI14" s="455"/>
      <c r="VWJ14" s="1144"/>
      <c r="VWK14" s="1614"/>
      <c r="VWL14" s="455"/>
      <c r="VWM14" s="455"/>
      <c r="VWN14" s="455"/>
      <c r="VWO14" s="455"/>
      <c r="VWP14" s="455"/>
      <c r="VWQ14" s="455"/>
      <c r="VWR14" s="455"/>
      <c r="VWS14" s="455"/>
      <c r="VWT14" s="455"/>
      <c r="VWU14" s="455"/>
      <c r="VWV14" s="1144"/>
      <c r="VWW14" s="1614"/>
      <c r="VWX14" s="455"/>
      <c r="VWY14" s="455"/>
      <c r="VWZ14" s="455"/>
      <c r="VXA14" s="455"/>
      <c r="VXB14" s="455"/>
      <c r="VXC14" s="455"/>
      <c r="VXD14" s="455"/>
      <c r="VXE14" s="455"/>
      <c r="VXF14" s="455"/>
      <c r="VXG14" s="455"/>
      <c r="VXH14" s="1144"/>
      <c r="VXI14" s="1614"/>
      <c r="VXJ14" s="455"/>
      <c r="VXK14" s="455"/>
      <c r="VXL14" s="455"/>
      <c r="VXM14" s="455"/>
      <c r="VXN14" s="455"/>
      <c r="VXO14" s="455"/>
      <c r="VXP14" s="455"/>
      <c r="VXQ14" s="455"/>
      <c r="VXR14" s="455"/>
      <c r="VXS14" s="455"/>
      <c r="VXT14" s="1144"/>
      <c r="VXU14" s="1614"/>
      <c r="VXV14" s="455"/>
      <c r="VXW14" s="455"/>
      <c r="VXX14" s="455"/>
      <c r="VXY14" s="455"/>
      <c r="VXZ14" s="455"/>
      <c r="VYA14" s="455"/>
      <c r="VYB14" s="455"/>
      <c r="VYC14" s="455"/>
      <c r="VYD14" s="455"/>
      <c r="VYE14" s="455"/>
      <c r="VYF14" s="1144"/>
      <c r="VYG14" s="1614"/>
      <c r="VYH14" s="455"/>
      <c r="VYI14" s="455"/>
      <c r="VYJ14" s="455"/>
      <c r="VYK14" s="455"/>
      <c r="VYL14" s="455"/>
      <c r="VYM14" s="455"/>
      <c r="VYN14" s="455"/>
      <c r="VYO14" s="455"/>
      <c r="VYP14" s="455"/>
      <c r="VYQ14" s="455"/>
      <c r="VYR14" s="1144"/>
      <c r="VYS14" s="1614"/>
      <c r="VYT14" s="455"/>
      <c r="VYU14" s="455"/>
      <c r="VYV14" s="455"/>
      <c r="VYW14" s="455"/>
      <c r="VYX14" s="455"/>
      <c r="VYY14" s="455"/>
      <c r="VYZ14" s="455"/>
      <c r="VZA14" s="455"/>
      <c r="VZB14" s="455"/>
      <c r="VZC14" s="455"/>
      <c r="VZD14" s="1144"/>
      <c r="VZE14" s="1614"/>
      <c r="VZF14" s="455"/>
      <c r="VZG14" s="455"/>
      <c r="VZH14" s="455"/>
      <c r="VZI14" s="455"/>
      <c r="VZJ14" s="455"/>
      <c r="VZK14" s="455"/>
      <c r="VZL14" s="455"/>
      <c r="VZM14" s="455"/>
      <c r="VZN14" s="455"/>
      <c r="VZO14" s="455"/>
      <c r="VZP14" s="1144"/>
      <c r="VZQ14" s="1614"/>
      <c r="VZR14" s="455"/>
      <c r="VZS14" s="455"/>
      <c r="VZT14" s="455"/>
      <c r="VZU14" s="455"/>
      <c r="VZV14" s="455"/>
      <c r="VZW14" s="455"/>
      <c r="VZX14" s="455"/>
      <c r="VZY14" s="455"/>
      <c r="VZZ14" s="455"/>
      <c r="WAA14" s="455"/>
      <c r="WAB14" s="1144"/>
      <c r="WAC14" s="1614"/>
      <c r="WAD14" s="455"/>
      <c r="WAE14" s="455"/>
      <c r="WAF14" s="455"/>
      <c r="WAG14" s="455"/>
      <c r="WAH14" s="455"/>
      <c r="WAI14" s="455"/>
      <c r="WAJ14" s="455"/>
      <c r="WAK14" s="455"/>
      <c r="WAL14" s="455"/>
      <c r="WAM14" s="455"/>
      <c r="WAN14" s="1144"/>
      <c r="WAO14" s="1614"/>
      <c r="WAP14" s="455"/>
      <c r="WAQ14" s="455"/>
      <c r="WAR14" s="455"/>
      <c r="WAS14" s="455"/>
      <c r="WAT14" s="455"/>
      <c r="WAU14" s="455"/>
      <c r="WAV14" s="455"/>
      <c r="WAW14" s="455"/>
      <c r="WAX14" s="455"/>
      <c r="WAY14" s="455"/>
      <c r="WAZ14" s="1144"/>
      <c r="WBA14" s="1614"/>
      <c r="WBB14" s="455"/>
      <c r="WBC14" s="455"/>
      <c r="WBD14" s="455"/>
      <c r="WBE14" s="455"/>
      <c r="WBF14" s="455"/>
      <c r="WBG14" s="455"/>
      <c r="WBH14" s="455"/>
      <c r="WBI14" s="455"/>
      <c r="WBJ14" s="455"/>
      <c r="WBK14" s="455"/>
      <c r="WBL14" s="1144"/>
      <c r="WBM14" s="1614"/>
      <c r="WBN14" s="455"/>
      <c r="WBO14" s="455"/>
      <c r="WBP14" s="455"/>
      <c r="WBQ14" s="455"/>
      <c r="WBR14" s="455"/>
      <c r="WBS14" s="455"/>
      <c r="WBT14" s="455"/>
      <c r="WBU14" s="455"/>
      <c r="WBV14" s="455"/>
      <c r="WBW14" s="455"/>
      <c r="WBX14" s="1144"/>
      <c r="WBY14" s="1614"/>
      <c r="WBZ14" s="455"/>
      <c r="WCA14" s="455"/>
      <c r="WCB14" s="455"/>
      <c r="WCC14" s="455"/>
      <c r="WCD14" s="455"/>
      <c r="WCE14" s="455"/>
      <c r="WCF14" s="455"/>
      <c r="WCG14" s="455"/>
      <c r="WCH14" s="455"/>
      <c r="WCI14" s="455"/>
      <c r="WCJ14" s="1144"/>
      <c r="WCK14" s="1614"/>
      <c r="WCL14" s="455"/>
      <c r="WCM14" s="455"/>
      <c r="WCN14" s="455"/>
      <c r="WCO14" s="455"/>
      <c r="WCP14" s="455"/>
      <c r="WCQ14" s="455"/>
      <c r="WCR14" s="455"/>
      <c r="WCS14" s="455"/>
      <c r="WCT14" s="455"/>
      <c r="WCU14" s="455"/>
      <c r="WCV14" s="1144"/>
      <c r="WCW14" s="1614"/>
      <c r="WCX14" s="455"/>
      <c r="WCY14" s="455"/>
      <c r="WCZ14" s="455"/>
      <c r="WDA14" s="455"/>
      <c r="WDB14" s="455"/>
      <c r="WDC14" s="455"/>
      <c r="WDD14" s="455"/>
      <c r="WDE14" s="455"/>
      <c r="WDF14" s="455"/>
      <c r="WDG14" s="455"/>
      <c r="WDH14" s="1144"/>
      <c r="WDI14" s="1614"/>
      <c r="WDJ14" s="455"/>
      <c r="WDK14" s="455"/>
      <c r="WDL14" s="455"/>
      <c r="WDM14" s="455"/>
      <c r="WDN14" s="455"/>
      <c r="WDO14" s="455"/>
      <c r="WDP14" s="455"/>
      <c r="WDQ14" s="455"/>
      <c r="WDR14" s="455"/>
      <c r="WDS14" s="455"/>
      <c r="WDT14" s="1144"/>
      <c r="WDU14" s="1614"/>
      <c r="WDV14" s="455"/>
      <c r="WDW14" s="455"/>
      <c r="WDX14" s="455"/>
      <c r="WDY14" s="455"/>
      <c r="WDZ14" s="455"/>
      <c r="WEA14" s="455"/>
      <c r="WEB14" s="455"/>
      <c r="WEC14" s="455"/>
      <c r="WED14" s="455"/>
      <c r="WEE14" s="455"/>
      <c r="WEF14" s="1144"/>
      <c r="WEG14" s="1614"/>
      <c r="WEH14" s="455"/>
      <c r="WEI14" s="455"/>
      <c r="WEJ14" s="455"/>
      <c r="WEK14" s="455"/>
      <c r="WEL14" s="455"/>
      <c r="WEM14" s="455"/>
      <c r="WEN14" s="455"/>
      <c r="WEO14" s="455"/>
      <c r="WEP14" s="455"/>
      <c r="WEQ14" s="455"/>
      <c r="WER14" s="1144"/>
      <c r="WES14" s="1614"/>
      <c r="WET14" s="455"/>
      <c r="WEU14" s="455"/>
      <c r="WEV14" s="455"/>
      <c r="WEW14" s="455"/>
      <c r="WEX14" s="455"/>
      <c r="WEY14" s="455"/>
      <c r="WEZ14" s="455"/>
      <c r="WFA14" s="455"/>
      <c r="WFB14" s="455"/>
      <c r="WFC14" s="455"/>
      <c r="WFD14" s="1144"/>
      <c r="WFE14" s="1614"/>
      <c r="WFF14" s="455"/>
      <c r="WFG14" s="455"/>
      <c r="WFH14" s="455"/>
      <c r="WFI14" s="455"/>
      <c r="WFJ14" s="455"/>
      <c r="WFK14" s="455"/>
      <c r="WFL14" s="455"/>
      <c r="WFM14" s="455"/>
      <c r="WFN14" s="455"/>
      <c r="WFO14" s="455"/>
      <c r="WFP14" s="1144"/>
      <c r="WFQ14" s="1614"/>
      <c r="WFR14" s="455"/>
      <c r="WFS14" s="455"/>
      <c r="WFT14" s="455"/>
      <c r="WFU14" s="455"/>
      <c r="WFV14" s="455"/>
      <c r="WFW14" s="455"/>
      <c r="WFX14" s="455"/>
      <c r="WFY14" s="455"/>
      <c r="WFZ14" s="455"/>
      <c r="WGA14" s="455"/>
      <c r="WGB14" s="1144"/>
      <c r="WGC14" s="1614"/>
      <c r="WGD14" s="455"/>
      <c r="WGE14" s="455"/>
      <c r="WGF14" s="455"/>
      <c r="WGG14" s="455"/>
      <c r="WGH14" s="455"/>
      <c r="WGI14" s="455"/>
      <c r="WGJ14" s="455"/>
      <c r="WGK14" s="455"/>
      <c r="WGL14" s="455"/>
      <c r="WGM14" s="455"/>
      <c r="WGN14" s="1144"/>
      <c r="WGO14" s="1614"/>
      <c r="WGP14" s="455"/>
      <c r="WGQ14" s="455"/>
      <c r="WGR14" s="455"/>
      <c r="WGS14" s="455"/>
      <c r="WGT14" s="455"/>
      <c r="WGU14" s="455"/>
      <c r="WGV14" s="455"/>
      <c r="WGW14" s="455"/>
      <c r="WGX14" s="455"/>
      <c r="WGY14" s="455"/>
      <c r="WGZ14" s="1144"/>
      <c r="WHA14" s="1614"/>
      <c r="WHB14" s="455"/>
      <c r="WHC14" s="455"/>
      <c r="WHD14" s="455"/>
      <c r="WHE14" s="455"/>
      <c r="WHF14" s="455"/>
      <c r="WHG14" s="455"/>
      <c r="WHH14" s="455"/>
      <c r="WHI14" s="455"/>
      <c r="WHJ14" s="455"/>
      <c r="WHK14" s="455"/>
      <c r="WHL14" s="1144"/>
      <c r="WHM14" s="1614"/>
      <c r="WHN14" s="455"/>
      <c r="WHO14" s="455"/>
      <c r="WHP14" s="455"/>
      <c r="WHQ14" s="455"/>
      <c r="WHR14" s="455"/>
      <c r="WHS14" s="455"/>
      <c r="WHT14" s="455"/>
      <c r="WHU14" s="455"/>
      <c r="WHV14" s="455"/>
      <c r="WHW14" s="455"/>
      <c r="WHX14" s="1144"/>
      <c r="WHY14" s="1614"/>
      <c r="WHZ14" s="455"/>
      <c r="WIA14" s="455"/>
      <c r="WIB14" s="455"/>
      <c r="WIC14" s="455"/>
      <c r="WID14" s="455"/>
      <c r="WIE14" s="455"/>
      <c r="WIF14" s="455"/>
      <c r="WIG14" s="455"/>
      <c r="WIH14" s="455"/>
      <c r="WII14" s="455"/>
      <c r="WIJ14" s="1144"/>
      <c r="WIK14" s="1614"/>
      <c r="WIL14" s="455"/>
      <c r="WIM14" s="455"/>
      <c r="WIN14" s="455"/>
      <c r="WIO14" s="455"/>
      <c r="WIP14" s="455"/>
      <c r="WIQ14" s="455"/>
      <c r="WIR14" s="455"/>
      <c r="WIS14" s="455"/>
      <c r="WIT14" s="455"/>
      <c r="WIU14" s="455"/>
      <c r="WIV14" s="1144"/>
      <c r="WIW14" s="1614"/>
      <c r="WIX14" s="455"/>
      <c r="WIY14" s="455"/>
      <c r="WIZ14" s="455"/>
      <c r="WJA14" s="455"/>
      <c r="WJB14" s="455"/>
      <c r="WJC14" s="455"/>
      <c r="WJD14" s="455"/>
      <c r="WJE14" s="455"/>
      <c r="WJF14" s="455"/>
      <c r="WJG14" s="455"/>
      <c r="WJH14" s="1144"/>
      <c r="WJI14" s="1614"/>
      <c r="WJJ14" s="455"/>
      <c r="WJK14" s="455"/>
      <c r="WJL14" s="455"/>
      <c r="WJM14" s="455"/>
      <c r="WJN14" s="455"/>
      <c r="WJO14" s="455"/>
      <c r="WJP14" s="455"/>
      <c r="WJQ14" s="455"/>
      <c r="WJR14" s="455"/>
      <c r="WJS14" s="455"/>
      <c r="WJT14" s="1144"/>
      <c r="WJU14" s="1614"/>
      <c r="WJV14" s="455"/>
      <c r="WJW14" s="455"/>
      <c r="WJX14" s="455"/>
      <c r="WJY14" s="455"/>
      <c r="WJZ14" s="455"/>
      <c r="WKA14" s="455"/>
      <c r="WKB14" s="455"/>
      <c r="WKC14" s="455"/>
      <c r="WKD14" s="455"/>
      <c r="WKE14" s="455"/>
      <c r="WKF14" s="1144"/>
      <c r="WKG14" s="1614"/>
      <c r="WKH14" s="455"/>
      <c r="WKI14" s="455"/>
      <c r="WKJ14" s="455"/>
      <c r="WKK14" s="455"/>
      <c r="WKL14" s="455"/>
      <c r="WKM14" s="455"/>
      <c r="WKN14" s="455"/>
      <c r="WKO14" s="455"/>
      <c r="WKP14" s="455"/>
      <c r="WKQ14" s="455"/>
      <c r="WKR14" s="1144"/>
      <c r="WKS14" s="1614"/>
      <c r="WKT14" s="455"/>
      <c r="WKU14" s="455"/>
      <c r="WKV14" s="455"/>
      <c r="WKW14" s="455"/>
      <c r="WKX14" s="455"/>
      <c r="WKY14" s="455"/>
      <c r="WKZ14" s="455"/>
      <c r="WLA14" s="455"/>
      <c r="WLB14" s="455"/>
      <c r="WLC14" s="455"/>
      <c r="WLD14" s="1144"/>
      <c r="WLE14" s="1614"/>
      <c r="WLF14" s="455"/>
      <c r="WLG14" s="455"/>
      <c r="WLH14" s="455"/>
      <c r="WLI14" s="455"/>
      <c r="WLJ14" s="455"/>
      <c r="WLK14" s="455"/>
      <c r="WLL14" s="455"/>
      <c r="WLM14" s="455"/>
      <c r="WLN14" s="455"/>
      <c r="WLO14" s="455"/>
      <c r="WLP14" s="1144"/>
      <c r="WLQ14" s="1614"/>
      <c r="WLR14" s="455"/>
      <c r="WLS14" s="455"/>
      <c r="WLT14" s="455"/>
      <c r="WLU14" s="455"/>
      <c r="WLV14" s="455"/>
      <c r="WLW14" s="455"/>
      <c r="WLX14" s="455"/>
      <c r="WLY14" s="455"/>
      <c r="WLZ14" s="455"/>
      <c r="WMA14" s="455"/>
      <c r="WMB14" s="1144"/>
      <c r="WMC14" s="1614"/>
      <c r="WMD14" s="455"/>
      <c r="WME14" s="455"/>
      <c r="WMF14" s="455"/>
      <c r="WMG14" s="455"/>
      <c r="WMH14" s="455"/>
      <c r="WMI14" s="455"/>
      <c r="WMJ14" s="455"/>
      <c r="WMK14" s="455"/>
      <c r="WML14" s="455"/>
      <c r="WMM14" s="455"/>
      <c r="WMN14" s="1144"/>
      <c r="WMO14" s="1614"/>
      <c r="WMP14" s="455"/>
      <c r="WMQ14" s="455"/>
      <c r="WMR14" s="455"/>
      <c r="WMS14" s="455"/>
      <c r="WMT14" s="455"/>
      <c r="WMU14" s="455"/>
      <c r="WMV14" s="455"/>
      <c r="WMW14" s="455"/>
      <c r="WMX14" s="455"/>
      <c r="WMY14" s="455"/>
      <c r="WMZ14" s="1144"/>
      <c r="WNA14" s="1614"/>
      <c r="WNB14" s="455"/>
      <c r="WNC14" s="455"/>
      <c r="WND14" s="455"/>
      <c r="WNE14" s="455"/>
      <c r="WNF14" s="455"/>
      <c r="WNG14" s="455"/>
      <c r="WNH14" s="455"/>
      <c r="WNI14" s="455"/>
      <c r="WNJ14" s="455"/>
      <c r="WNK14" s="455"/>
      <c r="WNL14" s="1144"/>
      <c r="WNM14" s="1614"/>
      <c r="WNN14" s="455"/>
      <c r="WNO14" s="455"/>
      <c r="WNP14" s="455"/>
      <c r="WNQ14" s="455"/>
      <c r="WNR14" s="455"/>
      <c r="WNS14" s="455"/>
      <c r="WNT14" s="455"/>
      <c r="WNU14" s="455"/>
      <c r="WNV14" s="455"/>
      <c r="WNW14" s="455"/>
      <c r="WNX14" s="1144"/>
      <c r="WNY14" s="1614"/>
      <c r="WNZ14" s="455"/>
      <c r="WOA14" s="455"/>
      <c r="WOB14" s="455"/>
      <c r="WOC14" s="455"/>
      <c r="WOD14" s="455"/>
      <c r="WOE14" s="455"/>
      <c r="WOF14" s="455"/>
      <c r="WOG14" s="455"/>
      <c r="WOH14" s="455"/>
      <c r="WOI14" s="455"/>
      <c r="WOJ14" s="1144"/>
      <c r="WOK14" s="1614"/>
      <c r="WOL14" s="455"/>
      <c r="WOM14" s="455"/>
      <c r="WON14" s="455"/>
      <c r="WOO14" s="455"/>
      <c r="WOP14" s="455"/>
      <c r="WOQ14" s="455"/>
      <c r="WOR14" s="455"/>
      <c r="WOS14" s="455"/>
      <c r="WOT14" s="455"/>
      <c r="WOU14" s="455"/>
      <c r="WOV14" s="1144"/>
      <c r="WOW14" s="1614"/>
      <c r="WOX14" s="455"/>
      <c r="WOY14" s="455"/>
      <c r="WOZ14" s="455"/>
      <c r="WPA14" s="455"/>
      <c r="WPB14" s="455"/>
      <c r="WPC14" s="455"/>
      <c r="WPD14" s="455"/>
      <c r="WPE14" s="455"/>
      <c r="WPF14" s="455"/>
      <c r="WPG14" s="455"/>
      <c r="WPH14" s="1144"/>
      <c r="WPI14" s="1614"/>
      <c r="WPJ14" s="455"/>
      <c r="WPK14" s="455"/>
      <c r="WPL14" s="455"/>
      <c r="WPM14" s="455"/>
      <c r="WPN14" s="455"/>
      <c r="WPO14" s="455"/>
      <c r="WPP14" s="455"/>
      <c r="WPQ14" s="455"/>
      <c r="WPR14" s="455"/>
      <c r="WPS14" s="455"/>
      <c r="WPT14" s="1144"/>
      <c r="WPU14" s="1614"/>
      <c r="WPV14" s="455"/>
      <c r="WPW14" s="455"/>
      <c r="WPX14" s="455"/>
      <c r="WPY14" s="455"/>
      <c r="WPZ14" s="455"/>
      <c r="WQA14" s="455"/>
      <c r="WQB14" s="455"/>
      <c r="WQC14" s="455"/>
      <c r="WQD14" s="455"/>
      <c r="WQE14" s="455"/>
      <c r="WQF14" s="1144"/>
      <c r="WQG14" s="1614"/>
      <c r="WQH14" s="455"/>
      <c r="WQI14" s="455"/>
      <c r="WQJ14" s="455"/>
      <c r="WQK14" s="455"/>
      <c r="WQL14" s="455"/>
      <c r="WQM14" s="455"/>
      <c r="WQN14" s="455"/>
      <c r="WQO14" s="455"/>
      <c r="WQP14" s="455"/>
      <c r="WQQ14" s="455"/>
      <c r="WQR14" s="1144"/>
      <c r="WQS14" s="1614"/>
      <c r="WQT14" s="455"/>
      <c r="WQU14" s="455"/>
      <c r="WQV14" s="455"/>
      <c r="WQW14" s="455"/>
      <c r="WQX14" s="455"/>
      <c r="WQY14" s="455"/>
      <c r="WQZ14" s="455"/>
      <c r="WRA14" s="455"/>
      <c r="WRB14" s="455"/>
      <c r="WRC14" s="455"/>
      <c r="WRD14" s="1144"/>
      <c r="WRE14" s="1614"/>
      <c r="WRF14" s="455"/>
      <c r="WRG14" s="455"/>
      <c r="WRH14" s="455"/>
      <c r="WRI14" s="455"/>
      <c r="WRJ14" s="455"/>
      <c r="WRK14" s="455"/>
      <c r="WRL14" s="455"/>
      <c r="WRM14" s="455"/>
      <c r="WRN14" s="455"/>
      <c r="WRO14" s="455"/>
      <c r="WRP14" s="1144"/>
      <c r="WRQ14" s="1614"/>
      <c r="WRR14" s="455"/>
      <c r="WRS14" s="455"/>
      <c r="WRT14" s="455"/>
      <c r="WRU14" s="455"/>
      <c r="WRV14" s="455"/>
      <c r="WRW14" s="455"/>
      <c r="WRX14" s="455"/>
      <c r="WRY14" s="455"/>
      <c r="WRZ14" s="455"/>
      <c r="WSA14" s="455"/>
      <c r="WSB14" s="1144"/>
      <c r="WSC14" s="1614"/>
      <c r="WSD14" s="455"/>
      <c r="WSE14" s="455"/>
      <c r="WSF14" s="455"/>
      <c r="WSG14" s="455"/>
      <c r="WSH14" s="455"/>
      <c r="WSI14" s="455"/>
      <c r="WSJ14" s="455"/>
      <c r="WSK14" s="455"/>
      <c r="WSL14" s="455"/>
      <c r="WSM14" s="455"/>
      <c r="WSN14" s="1144"/>
      <c r="WSO14" s="1614"/>
      <c r="WSP14" s="455"/>
      <c r="WSQ14" s="455"/>
      <c r="WSR14" s="455"/>
      <c r="WSS14" s="455"/>
      <c r="WST14" s="455"/>
      <c r="WSU14" s="455"/>
      <c r="WSV14" s="455"/>
      <c r="WSW14" s="455"/>
      <c r="WSX14" s="455"/>
      <c r="WSY14" s="455"/>
      <c r="WSZ14" s="1144"/>
      <c r="WTA14" s="1614"/>
      <c r="WTB14" s="455"/>
      <c r="WTC14" s="455"/>
      <c r="WTD14" s="455"/>
      <c r="WTE14" s="455"/>
      <c r="WTF14" s="455"/>
      <c r="WTG14" s="455"/>
      <c r="WTH14" s="455"/>
      <c r="WTI14" s="455"/>
      <c r="WTJ14" s="455"/>
      <c r="WTK14" s="455"/>
      <c r="WTL14" s="1144"/>
      <c r="WTM14" s="1614"/>
      <c r="WTN14" s="455"/>
      <c r="WTO14" s="455"/>
      <c r="WTP14" s="455"/>
      <c r="WTQ14" s="455"/>
      <c r="WTR14" s="455"/>
      <c r="WTS14" s="455"/>
      <c r="WTT14" s="455"/>
      <c r="WTU14" s="455"/>
      <c r="WTV14" s="455"/>
      <c r="WTW14" s="455"/>
      <c r="WTX14" s="1144"/>
      <c r="WTY14" s="1614"/>
      <c r="WTZ14" s="455"/>
      <c r="WUA14" s="455"/>
      <c r="WUB14" s="455"/>
      <c r="WUC14" s="455"/>
      <c r="WUD14" s="455"/>
      <c r="WUE14" s="455"/>
      <c r="WUF14" s="455"/>
      <c r="WUG14" s="455"/>
      <c r="WUH14" s="455"/>
      <c r="WUI14" s="455"/>
      <c r="WUJ14" s="1144"/>
      <c r="WUK14" s="1614"/>
      <c r="WUL14" s="455"/>
      <c r="WUM14" s="455"/>
      <c r="WUN14" s="455"/>
      <c r="WUO14" s="455"/>
      <c r="WUP14" s="455"/>
      <c r="WUQ14" s="455"/>
      <c r="WUR14" s="455"/>
      <c r="WUS14" s="455"/>
      <c r="WUT14" s="455"/>
      <c r="WUU14" s="455"/>
      <c r="WUV14" s="1144"/>
      <c r="WUW14" s="1614"/>
      <c r="WUX14" s="455"/>
      <c r="WUY14" s="455"/>
      <c r="WUZ14" s="455"/>
      <c r="WVA14" s="455"/>
      <c r="WVB14" s="455"/>
      <c r="WVC14" s="455"/>
      <c r="WVD14" s="455"/>
      <c r="WVE14" s="455"/>
      <c r="WVF14" s="455"/>
      <c r="WVG14" s="455"/>
      <c r="WVH14" s="1144"/>
      <c r="WVI14" s="1614"/>
      <c r="WVJ14" s="455"/>
      <c r="WVK14" s="455"/>
      <c r="WVL14" s="455"/>
      <c r="WVM14" s="455"/>
      <c r="WVN14" s="455"/>
      <c r="WVO14" s="455"/>
      <c r="WVP14" s="455"/>
      <c r="WVQ14" s="455"/>
      <c r="WVR14" s="455"/>
      <c r="WVS14" s="455"/>
      <c r="WVT14" s="1144"/>
      <c r="WVU14" s="1614"/>
      <c r="WVV14" s="455"/>
      <c r="WVW14" s="455"/>
      <c r="WVX14" s="455"/>
      <c r="WVY14" s="455"/>
      <c r="WVZ14" s="455"/>
      <c r="WWA14" s="455"/>
      <c r="WWB14" s="455"/>
      <c r="WWC14" s="455"/>
      <c r="WWD14" s="455"/>
      <c r="WWE14" s="455"/>
      <c r="WWF14" s="1144"/>
      <c r="WWG14" s="1614"/>
      <c r="WWH14" s="455"/>
      <c r="WWI14" s="455"/>
      <c r="WWJ14" s="455"/>
      <c r="WWK14" s="455"/>
      <c r="WWL14" s="455"/>
      <c r="WWM14" s="455"/>
      <c r="WWN14" s="455"/>
      <c r="WWO14" s="455"/>
      <c r="WWP14" s="455"/>
      <c r="WWQ14" s="455"/>
      <c r="WWR14" s="1144"/>
      <c r="WWS14" s="1614"/>
      <c r="WWT14" s="455"/>
      <c r="WWU14" s="455"/>
      <c r="WWV14" s="455"/>
      <c r="WWW14" s="455"/>
      <c r="WWX14" s="455"/>
      <c r="WWY14" s="455"/>
      <c r="WWZ14" s="455"/>
      <c r="WXA14" s="455"/>
      <c r="WXB14" s="455"/>
      <c r="WXC14" s="455"/>
      <c r="WXD14" s="1144"/>
      <c r="WXE14" s="1614"/>
      <c r="WXF14" s="455"/>
      <c r="WXG14" s="455"/>
      <c r="WXH14" s="455"/>
      <c r="WXI14" s="455"/>
      <c r="WXJ14" s="455"/>
      <c r="WXK14" s="455"/>
      <c r="WXL14" s="455"/>
      <c r="WXM14" s="455"/>
      <c r="WXN14" s="455"/>
      <c r="WXO14" s="455"/>
      <c r="WXP14" s="1144"/>
      <c r="WXQ14" s="1614"/>
      <c r="WXR14" s="455"/>
      <c r="WXS14" s="455"/>
      <c r="WXT14" s="455"/>
      <c r="WXU14" s="455"/>
      <c r="WXV14" s="455"/>
      <c r="WXW14" s="455"/>
      <c r="WXX14" s="455"/>
      <c r="WXY14" s="455"/>
      <c r="WXZ14" s="455"/>
      <c r="WYA14" s="455"/>
      <c r="WYB14" s="1144"/>
      <c r="WYC14" s="1614"/>
      <c r="WYD14" s="455"/>
      <c r="WYE14" s="455"/>
      <c r="WYF14" s="455"/>
      <c r="WYG14" s="455"/>
      <c r="WYH14" s="455"/>
      <c r="WYI14" s="455"/>
      <c r="WYJ14" s="455"/>
      <c r="WYK14" s="455"/>
      <c r="WYL14" s="455"/>
      <c r="WYM14" s="455"/>
      <c r="WYN14" s="1144"/>
      <c r="WYO14" s="1614"/>
      <c r="WYP14" s="455"/>
      <c r="WYQ14" s="455"/>
      <c r="WYR14" s="455"/>
      <c r="WYS14" s="455"/>
      <c r="WYT14" s="455"/>
      <c r="WYU14" s="455"/>
      <c r="WYV14" s="455"/>
      <c r="WYW14" s="455"/>
      <c r="WYX14" s="455"/>
      <c r="WYY14" s="455"/>
      <c r="WYZ14" s="1144"/>
      <c r="WZA14" s="1614"/>
      <c r="WZB14" s="455"/>
      <c r="WZC14" s="455"/>
      <c r="WZD14" s="455"/>
      <c r="WZE14" s="455"/>
      <c r="WZF14" s="455"/>
      <c r="WZG14" s="455"/>
      <c r="WZH14" s="455"/>
      <c r="WZI14" s="455"/>
      <c r="WZJ14" s="455"/>
      <c r="WZK14" s="455"/>
      <c r="WZL14" s="1144"/>
      <c r="WZM14" s="1614"/>
      <c r="WZN14" s="455"/>
      <c r="WZO14" s="455"/>
      <c r="WZP14" s="455"/>
      <c r="WZQ14" s="455"/>
      <c r="WZR14" s="455"/>
      <c r="WZS14" s="455"/>
      <c r="WZT14" s="455"/>
      <c r="WZU14" s="455"/>
      <c r="WZV14" s="455"/>
      <c r="WZW14" s="455"/>
      <c r="WZX14" s="1144"/>
      <c r="WZY14" s="1614"/>
      <c r="WZZ14" s="455"/>
      <c r="XAA14" s="455"/>
      <c r="XAB14" s="455"/>
      <c r="XAC14" s="455"/>
      <c r="XAD14" s="455"/>
      <c r="XAE14" s="455"/>
      <c r="XAF14" s="455"/>
      <c r="XAG14" s="455"/>
      <c r="XAH14" s="455"/>
      <c r="XAI14" s="455"/>
      <c r="XAJ14" s="1144"/>
      <c r="XAK14" s="1614"/>
      <c r="XAL14" s="455"/>
      <c r="XAM14" s="455"/>
      <c r="XAN14" s="455"/>
      <c r="XAO14" s="455"/>
      <c r="XAP14" s="455"/>
      <c r="XAQ14" s="455"/>
      <c r="XAR14" s="455"/>
      <c r="XAS14" s="455"/>
      <c r="XAT14" s="455"/>
      <c r="XAU14" s="455"/>
      <c r="XAV14" s="1144"/>
      <c r="XAW14" s="1614"/>
      <c r="XAX14" s="455"/>
      <c r="XAY14" s="455"/>
      <c r="XAZ14" s="455"/>
      <c r="XBA14" s="455"/>
      <c r="XBB14" s="455"/>
      <c r="XBC14" s="455"/>
      <c r="XBD14" s="455"/>
      <c r="XBE14" s="455"/>
      <c r="XBF14" s="455"/>
      <c r="XBG14" s="455"/>
      <c r="XBH14" s="1144"/>
      <c r="XBI14" s="1614"/>
      <c r="XBJ14" s="455"/>
      <c r="XBK14" s="455"/>
      <c r="XBL14" s="455"/>
      <c r="XBM14" s="455"/>
      <c r="XBN14" s="455"/>
      <c r="XBO14" s="455"/>
      <c r="XBP14" s="455"/>
      <c r="XBQ14" s="455"/>
      <c r="XBR14" s="455"/>
      <c r="XBS14" s="455"/>
      <c r="XBT14" s="1144"/>
      <c r="XBU14" s="1614"/>
      <c r="XBV14" s="455"/>
      <c r="XBW14" s="455"/>
      <c r="XBX14" s="455"/>
      <c r="XBY14" s="455"/>
      <c r="XBZ14" s="455"/>
      <c r="XCA14" s="455"/>
      <c r="XCB14" s="455"/>
      <c r="XCC14" s="455"/>
      <c r="XCD14" s="455"/>
      <c r="XCE14" s="455"/>
      <c r="XCF14" s="1144"/>
      <c r="XCG14" s="1614"/>
      <c r="XCH14" s="455"/>
      <c r="XCI14" s="455"/>
      <c r="XCJ14" s="455"/>
      <c r="XCK14" s="455"/>
      <c r="XCL14" s="455"/>
      <c r="XCM14" s="455"/>
      <c r="XCN14" s="455"/>
      <c r="XCO14" s="455"/>
      <c r="XCP14" s="455"/>
      <c r="XCQ14" s="455"/>
      <c r="XCR14" s="1144"/>
      <c r="XCS14" s="1614"/>
      <c r="XCT14" s="455"/>
      <c r="XCU14" s="455"/>
      <c r="XCV14" s="455"/>
      <c r="XCW14" s="455"/>
      <c r="XCX14" s="455"/>
      <c r="XCY14" s="455"/>
      <c r="XCZ14" s="455"/>
      <c r="XDA14" s="455"/>
      <c r="XDB14" s="455"/>
      <c r="XDC14" s="455"/>
      <c r="XDD14" s="1144"/>
      <c r="XDE14" s="1614"/>
      <c r="XDF14" s="455"/>
      <c r="XDG14" s="455"/>
      <c r="XDH14" s="455"/>
      <c r="XDI14" s="455"/>
      <c r="XDJ14" s="455"/>
      <c r="XDK14" s="455"/>
      <c r="XDL14" s="455"/>
      <c r="XDM14" s="455"/>
      <c r="XDN14" s="455"/>
      <c r="XDO14" s="455"/>
      <c r="XDP14" s="1144"/>
      <c r="XDQ14" s="1614"/>
      <c r="XDR14" s="455"/>
      <c r="XDS14" s="455"/>
      <c r="XDT14" s="455"/>
      <c r="XDU14" s="455"/>
      <c r="XDV14" s="455"/>
      <c r="XDW14" s="455"/>
      <c r="XDX14" s="455"/>
      <c r="XDY14" s="455"/>
      <c r="XDZ14" s="455"/>
      <c r="XEA14" s="455"/>
      <c r="XEB14" s="1144"/>
      <c r="XEC14" s="1614"/>
      <c r="XED14" s="455"/>
      <c r="XEE14" s="455"/>
      <c r="XEF14" s="455"/>
      <c r="XEG14" s="455"/>
      <c r="XEH14" s="455"/>
      <c r="XEI14" s="455"/>
      <c r="XEJ14" s="455"/>
      <c r="XEK14" s="455"/>
      <c r="XEL14" s="455"/>
      <c r="XEM14" s="455"/>
      <c r="XEN14" s="1144"/>
      <c r="XEO14" s="1614"/>
      <c r="XEP14" s="455"/>
      <c r="XEQ14" s="455"/>
      <c r="XER14" s="455"/>
      <c r="XES14" s="455"/>
      <c r="XET14" s="455"/>
      <c r="XEU14" s="455"/>
      <c r="XEV14" s="455"/>
      <c r="XEW14" s="455"/>
      <c r="XEX14" s="455"/>
      <c r="XEY14" s="455"/>
      <c r="XEZ14" s="1144"/>
      <c r="XFA14" s="1614"/>
      <c r="XFB14" s="455"/>
      <c r="XFC14" s="455"/>
      <c r="XFD14" s="455"/>
    </row>
    <row r="15" spans="1:16384" s="469" customFormat="1" ht="12.6" customHeight="1">
      <c r="A15" s="848" t="s">
        <v>2088</v>
      </c>
      <c r="B15" s="531">
        <v>387349.911103677</v>
      </c>
      <c r="C15" s="531">
        <v>0</v>
      </c>
      <c r="D15" s="531">
        <v>11966.745926049949</v>
      </c>
      <c r="E15" s="531">
        <v>51026.618835131594</v>
      </c>
      <c r="F15" s="531">
        <v>62993.36476118154</v>
      </c>
      <c r="G15" s="531">
        <v>33197.991050672099</v>
      </c>
      <c r="H15" s="531">
        <v>1188220.97403525</v>
      </c>
      <c r="I15" s="531">
        <v>1221418.965085922</v>
      </c>
      <c r="J15" s="531">
        <v>255180.05278878909</v>
      </c>
      <c r="K15" s="531">
        <v>1926942.2937395696</v>
      </c>
      <c r="L15" s="1694" t="s">
        <v>2088</v>
      </c>
      <c r="M15" s="518"/>
      <c r="N15" s="162"/>
      <c r="O15" s="162"/>
      <c r="P15" s="162"/>
      <c r="Q15" s="162"/>
    </row>
    <row r="16" spans="1:16384" s="469" customFormat="1" ht="12.6" customHeight="1">
      <c r="A16" s="1678" t="s">
        <v>2228</v>
      </c>
      <c r="B16" s="533">
        <f>B28</f>
        <v>424877.09532937198</v>
      </c>
      <c r="C16" s="533">
        <f t="shared" ref="C16:K16" si="0">C28</f>
        <v>0</v>
      </c>
      <c r="D16" s="533">
        <f t="shared" si="0"/>
        <v>11890.595936132791</v>
      </c>
      <c r="E16" s="533">
        <f t="shared" si="0"/>
        <v>48991.827955407753</v>
      </c>
      <c r="F16" s="533">
        <f t="shared" si="0"/>
        <v>60882.423891540544</v>
      </c>
      <c r="G16" s="533">
        <f t="shared" si="0"/>
        <v>37521.745157030498</v>
      </c>
      <c r="H16" s="533">
        <f t="shared" si="0"/>
        <v>1318438.81654796</v>
      </c>
      <c r="I16" s="533">
        <f t="shared" si="0"/>
        <v>1355960.5617049905</v>
      </c>
      <c r="J16" s="533">
        <f t="shared" si="0"/>
        <v>273815.60125618597</v>
      </c>
      <c r="K16" s="533">
        <f t="shared" si="0"/>
        <v>2115535.682182089</v>
      </c>
      <c r="L16" s="355" t="s">
        <v>2228</v>
      </c>
      <c r="M16" s="518"/>
      <c r="N16" s="162"/>
      <c r="O16" s="162"/>
      <c r="P16" s="167"/>
      <c r="Q16" s="167"/>
    </row>
    <row r="17" spans="1:17" s="469" customFormat="1" ht="12.6" customHeight="1">
      <c r="A17" s="223" t="s">
        <v>559</v>
      </c>
      <c r="B17" s="455">
        <v>389687.28394171601</v>
      </c>
      <c r="C17" s="455">
        <v>0</v>
      </c>
      <c r="D17" s="455">
        <v>11910.534197309789</v>
      </c>
      <c r="E17" s="455">
        <v>49577.653250548712</v>
      </c>
      <c r="F17" s="455">
        <f t="shared" ref="F17:F28" si="1">D17+E17</f>
        <v>61488.187447858501</v>
      </c>
      <c r="G17" s="455">
        <v>33126.846834725198</v>
      </c>
      <c r="H17" s="455">
        <v>1180486.14235387</v>
      </c>
      <c r="I17" s="455">
        <f t="shared" ref="I17:I28" si="2">G17+H17</f>
        <v>1213612.9891885952</v>
      </c>
      <c r="J17" s="455">
        <v>255381.65278330777</v>
      </c>
      <c r="K17" s="455">
        <f t="shared" ref="K17:K50" si="3">B17+C17+F17+I17+J17</f>
        <v>1920170.1133614774</v>
      </c>
      <c r="L17" s="395" t="s">
        <v>559</v>
      </c>
      <c r="M17" s="518"/>
      <c r="N17" s="1332"/>
      <c r="O17" s="162"/>
      <c r="P17" s="497"/>
      <c r="Q17" s="497"/>
    </row>
    <row r="18" spans="1:17" s="469" customFormat="1" ht="12.6" customHeight="1">
      <c r="A18" s="281" t="s">
        <v>560</v>
      </c>
      <c r="B18" s="450">
        <v>381879.67969403096</v>
      </c>
      <c r="C18" s="450">
        <v>0</v>
      </c>
      <c r="D18" s="450">
        <v>11921.57240212581</v>
      </c>
      <c r="E18" s="450">
        <v>49671.787030780404</v>
      </c>
      <c r="F18" s="450">
        <f t="shared" si="1"/>
        <v>61593.359432906218</v>
      </c>
      <c r="G18" s="450">
        <v>33509.826089229202</v>
      </c>
      <c r="H18" s="450">
        <v>1189217.02651275</v>
      </c>
      <c r="I18" s="450">
        <f t="shared" si="2"/>
        <v>1222726.8526019792</v>
      </c>
      <c r="J18" s="450">
        <v>256367.9068834926</v>
      </c>
      <c r="K18" s="450">
        <f t="shared" si="3"/>
        <v>1922567.7986124088</v>
      </c>
      <c r="L18" s="372" t="s">
        <v>560</v>
      </c>
      <c r="M18" s="518"/>
      <c r="N18" s="1332"/>
      <c r="O18" s="162"/>
      <c r="P18" s="497"/>
      <c r="Q18" s="497"/>
    </row>
    <row r="19" spans="1:17" s="469" customFormat="1" ht="12.6" customHeight="1">
      <c r="A19" s="223" t="s">
        <v>554</v>
      </c>
      <c r="B19" s="455">
        <v>370920.86295667797</v>
      </c>
      <c r="C19" s="455">
        <v>0</v>
      </c>
      <c r="D19" s="455">
        <v>12147.02353727566</v>
      </c>
      <c r="E19" s="455">
        <v>49372.62355946374</v>
      </c>
      <c r="F19" s="455">
        <f t="shared" si="1"/>
        <v>61519.647096739398</v>
      </c>
      <c r="G19" s="455">
        <v>34448.876896518297</v>
      </c>
      <c r="H19" s="455">
        <v>1204785.87550411</v>
      </c>
      <c r="I19" s="455">
        <f t="shared" si="2"/>
        <v>1239234.7524006283</v>
      </c>
      <c r="J19" s="455">
        <v>258895.41962939667</v>
      </c>
      <c r="K19" s="455">
        <f t="shared" si="3"/>
        <v>1930570.6820834423</v>
      </c>
      <c r="L19" s="395" t="s">
        <v>554</v>
      </c>
      <c r="M19" s="518"/>
      <c r="N19" s="1332"/>
      <c r="O19" s="162"/>
      <c r="P19" s="497"/>
      <c r="Q19" s="497"/>
    </row>
    <row r="20" spans="1:17" s="469" customFormat="1" ht="12.6" customHeight="1">
      <c r="A20" s="1141" t="s">
        <v>561</v>
      </c>
      <c r="B20" s="455">
        <v>368316.82358425792</v>
      </c>
      <c r="C20" s="455">
        <v>0</v>
      </c>
      <c r="D20" s="455">
        <v>12105.158731354408</v>
      </c>
      <c r="E20" s="455">
        <v>51253.013293146476</v>
      </c>
      <c r="F20" s="492">
        <f t="shared" si="1"/>
        <v>63358.172024500884</v>
      </c>
      <c r="G20" s="455">
        <v>34692.154468140601</v>
      </c>
      <c r="H20" s="455">
        <v>1216032.37986813</v>
      </c>
      <c r="I20" s="492">
        <f t="shared" si="2"/>
        <v>1250724.5343362705</v>
      </c>
      <c r="J20" s="455">
        <v>262034.42992121307</v>
      </c>
      <c r="K20" s="492">
        <f t="shared" si="3"/>
        <v>1944433.9598662425</v>
      </c>
      <c r="L20" s="1142" t="s">
        <v>561</v>
      </c>
      <c r="M20" s="518"/>
      <c r="N20" s="1332"/>
      <c r="O20" s="162"/>
      <c r="P20" s="497"/>
      <c r="Q20" s="497"/>
    </row>
    <row r="21" spans="1:17" s="469" customFormat="1" ht="12.6" customHeight="1">
      <c r="A21" s="223" t="s">
        <v>562</v>
      </c>
      <c r="B21" s="455">
        <v>363992.393540702</v>
      </c>
      <c r="C21" s="455">
        <v>0</v>
      </c>
      <c r="D21" s="455">
        <v>12088.233217185669</v>
      </c>
      <c r="E21" s="455">
        <v>49665.013519367756</v>
      </c>
      <c r="F21" s="455">
        <f t="shared" si="1"/>
        <v>61753.246736553425</v>
      </c>
      <c r="G21" s="455">
        <v>35574.022050983302</v>
      </c>
      <c r="H21" s="455">
        <v>1232112.6463347501</v>
      </c>
      <c r="I21" s="455">
        <f t="shared" si="2"/>
        <v>1267686.6683857334</v>
      </c>
      <c r="J21" s="455">
        <v>264163.52412446716</v>
      </c>
      <c r="K21" s="455">
        <f t="shared" si="3"/>
        <v>1957595.832787456</v>
      </c>
      <c r="L21" s="395" t="s">
        <v>562</v>
      </c>
      <c r="M21" s="518"/>
      <c r="N21" s="1332"/>
      <c r="O21" s="162"/>
      <c r="P21" s="497"/>
      <c r="Q21" s="497"/>
    </row>
    <row r="22" spans="1:17" s="469" customFormat="1" ht="12.6" customHeight="1">
      <c r="A22" s="281" t="s">
        <v>555</v>
      </c>
      <c r="B22" s="450">
        <v>351658.47598173399</v>
      </c>
      <c r="C22" s="450">
        <v>0</v>
      </c>
      <c r="D22" s="450">
        <v>12133.050382563908</v>
      </c>
      <c r="E22" s="450">
        <v>51366.289833245326</v>
      </c>
      <c r="F22" s="450">
        <f t="shared" si="1"/>
        <v>63499.340215809236</v>
      </c>
      <c r="G22" s="450">
        <v>36760.4980922861</v>
      </c>
      <c r="H22" s="450">
        <v>1252094.70495044</v>
      </c>
      <c r="I22" s="450">
        <f t="shared" si="2"/>
        <v>1288855.203042726</v>
      </c>
      <c r="J22" s="450">
        <v>267209.28757012321</v>
      </c>
      <c r="K22" s="450">
        <f t="shared" si="3"/>
        <v>1971222.3068103925</v>
      </c>
      <c r="L22" s="372" t="s">
        <v>555</v>
      </c>
      <c r="M22" s="518"/>
      <c r="N22" s="1332"/>
      <c r="O22" s="162"/>
      <c r="P22" s="497"/>
      <c r="Q22" s="497"/>
    </row>
    <row r="23" spans="1:17" s="469" customFormat="1" ht="12.6" customHeight="1">
      <c r="A23" s="223" t="s">
        <v>563</v>
      </c>
      <c r="B23" s="455">
        <v>367743.58913535002</v>
      </c>
      <c r="C23" s="455">
        <v>0</v>
      </c>
      <c r="D23" s="455">
        <v>11903.736123565519</v>
      </c>
      <c r="E23" s="455">
        <v>49464.589368787718</v>
      </c>
      <c r="F23" s="455">
        <f t="shared" si="1"/>
        <v>61368.325492353237</v>
      </c>
      <c r="G23" s="455">
        <v>35837.766969653501</v>
      </c>
      <c r="H23" s="455">
        <v>1250053.35425565</v>
      </c>
      <c r="I23" s="455">
        <f t="shared" si="2"/>
        <v>1285891.1212253035</v>
      </c>
      <c r="J23" s="455">
        <v>268425.22815749433</v>
      </c>
      <c r="K23" s="455">
        <f t="shared" si="3"/>
        <v>1983428.2640105011</v>
      </c>
      <c r="L23" s="395" t="s">
        <v>563</v>
      </c>
      <c r="M23" s="518"/>
      <c r="N23" s="1332"/>
      <c r="O23" s="162"/>
      <c r="P23" s="497"/>
      <c r="Q23" s="497"/>
    </row>
    <row r="24" spans="1:17" s="469" customFormat="1" ht="12.6" customHeight="1">
      <c r="A24" s="392" t="s">
        <v>564</v>
      </c>
      <c r="B24" s="450">
        <v>379502.40834228299</v>
      </c>
      <c r="C24" s="450">
        <v>0</v>
      </c>
      <c r="D24" s="450">
        <v>11927.416482014718</v>
      </c>
      <c r="E24" s="450">
        <v>50130.43704858308</v>
      </c>
      <c r="F24" s="450">
        <f t="shared" si="1"/>
        <v>62057.8535305978</v>
      </c>
      <c r="G24" s="450">
        <v>35742.516716537299</v>
      </c>
      <c r="H24" s="450">
        <v>1257326.8242699599</v>
      </c>
      <c r="I24" s="450">
        <f t="shared" si="2"/>
        <v>1293069.3409864972</v>
      </c>
      <c r="J24" s="450">
        <f>269457.360362273+21.8</f>
        <v>269479.16036227299</v>
      </c>
      <c r="K24" s="450">
        <f t="shared" si="3"/>
        <v>2004108.7632216511</v>
      </c>
      <c r="L24" s="1143" t="s">
        <v>564</v>
      </c>
      <c r="M24" s="518"/>
      <c r="N24" s="1332"/>
      <c r="O24" s="162"/>
      <c r="P24" s="497"/>
      <c r="Q24" s="497"/>
    </row>
    <row r="25" spans="1:17" s="469" customFormat="1" ht="12.6" customHeight="1">
      <c r="A25" s="223" t="s">
        <v>556</v>
      </c>
      <c r="B25" s="455">
        <v>390401.51422571199</v>
      </c>
      <c r="C25" s="455">
        <v>0</v>
      </c>
      <c r="D25" s="455">
        <v>11900.201629262228</v>
      </c>
      <c r="E25" s="455">
        <v>50171.788310738862</v>
      </c>
      <c r="F25" s="455">
        <f t="shared" si="1"/>
        <v>62071.989940001091</v>
      </c>
      <c r="G25" s="455">
        <v>35617.491424214801</v>
      </c>
      <c r="H25" s="455">
        <v>1277299.6966204201</v>
      </c>
      <c r="I25" s="455">
        <f t="shared" si="2"/>
        <v>1312917.1880446349</v>
      </c>
      <c r="J25" s="455">
        <f>271058.364218717-0.2</f>
        <v>271058.16421871696</v>
      </c>
      <c r="K25" s="455">
        <f t="shared" si="3"/>
        <v>2036448.8564290649</v>
      </c>
      <c r="L25" s="395" t="s">
        <v>556</v>
      </c>
      <c r="M25" s="518"/>
      <c r="N25" s="1332"/>
      <c r="O25" s="162"/>
      <c r="P25" s="497"/>
      <c r="Q25" s="497"/>
    </row>
    <row r="26" spans="1:17" s="469" customFormat="1" ht="12.6" customHeight="1">
      <c r="A26" s="1141" t="s">
        <v>565</v>
      </c>
      <c r="B26" s="455">
        <v>415153.228863617</v>
      </c>
      <c r="C26" s="455">
        <v>0</v>
      </c>
      <c r="D26" s="455">
        <v>11891.80381711778</v>
      </c>
      <c r="E26" s="455">
        <v>50236.433194270881</v>
      </c>
      <c r="F26" s="492">
        <f t="shared" si="1"/>
        <v>62128.237011388657</v>
      </c>
      <c r="G26" s="455">
        <v>35950.4627507642</v>
      </c>
      <c r="H26" s="455">
        <v>1281027.1183630801</v>
      </c>
      <c r="I26" s="492">
        <f t="shared" si="2"/>
        <v>1316977.5811138442</v>
      </c>
      <c r="J26" s="455">
        <v>270377.6343131992</v>
      </c>
      <c r="K26" s="492">
        <f t="shared" si="3"/>
        <v>2064636.681302049</v>
      </c>
      <c r="L26" s="1142" t="s">
        <v>565</v>
      </c>
      <c r="M26" s="518"/>
      <c r="N26" s="1332"/>
      <c r="O26" s="162"/>
      <c r="P26" s="497"/>
      <c r="Q26" s="497"/>
    </row>
    <row r="27" spans="1:17" s="469" customFormat="1" ht="12.6" customHeight="1">
      <c r="A27" s="223" t="s">
        <v>566</v>
      </c>
      <c r="B27" s="455">
        <v>424509.09622190893</v>
      </c>
      <c r="C27" s="455">
        <v>0</v>
      </c>
      <c r="D27" s="455">
        <v>11864.27767494621</v>
      </c>
      <c r="E27" s="455">
        <v>50157.478528535685</v>
      </c>
      <c r="F27" s="455">
        <f t="shared" si="1"/>
        <v>62021.756203481898</v>
      </c>
      <c r="G27" s="455">
        <v>36474.266254824397</v>
      </c>
      <c r="H27" s="455">
        <v>1300582.0584970701</v>
      </c>
      <c r="I27" s="455">
        <f t="shared" si="2"/>
        <v>1337056.3247518945</v>
      </c>
      <c r="J27" s="455">
        <f>271726.875892086+7.7</f>
        <v>271734.57589208602</v>
      </c>
      <c r="K27" s="455">
        <f t="shared" si="3"/>
        <v>2095321.7530693715</v>
      </c>
      <c r="L27" s="395" t="s">
        <v>566</v>
      </c>
      <c r="M27" s="518"/>
      <c r="N27" s="1332"/>
      <c r="O27" s="162"/>
      <c r="P27" s="497"/>
      <c r="Q27" s="497"/>
    </row>
    <row r="28" spans="1:17" s="469" customFormat="1" ht="12.6" customHeight="1">
      <c r="A28" s="281" t="s">
        <v>557</v>
      </c>
      <c r="B28" s="450">
        <v>424877.09532937198</v>
      </c>
      <c r="C28" s="450">
        <v>0</v>
      </c>
      <c r="D28" s="450">
        <v>11890.595936132791</v>
      </c>
      <c r="E28" s="450">
        <v>48991.827955407753</v>
      </c>
      <c r="F28" s="450">
        <f t="shared" si="1"/>
        <v>60882.423891540544</v>
      </c>
      <c r="G28" s="450">
        <v>37521.745157030498</v>
      </c>
      <c r="H28" s="450">
        <v>1318438.81654796</v>
      </c>
      <c r="I28" s="450">
        <f t="shared" si="2"/>
        <v>1355960.5617049905</v>
      </c>
      <c r="J28" s="450">
        <f>274085.301256186-269.7</f>
        <v>273815.60125618597</v>
      </c>
      <c r="K28" s="450">
        <f t="shared" si="3"/>
        <v>2115535.682182089</v>
      </c>
      <c r="L28" s="372" t="s">
        <v>557</v>
      </c>
      <c r="M28" s="518"/>
      <c r="N28" s="1332"/>
      <c r="O28" s="162"/>
      <c r="P28" s="497"/>
      <c r="Q28" s="497"/>
    </row>
    <row r="29" spans="1:17" s="469" customFormat="1" ht="12.6" customHeight="1">
      <c r="A29" s="848" t="s">
        <v>2500</v>
      </c>
      <c r="B29" s="531">
        <f>B41</f>
        <v>488177.8</v>
      </c>
      <c r="C29" s="531">
        <f t="shared" ref="C29:K29" si="4">C41</f>
        <v>0</v>
      </c>
      <c r="D29" s="531">
        <f t="shared" si="4"/>
        <v>13191.6274734</v>
      </c>
      <c r="E29" s="531">
        <f t="shared" si="4"/>
        <v>47536.437717918001</v>
      </c>
      <c r="F29" s="531">
        <f t="shared" si="4"/>
        <v>60728.065191318005</v>
      </c>
      <c r="G29" s="531">
        <f t="shared" si="4"/>
        <v>34099.373419062998</v>
      </c>
      <c r="H29" s="531">
        <f t="shared" si="4"/>
        <v>1410635.9409771289</v>
      </c>
      <c r="I29" s="531">
        <f t="shared" si="4"/>
        <v>1444735.3143961919</v>
      </c>
      <c r="J29" s="531">
        <f t="shared" si="4"/>
        <v>290711.84000000003</v>
      </c>
      <c r="K29" s="531">
        <f t="shared" si="4"/>
        <v>2284353.0195875098</v>
      </c>
      <c r="L29" s="356" t="s">
        <v>2500</v>
      </c>
      <c r="M29" s="518"/>
      <c r="N29" s="1332"/>
      <c r="O29" s="162"/>
      <c r="P29" s="497"/>
      <c r="Q29" s="497"/>
    </row>
    <row r="30" spans="1:17" s="469" customFormat="1" ht="12.6" customHeight="1">
      <c r="A30" s="281" t="s">
        <v>559</v>
      </c>
      <c r="B30" s="450">
        <v>437588.4</v>
      </c>
      <c r="C30" s="450">
        <v>0</v>
      </c>
      <c r="D30" s="450">
        <v>11857.95672689749</v>
      </c>
      <c r="E30" s="450">
        <v>47335.794166000946</v>
      </c>
      <c r="F30" s="450">
        <f>D30+E30</f>
        <v>59193.750892898432</v>
      </c>
      <c r="G30" s="450">
        <v>38078.604244230497</v>
      </c>
      <c r="H30" s="450">
        <v>1315083.18055424</v>
      </c>
      <c r="I30" s="450">
        <f>G30+H30</f>
        <v>1353161.7847984706</v>
      </c>
      <c r="J30" s="450">
        <f>273500.493638335-3.7</f>
        <v>273496.79363833502</v>
      </c>
      <c r="K30" s="450">
        <f t="shared" si="3"/>
        <v>2123440.7293297038</v>
      </c>
      <c r="L30" s="372" t="s">
        <v>559</v>
      </c>
      <c r="M30" s="518"/>
      <c r="N30" s="1332"/>
      <c r="O30" s="162"/>
      <c r="P30" s="1475"/>
      <c r="Q30" s="497"/>
    </row>
    <row r="31" spans="1:17" s="469" customFormat="1" ht="12.6" customHeight="1">
      <c r="A31" s="223" t="s">
        <v>560</v>
      </c>
      <c r="B31" s="455">
        <v>426233.30000000005</v>
      </c>
      <c r="C31" s="455">
        <v>0</v>
      </c>
      <c r="D31" s="455">
        <v>11575.72768230689</v>
      </c>
      <c r="E31" s="455">
        <v>45853.575569051718</v>
      </c>
      <c r="F31" s="455">
        <f>D31+E31</f>
        <v>57429.303251358608</v>
      </c>
      <c r="G31" s="455">
        <v>37298.5438206611</v>
      </c>
      <c r="H31" s="455">
        <v>1326002.75470919</v>
      </c>
      <c r="I31" s="455">
        <f>G31+H31</f>
        <v>1363301.298529851</v>
      </c>
      <c r="J31" s="455">
        <f>270848.131982447-1.8</f>
        <v>270846.33198244701</v>
      </c>
      <c r="K31" s="455">
        <f t="shared" si="3"/>
        <v>2117810.2337636566</v>
      </c>
      <c r="L31" s="395" t="s">
        <v>560</v>
      </c>
      <c r="M31" s="518"/>
      <c r="N31" s="1332"/>
      <c r="O31" s="162"/>
      <c r="P31" s="1475"/>
      <c r="Q31" s="497"/>
    </row>
    <row r="32" spans="1:17" s="469" customFormat="1" ht="12.6" customHeight="1">
      <c r="A32" s="1141" t="s">
        <v>554</v>
      </c>
      <c r="B32" s="455">
        <v>406813.8</v>
      </c>
      <c r="C32" s="455">
        <v>0</v>
      </c>
      <c r="D32" s="455">
        <v>11549.587880485842</v>
      </c>
      <c r="E32" s="455">
        <v>45796.306443994581</v>
      </c>
      <c r="F32" s="492">
        <f>D32+E32</f>
        <v>57345.894324480425</v>
      </c>
      <c r="G32" s="455">
        <v>35692.385308061203</v>
      </c>
      <c r="H32" s="455">
        <v>1335370.52681484</v>
      </c>
      <c r="I32" s="492">
        <f>G32+H32</f>
        <v>1371062.9121229013</v>
      </c>
      <c r="J32" s="455">
        <v>271077.25015322788</v>
      </c>
      <c r="K32" s="492">
        <f t="shared" si="3"/>
        <v>2106299.8566006096</v>
      </c>
      <c r="L32" s="1142" t="s">
        <v>554</v>
      </c>
      <c r="M32" s="518"/>
      <c r="N32" s="1332"/>
      <c r="O32" s="162"/>
      <c r="P32" s="1475"/>
      <c r="Q32" s="497"/>
    </row>
    <row r="33" spans="1:17" s="469" customFormat="1" ht="12.6" customHeight="1">
      <c r="A33" s="223" t="s">
        <v>561</v>
      </c>
      <c r="B33" s="455">
        <v>427272.30000000005</v>
      </c>
      <c r="C33" s="455">
        <v>0</v>
      </c>
      <c r="D33" s="455">
        <v>11558.217495670769</v>
      </c>
      <c r="E33" s="455">
        <v>44928.680773037238</v>
      </c>
      <c r="F33" s="455">
        <f>D33+E33</f>
        <v>56486.898268708006</v>
      </c>
      <c r="G33" s="455">
        <v>35915.934583464201</v>
      </c>
      <c r="H33" s="455">
        <v>1339843.2003567701</v>
      </c>
      <c r="I33" s="455">
        <f>G33+H33</f>
        <v>1375759.1349402342</v>
      </c>
      <c r="J33" s="455">
        <f>271460.487308523+0.1</f>
        <v>271460.58730852295</v>
      </c>
      <c r="K33" s="455">
        <f t="shared" si="3"/>
        <v>2130978.9205174651</v>
      </c>
      <c r="L33" s="395" t="s">
        <v>561</v>
      </c>
      <c r="M33" s="518"/>
      <c r="N33" s="1332"/>
      <c r="O33" s="162"/>
      <c r="P33" s="1475"/>
      <c r="Q33" s="497"/>
    </row>
    <row r="34" spans="1:17" s="469" customFormat="1" ht="12.6" customHeight="1">
      <c r="A34" s="281" t="s">
        <v>562</v>
      </c>
      <c r="B34" s="450">
        <v>438647.5</v>
      </c>
      <c r="C34" s="450">
        <v>0</v>
      </c>
      <c r="D34" s="450">
        <v>11601.08528397611</v>
      </c>
      <c r="E34" s="450">
        <v>46290.592684646836</v>
      </c>
      <c r="F34" s="450">
        <f t="shared" ref="F34:F50" si="5">D34+E34</f>
        <v>57891.677968622942</v>
      </c>
      <c r="G34" s="450">
        <v>36260.102035757896</v>
      </c>
      <c r="H34" s="450">
        <v>1345223.7275823399</v>
      </c>
      <c r="I34" s="450">
        <f t="shared" ref="I34:I50" si="6">G34+H34</f>
        <v>1381483.8296180977</v>
      </c>
      <c r="J34" s="450">
        <v>272809.9293938771</v>
      </c>
      <c r="K34" s="450">
        <f t="shared" si="3"/>
        <v>2150832.9369805977</v>
      </c>
      <c r="L34" s="372" t="s">
        <v>562</v>
      </c>
      <c r="M34" s="518"/>
      <c r="N34" s="1332"/>
      <c r="O34" s="162"/>
      <c r="P34" s="1475"/>
      <c r="Q34" s="497"/>
    </row>
    <row r="35" spans="1:17" s="469" customFormat="1" ht="12.6" customHeight="1">
      <c r="A35" s="223" t="s">
        <v>555</v>
      </c>
      <c r="B35" s="455">
        <v>415573.1</v>
      </c>
      <c r="C35" s="455">
        <v>0</v>
      </c>
      <c r="D35" s="455">
        <v>13271.241660037749</v>
      </c>
      <c r="E35" s="455">
        <v>48392.594936996982</v>
      </c>
      <c r="F35" s="455">
        <f t="shared" si="5"/>
        <v>61663.836597034729</v>
      </c>
      <c r="G35" s="455">
        <v>37058.4436529343</v>
      </c>
      <c r="H35" s="455">
        <v>1359000.6607153299</v>
      </c>
      <c r="I35" s="455">
        <f t="shared" si="6"/>
        <v>1396059.1043682643</v>
      </c>
      <c r="J35" s="455">
        <v>277877.92097424256</v>
      </c>
      <c r="K35" s="455">
        <f t="shared" si="3"/>
        <v>2151173.9619395416</v>
      </c>
      <c r="L35" s="395" t="s">
        <v>555</v>
      </c>
      <c r="M35" s="518"/>
      <c r="N35" s="1332"/>
      <c r="O35" s="162"/>
      <c r="P35" s="1475"/>
      <c r="Q35" s="497"/>
    </row>
    <row r="36" spans="1:17" s="469" customFormat="1" ht="12.6" customHeight="1">
      <c r="A36" s="392" t="s">
        <v>563</v>
      </c>
      <c r="B36" s="450">
        <v>434361.3</v>
      </c>
      <c r="C36" s="450">
        <v>0</v>
      </c>
      <c r="D36" s="450">
        <v>13325.103972360248</v>
      </c>
      <c r="E36" s="450">
        <v>47430.495753365416</v>
      </c>
      <c r="F36" s="450">
        <f t="shared" si="5"/>
        <v>60755.599725725668</v>
      </c>
      <c r="G36" s="450">
        <v>36850.950665079698</v>
      </c>
      <c r="H36" s="450">
        <v>1355199.17965489</v>
      </c>
      <c r="I36" s="450">
        <f t="shared" si="6"/>
        <v>1392050.1303199697</v>
      </c>
      <c r="J36" s="450">
        <v>277480.33598505933</v>
      </c>
      <c r="K36" s="450">
        <f t="shared" si="3"/>
        <v>2164647.3660307545</v>
      </c>
      <c r="L36" s="1143" t="s">
        <v>563</v>
      </c>
      <c r="M36" s="518"/>
      <c r="N36" s="1332"/>
      <c r="O36" s="162"/>
      <c r="P36" s="1475"/>
      <c r="Q36" s="497"/>
    </row>
    <row r="37" spans="1:17" s="469" customFormat="1" ht="12.6" customHeight="1">
      <c r="A37" s="223" t="s">
        <v>564</v>
      </c>
      <c r="B37" s="455">
        <v>433891.08584720897</v>
      </c>
      <c r="C37" s="455">
        <v>0</v>
      </c>
      <c r="D37" s="455">
        <v>13351.15815207973</v>
      </c>
      <c r="E37" s="455">
        <v>46893.061961083527</v>
      </c>
      <c r="F37" s="455">
        <f t="shared" si="5"/>
        <v>60244.220113163261</v>
      </c>
      <c r="G37" s="455">
        <v>37134.9347389623</v>
      </c>
      <c r="H37" s="455">
        <v>1358294.2426299099</v>
      </c>
      <c r="I37" s="455">
        <f t="shared" si="6"/>
        <v>1395429.1773688721</v>
      </c>
      <c r="J37" s="455">
        <v>279196.3</v>
      </c>
      <c r="K37" s="455">
        <f t="shared" si="3"/>
        <v>2168760.7833292442</v>
      </c>
      <c r="L37" s="395" t="s">
        <v>564</v>
      </c>
      <c r="M37" s="518"/>
      <c r="N37" s="1332"/>
      <c r="O37" s="162"/>
      <c r="P37" s="1475"/>
      <c r="Q37" s="497"/>
    </row>
    <row r="38" spans="1:17" s="469" customFormat="1" ht="12.6" customHeight="1">
      <c r="A38" s="1141" t="s">
        <v>556</v>
      </c>
      <c r="B38" s="455">
        <v>454188.07431627793</v>
      </c>
      <c r="C38" s="455">
        <v>0</v>
      </c>
      <c r="D38" s="455">
        <v>13168.118332200002</v>
      </c>
      <c r="E38" s="455">
        <v>46815.566507743992</v>
      </c>
      <c r="F38" s="492">
        <f t="shared" si="5"/>
        <v>59983.684839943991</v>
      </c>
      <c r="G38" s="455">
        <v>35810.698797355995</v>
      </c>
      <c r="H38" s="455">
        <v>1386043.311457078</v>
      </c>
      <c r="I38" s="492">
        <f t="shared" si="6"/>
        <v>1421854.0102544341</v>
      </c>
      <c r="J38" s="455">
        <v>287508.34999999998</v>
      </c>
      <c r="K38" s="492">
        <f t="shared" si="3"/>
        <v>2223534.1194106559</v>
      </c>
      <c r="L38" s="1142" t="s">
        <v>556</v>
      </c>
      <c r="M38" s="518"/>
      <c r="N38" s="1332"/>
      <c r="O38" s="162"/>
      <c r="P38" s="1475"/>
      <c r="Q38" s="497"/>
    </row>
    <row r="39" spans="1:17" s="469" customFormat="1" ht="12.6" customHeight="1">
      <c r="A39" s="223" t="s">
        <v>565</v>
      </c>
      <c r="B39" s="455">
        <v>457439.65105781087</v>
      </c>
      <c r="C39" s="455">
        <v>0</v>
      </c>
      <c r="D39" s="455">
        <v>13186.090413</v>
      </c>
      <c r="E39" s="455">
        <v>47180.852935370996</v>
      </c>
      <c r="F39" s="455">
        <f t="shared" si="5"/>
        <v>60366.943348370994</v>
      </c>
      <c r="G39" s="455">
        <v>36514.215810511996</v>
      </c>
      <c r="H39" s="455">
        <v>1386006.876560197</v>
      </c>
      <c r="I39" s="455">
        <f t="shared" si="6"/>
        <v>1422521.0923707089</v>
      </c>
      <c r="J39" s="455">
        <v>290009.90000000002</v>
      </c>
      <c r="K39" s="455">
        <f t="shared" si="3"/>
        <v>2230337.5867768908</v>
      </c>
      <c r="L39" s="395" t="s">
        <v>565</v>
      </c>
      <c r="M39" s="518"/>
      <c r="N39" s="1332"/>
      <c r="O39" s="162"/>
      <c r="P39" s="1475"/>
      <c r="Q39" s="497"/>
    </row>
    <row r="40" spans="1:17" s="469" customFormat="1" ht="12.6" customHeight="1">
      <c r="A40" s="281" t="s">
        <v>566</v>
      </c>
      <c r="B40" s="450">
        <v>470282</v>
      </c>
      <c r="C40" s="450">
        <v>0</v>
      </c>
      <c r="D40" s="450">
        <v>13188.690413</v>
      </c>
      <c r="E40" s="450">
        <v>47601.600679937997</v>
      </c>
      <c r="F40" s="450">
        <f t="shared" si="5"/>
        <v>60790.291092938001</v>
      </c>
      <c r="G40" s="450">
        <v>35927.547907717002</v>
      </c>
      <c r="H40" s="450">
        <v>1396479.7300671472</v>
      </c>
      <c r="I40" s="450">
        <f t="shared" si="6"/>
        <v>1432407.2779748642</v>
      </c>
      <c r="J40" s="450">
        <v>296535.5</v>
      </c>
      <c r="K40" s="450">
        <f t="shared" si="3"/>
        <v>2260015.0690678023</v>
      </c>
      <c r="L40" s="372" t="s">
        <v>566</v>
      </c>
      <c r="M40" s="518"/>
      <c r="N40" s="1332"/>
      <c r="O40" s="162"/>
      <c r="P40" s="1475"/>
      <c r="Q40" s="497"/>
    </row>
    <row r="41" spans="1:17" s="469" customFormat="1" ht="12.6" customHeight="1">
      <c r="A41" s="1677" t="s">
        <v>557</v>
      </c>
      <c r="B41" s="455">
        <v>488177.8</v>
      </c>
      <c r="C41" s="455">
        <v>0</v>
      </c>
      <c r="D41" s="455">
        <v>13191.6274734</v>
      </c>
      <c r="E41" s="455">
        <v>47536.437717918001</v>
      </c>
      <c r="F41" s="455">
        <f t="shared" si="5"/>
        <v>60728.065191318005</v>
      </c>
      <c r="G41" s="455">
        <v>34099.373419062998</v>
      </c>
      <c r="H41" s="455">
        <v>1410635.9409771289</v>
      </c>
      <c r="I41" s="455">
        <f t="shared" si="6"/>
        <v>1444735.3143961919</v>
      </c>
      <c r="J41" s="455">
        <v>290711.84000000003</v>
      </c>
      <c r="K41" s="455">
        <f t="shared" si="3"/>
        <v>2284353.0195875098</v>
      </c>
      <c r="L41" s="1144" t="s">
        <v>557</v>
      </c>
      <c r="M41" s="518"/>
      <c r="N41" s="1332"/>
      <c r="O41" s="162"/>
      <c r="P41" s="1475"/>
      <c r="Q41" s="497"/>
    </row>
    <row r="42" spans="1:17" s="469" customFormat="1" ht="12.6" customHeight="1">
      <c r="A42" s="1678" t="s">
        <v>2754</v>
      </c>
      <c r="B42" s="450"/>
      <c r="C42" s="450"/>
      <c r="D42" s="450"/>
      <c r="E42" s="450"/>
      <c r="F42" s="450"/>
      <c r="G42" s="450"/>
      <c r="H42" s="450"/>
      <c r="I42" s="450"/>
      <c r="J42" s="450"/>
      <c r="K42" s="450"/>
      <c r="L42" s="355" t="s">
        <v>2754</v>
      </c>
      <c r="M42" s="518"/>
      <c r="N42" s="1622"/>
      <c r="O42" s="1623"/>
      <c r="P42" s="1624"/>
      <c r="Q42" s="1625"/>
    </row>
    <row r="43" spans="1:17" s="469" customFormat="1" ht="12.6" customHeight="1">
      <c r="A43" s="223" t="s">
        <v>559</v>
      </c>
      <c r="B43" s="455">
        <v>501088.5</v>
      </c>
      <c r="C43" s="455">
        <v>0</v>
      </c>
      <c r="D43" s="455">
        <v>13401.1274734</v>
      </c>
      <c r="E43" s="455">
        <v>47579.388962258003</v>
      </c>
      <c r="F43" s="455">
        <f t="shared" si="5"/>
        <v>60980.516435658006</v>
      </c>
      <c r="G43" s="455">
        <v>34108.599709260001</v>
      </c>
      <c r="H43" s="455">
        <v>1403957.2422556751</v>
      </c>
      <c r="I43" s="455">
        <f t="shared" si="6"/>
        <v>1438065.8419649352</v>
      </c>
      <c r="J43" s="455">
        <v>292331.49000000005</v>
      </c>
      <c r="K43" s="455">
        <f t="shared" si="3"/>
        <v>2292466.3484005933</v>
      </c>
      <c r="L43" s="395" t="s">
        <v>559</v>
      </c>
      <c r="M43" s="518"/>
      <c r="N43" s="1332"/>
      <c r="O43" s="1332"/>
      <c r="P43" s="1475"/>
      <c r="Q43" s="497"/>
    </row>
    <row r="44" spans="1:17" s="469" customFormat="1" ht="12.6" customHeight="1">
      <c r="A44" s="392" t="s">
        <v>560</v>
      </c>
      <c r="B44" s="450">
        <v>496934.30000000005</v>
      </c>
      <c r="C44" s="450">
        <v>0</v>
      </c>
      <c r="D44" s="450">
        <v>13411.5274734</v>
      </c>
      <c r="E44" s="450">
        <v>46948.701219206014</v>
      </c>
      <c r="F44" s="450">
        <f t="shared" si="5"/>
        <v>60360.228692606011</v>
      </c>
      <c r="G44" s="450">
        <v>33637.897776457001</v>
      </c>
      <c r="H44" s="450">
        <v>1410097.4421512538</v>
      </c>
      <c r="I44" s="450">
        <f t="shared" si="6"/>
        <v>1443735.3399277108</v>
      </c>
      <c r="J44" s="450">
        <v>291524.34999999998</v>
      </c>
      <c r="K44" s="450">
        <f t="shared" si="3"/>
        <v>2292554.2186203171</v>
      </c>
      <c r="L44" s="1143" t="s">
        <v>560</v>
      </c>
      <c r="M44" s="518"/>
      <c r="N44" s="1332"/>
      <c r="O44" s="1332"/>
      <c r="P44" s="1475"/>
      <c r="Q44" s="497"/>
    </row>
    <row r="45" spans="1:17" s="469" customFormat="1" ht="12.6" customHeight="1">
      <c r="A45" s="223" t="s">
        <v>554</v>
      </c>
      <c r="B45" s="455">
        <v>517549.22196313686</v>
      </c>
      <c r="C45" s="455">
        <v>0</v>
      </c>
      <c r="D45" s="455">
        <v>13438.118300960001</v>
      </c>
      <c r="E45" s="455">
        <v>48295.497514792994</v>
      </c>
      <c r="F45" s="455">
        <f t="shared" si="5"/>
        <v>61733.615815752994</v>
      </c>
      <c r="G45" s="455">
        <v>32752.659982154997</v>
      </c>
      <c r="H45" s="455">
        <v>1421581.131062818</v>
      </c>
      <c r="I45" s="455">
        <f t="shared" si="6"/>
        <v>1454333.7910449731</v>
      </c>
      <c r="J45" s="455">
        <v>287539.04723478999</v>
      </c>
      <c r="K45" s="455">
        <f t="shared" si="3"/>
        <v>2321155.6760586528</v>
      </c>
      <c r="L45" s="395" t="s">
        <v>554</v>
      </c>
      <c r="M45" s="518"/>
      <c r="N45" s="1332"/>
      <c r="O45" s="1332"/>
      <c r="P45" s="1624"/>
      <c r="Q45" s="1625"/>
    </row>
    <row r="46" spans="1:17" s="469" customFormat="1" ht="12.6" customHeight="1">
      <c r="A46" s="392" t="s">
        <v>561</v>
      </c>
      <c r="B46" s="450">
        <v>530278.87709836487</v>
      </c>
      <c r="C46" s="450">
        <v>0</v>
      </c>
      <c r="D46" s="450">
        <v>12840.01830096</v>
      </c>
      <c r="E46" s="450">
        <v>46686.429858694006</v>
      </c>
      <c r="F46" s="450">
        <f t="shared" si="5"/>
        <v>59526.448159654006</v>
      </c>
      <c r="G46" s="450">
        <v>31902.020695243005</v>
      </c>
      <c r="H46" s="450">
        <v>1419478.5731309869</v>
      </c>
      <c r="I46" s="450">
        <f t="shared" si="6"/>
        <v>1451380.5938262299</v>
      </c>
      <c r="J46" s="450">
        <f>276917.62+17781.8</f>
        <v>294699.42</v>
      </c>
      <c r="K46" s="450">
        <f t="shared" si="3"/>
        <v>2335885.339084249</v>
      </c>
      <c r="L46" s="1143" t="s">
        <v>561</v>
      </c>
      <c r="M46" s="518"/>
      <c r="N46" s="1332"/>
      <c r="O46" s="1332"/>
      <c r="P46" s="1475"/>
      <c r="Q46" s="497"/>
    </row>
    <row r="47" spans="1:17" s="469" customFormat="1" ht="12.6" customHeight="1">
      <c r="A47" s="1140" t="s">
        <v>562</v>
      </c>
      <c r="B47" s="455">
        <v>553910.38852141192</v>
      </c>
      <c r="C47" s="455">
        <v>0</v>
      </c>
      <c r="D47" s="455">
        <v>12843.31830096</v>
      </c>
      <c r="E47" s="455">
        <v>47473.237364752997</v>
      </c>
      <c r="F47" s="455">
        <f t="shared" si="5"/>
        <v>60316.555665712993</v>
      </c>
      <c r="G47" s="455">
        <v>31238.580960127001</v>
      </c>
      <c r="H47" s="455">
        <v>1426472.4471301932</v>
      </c>
      <c r="I47" s="455">
        <f t="shared" si="6"/>
        <v>1457711.0280903203</v>
      </c>
      <c r="J47" s="455">
        <f>279141.034575396+24315.1-1553.5</f>
        <v>301902.63457539596</v>
      </c>
      <c r="K47" s="455">
        <f t="shared" si="3"/>
        <v>2373840.6068528411</v>
      </c>
      <c r="L47" s="395" t="s">
        <v>562</v>
      </c>
      <c r="N47" s="1332"/>
      <c r="O47" s="1332"/>
      <c r="P47" s="1475"/>
    </row>
    <row r="48" spans="1:17" ht="12.6" customHeight="1">
      <c r="A48" s="1789" t="s">
        <v>555</v>
      </c>
      <c r="B48" s="450">
        <v>549325.70840997493</v>
      </c>
      <c r="C48" s="450">
        <v>0</v>
      </c>
      <c r="D48" s="450">
        <v>12711.874313024999</v>
      </c>
      <c r="E48" s="450">
        <v>58179.856126192994</v>
      </c>
      <c r="F48" s="450">
        <f t="shared" si="5"/>
        <v>70891.730439217994</v>
      </c>
      <c r="G48" s="450">
        <v>33335.136339282006</v>
      </c>
      <c r="H48" s="450">
        <v>1433635.1896237589</v>
      </c>
      <c r="I48" s="450">
        <f t="shared" si="6"/>
        <v>1466970.3259630408</v>
      </c>
      <c r="J48" s="450">
        <f>285022.06671917+12757.8684685961</f>
        <v>297779.9351877661</v>
      </c>
      <c r="K48" s="450">
        <f t="shared" si="3"/>
        <v>2384967.7000000002</v>
      </c>
      <c r="L48" s="372" t="s">
        <v>555</v>
      </c>
      <c r="M48" s="513"/>
      <c r="N48" s="1332"/>
      <c r="O48" s="1332"/>
    </row>
    <row r="49" spans="1:20" ht="12.6" customHeight="1">
      <c r="A49" s="1711" t="s">
        <v>563</v>
      </c>
      <c r="B49" s="1710">
        <v>563193.28031115013</v>
      </c>
      <c r="C49" s="1710">
        <v>0</v>
      </c>
      <c r="D49" s="1710">
        <v>12924.574313024999</v>
      </c>
      <c r="E49" s="1710">
        <v>57511.386736551001</v>
      </c>
      <c r="F49" s="455">
        <f t="shared" si="5"/>
        <v>70435.961049575999</v>
      </c>
      <c r="G49" s="1710">
        <v>33393.469020657001</v>
      </c>
      <c r="H49" s="1710">
        <v>1424901.6164641401</v>
      </c>
      <c r="I49" s="455">
        <f t="shared" si="6"/>
        <v>1458295.0854847971</v>
      </c>
      <c r="J49" s="1710">
        <f>283291.319055647+17514</f>
        <v>300805.31905564701</v>
      </c>
      <c r="K49" s="455">
        <f t="shared" si="3"/>
        <v>2392729.6459011701</v>
      </c>
      <c r="L49" s="1840" t="s">
        <v>563</v>
      </c>
      <c r="M49" s="513"/>
      <c r="N49" s="1332"/>
      <c r="O49" s="1332"/>
    </row>
    <row r="50" spans="1:20" ht="12.6" customHeight="1" thickBot="1">
      <c r="A50" s="1841" t="s">
        <v>564</v>
      </c>
      <c r="B50" s="1839">
        <v>579532.08605937508</v>
      </c>
      <c r="C50" s="1839">
        <v>0</v>
      </c>
      <c r="D50" s="1839">
        <v>12937.520125625</v>
      </c>
      <c r="E50" s="1839">
        <v>57021.660796392993</v>
      </c>
      <c r="F50" s="1839">
        <f t="shared" si="5"/>
        <v>69959.180922017986</v>
      </c>
      <c r="G50" s="1839">
        <v>33426.423192878006</v>
      </c>
      <c r="H50" s="1839">
        <v>1425927.4145376382</v>
      </c>
      <c r="I50" s="1839">
        <f t="shared" si="6"/>
        <v>1459353.8377305162</v>
      </c>
      <c r="J50" s="1839">
        <f>283586.827214038+21337.3</f>
        <v>304924.12721403799</v>
      </c>
      <c r="K50" s="1839">
        <f t="shared" si="3"/>
        <v>2413769.2319259471</v>
      </c>
      <c r="L50" s="1842" t="s">
        <v>564</v>
      </c>
      <c r="M50" s="513"/>
      <c r="N50" s="513"/>
      <c r="O50" s="1332"/>
      <c r="P50" s="469"/>
      <c r="Q50" s="469"/>
      <c r="R50" s="469"/>
      <c r="S50" s="469"/>
      <c r="T50" s="469"/>
    </row>
    <row r="51" spans="1:20">
      <c r="A51" s="438" t="s">
        <v>1351</v>
      </c>
      <c r="B51" s="2087" t="s">
        <v>1374</v>
      </c>
      <c r="C51" s="2087"/>
      <c r="D51" s="2087"/>
      <c r="E51" s="2087"/>
      <c r="F51" s="2087"/>
      <c r="G51" s="439" t="s">
        <v>195</v>
      </c>
      <c r="H51" s="2088" t="s">
        <v>1218</v>
      </c>
      <c r="I51" s="2088"/>
      <c r="J51" s="2088"/>
      <c r="K51" s="2088"/>
      <c r="L51" s="2088"/>
      <c r="M51" s="513"/>
      <c r="N51" s="513"/>
      <c r="O51" s="469"/>
      <c r="P51" s="469"/>
      <c r="Q51" s="469"/>
      <c r="R51" s="469"/>
      <c r="S51" s="469"/>
      <c r="T51" s="469"/>
    </row>
    <row r="52" spans="1:20">
      <c r="A52" s="218"/>
      <c r="B52" s="2089" t="s">
        <v>1843</v>
      </c>
      <c r="C52" s="2089"/>
      <c r="D52" s="2089"/>
      <c r="E52" s="1127" t="s">
        <v>1309</v>
      </c>
      <c r="F52" s="256"/>
      <c r="G52" s="513"/>
      <c r="H52" s="1127"/>
      <c r="I52" s="513"/>
      <c r="J52" s="602"/>
      <c r="K52" s="602"/>
      <c r="L52" s="602"/>
      <c r="M52" s="513"/>
    </row>
    <row r="53" spans="1:20">
      <c r="A53" s="469"/>
      <c r="B53" s="469"/>
      <c r="C53" s="518"/>
      <c r="D53" s="513"/>
      <c r="E53" s="518"/>
      <c r="F53" s="1200"/>
      <c r="G53" s="518"/>
      <c r="H53" s="518"/>
      <c r="I53" s="513"/>
      <c r="J53" s="602"/>
      <c r="K53" s="602"/>
      <c r="L53" s="602"/>
      <c r="M53" s="513"/>
    </row>
    <row r="54" spans="1:20" ht="12" customHeight="1"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602"/>
      <c r="M54" s="513"/>
      <c r="N54" s="513"/>
      <c r="O54" s="513"/>
    </row>
    <row r="55" spans="1:20" ht="12.75" customHeight="1">
      <c r="B55" s="518"/>
      <c r="C55" s="518"/>
      <c r="D55" s="513"/>
      <c r="E55" s="518"/>
      <c r="F55" s="1200"/>
      <c r="G55" s="518"/>
      <c r="H55" s="518"/>
      <c r="I55" s="513"/>
      <c r="J55" s="602"/>
      <c r="K55" s="602"/>
      <c r="L55" s="602"/>
      <c r="N55" s="513"/>
    </row>
    <row r="56" spans="1:20" ht="12" customHeight="1">
      <c r="B56" s="518"/>
      <c r="C56" s="518"/>
      <c r="D56" s="513"/>
      <c r="E56" s="518"/>
      <c r="F56" s="1200"/>
      <c r="G56" s="518"/>
      <c r="H56" s="518"/>
      <c r="I56" s="513"/>
      <c r="J56" s="602"/>
      <c r="K56" s="602"/>
      <c r="L56" s="602"/>
    </row>
    <row r="57" spans="1:20" ht="12" customHeight="1">
      <c r="B57" s="513"/>
      <c r="C57" s="518"/>
      <c r="D57" s="513"/>
      <c r="E57" s="518"/>
      <c r="F57" s="1200"/>
      <c r="G57" s="518"/>
      <c r="H57" s="518"/>
      <c r="I57" s="513"/>
      <c r="J57" s="602"/>
      <c r="K57" s="602"/>
      <c r="L57" s="602"/>
    </row>
    <row r="58" spans="1:20" ht="12.75" customHeight="1">
      <c r="B58" s="513"/>
      <c r="C58" s="518"/>
      <c r="D58" s="513"/>
      <c r="E58" s="513"/>
      <c r="F58" s="1200"/>
      <c r="G58" s="518"/>
      <c r="H58" s="518"/>
      <c r="I58" s="513"/>
      <c r="J58" s="602"/>
      <c r="K58" s="602"/>
      <c r="L58" s="602"/>
    </row>
    <row r="59" spans="1:20" ht="13.5" customHeight="1">
      <c r="C59" s="518"/>
      <c r="D59" s="513"/>
      <c r="E59" s="518"/>
      <c r="F59" s="1200"/>
      <c r="G59" s="518"/>
      <c r="H59" s="518"/>
      <c r="I59" s="518"/>
      <c r="J59" s="602"/>
      <c r="K59" s="602"/>
      <c r="L59" s="602"/>
    </row>
    <row r="60" spans="1:20" ht="14.25" customHeight="1">
      <c r="C60" s="518"/>
      <c r="D60" s="513"/>
      <c r="E60" s="513"/>
      <c r="F60" s="1200"/>
      <c r="G60" s="518"/>
      <c r="H60" s="518"/>
      <c r="I60" s="518"/>
      <c r="J60" s="602"/>
      <c r="K60" s="602"/>
      <c r="L60" s="602"/>
    </row>
    <row r="61" spans="1:20" ht="15" customHeight="1">
      <c r="C61" s="518"/>
      <c r="D61" s="513"/>
      <c r="E61" s="513"/>
      <c r="F61" s="1200"/>
      <c r="G61" s="513"/>
      <c r="H61" s="518"/>
      <c r="I61" s="518"/>
      <c r="J61" s="513"/>
      <c r="K61" s="602"/>
      <c r="L61" s="602"/>
    </row>
    <row r="62" spans="1:20">
      <c r="C62" s="518"/>
      <c r="D62" s="513"/>
      <c r="E62" s="513"/>
      <c r="F62" s="1200"/>
      <c r="G62" s="513"/>
      <c r="H62" s="518"/>
      <c r="I62" s="518"/>
      <c r="J62" s="513"/>
      <c r="K62" s="602"/>
    </row>
    <row r="63" spans="1:20">
      <c r="C63" s="518"/>
      <c r="D63" s="513"/>
      <c r="E63" s="513"/>
      <c r="F63" s="1200"/>
      <c r="G63" s="513"/>
      <c r="H63" s="518"/>
      <c r="I63" s="518"/>
      <c r="J63" s="513"/>
      <c r="K63" s="602"/>
    </row>
    <row r="64" spans="1:20">
      <c r="C64" s="518"/>
      <c r="D64" s="513"/>
      <c r="E64" s="513"/>
      <c r="F64" s="1200"/>
      <c r="G64" s="513"/>
      <c r="H64" s="513"/>
      <c r="I64" s="518"/>
      <c r="J64" s="513"/>
      <c r="K64" s="602"/>
    </row>
    <row r="65" spans="3:11">
      <c r="C65" s="518"/>
      <c r="D65" s="513"/>
      <c r="E65" s="513"/>
      <c r="F65" s="513"/>
      <c r="G65" s="513"/>
      <c r="H65" s="513"/>
      <c r="I65" s="513"/>
    </row>
    <row r="66" spans="3:11">
      <c r="D66" s="513"/>
      <c r="E66" s="513"/>
      <c r="F66" s="513"/>
      <c r="G66" s="513"/>
      <c r="H66" s="513"/>
      <c r="I66" s="513"/>
    </row>
    <row r="67" spans="3:11">
      <c r="D67" s="513"/>
      <c r="E67" s="513"/>
      <c r="F67" s="513"/>
      <c r="G67" s="513"/>
      <c r="H67" s="513"/>
      <c r="I67" s="513"/>
      <c r="J67" s="513"/>
      <c r="K67" s="513"/>
    </row>
    <row r="68" spans="3:11">
      <c r="D68" s="513"/>
      <c r="E68" s="513"/>
      <c r="F68" s="513"/>
      <c r="G68" s="513"/>
      <c r="H68" s="513"/>
      <c r="I68" s="513"/>
      <c r="J68" s="513"/>
    </row>
    <row r="69" spans="3:11">
      <c r="D69" s="513"/>
      <c r="E69" s="513"/>
      <c r="F69" s="513"/>
      <c r="G69" s="513"/>
      <c r="H69" s="513"/>
      <c r="I69" s="513"/>
      <c r="J69" s="513"/>
    </row>
    <row r="70" spans="3:11">
      <c r="D70" s="513"/>
      <c r="E70" s="513"/>
      <c r="F70" s="513"/>
      <c r="G70" s="513"/>
      <c r="H70" s="513"/>
      <c r="I70" s="513"/>
      <c r="J70" s="513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51:F51"/>
    <mergeCell ref="H51:L51"/>
    <mergeCell ref="B52:D52"/>
    <mergeCell ref="A3:A5"/>
    <mergeCell ref="J3:J4"/>
    <mergeCell ref="B3:B4"/>
    <mergeCell ref="C3:C4"/>
  </mergeCells>
  <phoneticPr fontId="5" type="noConversion"/>
  <conditionalFormatting sqref="AI9:AK11 AV9:AX11 BI9:BK11 BV9:BX11 CI9:CK11 CV9:CX11 DI9:DK11 DV9:DX11 EI9:EK11 EV9:EX11 FI9:FK11 FV9:FX11 GI9:GK11 GV9:GX11 HI9:HK11 HV9:HX11 V10:X10 L6:L9 B6:K7 A6:A9 L48:L50">
    <cfRule type="expression" dxfId="19" priority="72" stopIfTrue="1">
      <formula>MOD(ROW(),2)=0</formula>
    </cfRule>
  </conditionalFormatting>
  <conditionalFormatting sqref="L10:L13 B10:K11 A10:A13">
    <cfRule type="expression" dxfId="18" priority="13" stopIfTrue="1">
      <formula>MOD(ROW(),2)=0</formula>
    </cfRule>
  </conditionalFormatting>
  <conditionalFormatting sqref="L17:L19 B17:K17 A17:A19">
    <cfRule type="expression" dxfId="17" priority="12" stopIfTrue="1">
      <formula>MOD(ROW(),2)=0</formula>
    </cfRule>
  </conditionalFormatting>
  <conditionalFormatting sqref="L20:L23 B20:K21 A20:A23">
    <cfRule type="expression" dxfId="16" priority="11" stopIfTrue="1">
      <formula>MOD(ROW(),2)=0</formula>
    </cfRule>
  </conditionalFormatting>
  <conditionalFormatting sqref="L25 A25">
    <cfRule type="expression" dxfId="15" priority="10" stopIfTrue="1">
      <formula>MOD(ROW(),2)=0</formula>
    </cfRule>
  </conditionalFormatting>
  <conditionalFormatting sqref="L26:L28 B26:K27 A26:A28">
    <cfRule type="expression" dxfId="14" priority="9" stopIfTrue="1">
      <formula>MOD(ROW(),2)=0</formula>
    </cfRule>
  </conditionalFormatting>
  <conditionalFormatting sqref="L30:L31 A30:A31">
    <cfRule type="expression" dxfId="13" priority="8" stopIfTrue="1">
      <formula>MOD(ROW(),2)=0</formula>
    </cfRule>
  </conditionalFormatting>
  <conditionalFormatting sqref="L32:L35 B32:K33 A32:A35">
    <cfRule type="expression" dxfId="12" priority="7" stopIfTrue="1">
      <formula>MOD(ROW(),2)=0</formula>
    </cfRule>
  </conditionalFormatting>
  <conditionalFormatting sqref="L37 A37">
    <cfRule type="expression" dxfId="11" priority="6" stopIfTrue="1">
      <formula>MOD(ROW(),2)=0</formula>
    </cfRule>
  </conditionalFormatting>
  <conditionalFormatting sqref="L38:L40 B38:K39 A38:A40">
    <cfRule type="expression" dxfId="10" priority="5" stopIfTrue="1">
      <formula>MOD(ROW(),2)=0</formula>
    </cfRule>
  </conditionalFormatting>
  <conditionalFormatting sqref="L43 A43">
    <cfRule type="expression" dxfId="9" priority="4" stopIfTrue="1">
      <formula>MOD(ROW(),2)=0</formula>
    </cfRule>
  </conditionalFormatting>
  <conditionalFormatting sqref="L45 A45">
    <cfRule type="expression" dxfId="8" priority="3" stopIfTrue="1">
      <formula>MOD(ROW(),2)=0</formula>
    </cfRule>
  </conditionalFormatting>
  <conditionalFormatting sqref="L47">
    <cfRule type="expression" dxfId="7" priority="2" stopIfTrue="1">
      <formula>MOD(ROW(),2)=0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4"/>
  <sheetViews>
    <sheetView zoomScale="160" zoomScaleNormal="160" workbookViewId="0">
      <pane xSplit="1" ySplit="7" topLeftCell="B49" activePane="bottomRight" state="frozen"/>
      <selection activeCell="Q6" sqref="Q6"/>
      <selection pane="topRight" activeCell="Q6" sqref="Q6"/>
      <selection pane="bottomLeft" activeCell="Q6" sqref="Q6"/>
      <selection pane="bottomRight" activeCell="F71" sqref="F71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2" customFormat="1" ht="15.75" customHeight="1">
      <c r="A1" s="2055" t="s">
        <v>1245</v>
      </c>
      <c r="B1" s="2055"/>
      <c r="C1" s="2055"/>
      <c r="D1" s="2055"/>
      <c r="E1" s="2055"/>
      <c r="F1" s="2055" t="s">
        <v>203</v>
      </c>
      <c r="G1" s="2055"/>
    </row>
    <row r="2" spans="1:9" s="38" customFormat="1" ht="12">
      <c r="F2" s="1950" t="s">
        <v>24</v>
      </c>
      <c r="G2" s="2105"/>
    </row>
    <row r="3" spans="1:9" s="379" customFormat="1" ht="15" customHeight="1">
      <c r="A3" s="1951" t="s">
        <v>900</v>
      </c>
      <c r="B3" s="2093" t="s">
        <v>815</v>
      </c>
      <c r="C3" s="2093" t="s">
        <v>210</v>
      </c>
      <c r="D3" s="1966" t="s">
        <v>201</v>
      </c>
      <c r="E3" s="2102"/>
      <c r="F3" s="2102"/>
      <c r="G3" s="2093" t="s">
        <v>800</v>
      </c>
    </row>
    <row r="4" spans="1:9" s="379" customFormat="1" ht="12.75" customHeight="1">
      <c r="A4" s="1952"/>
      <c r="B4" s="1963"/>
      <c r="C4" s="2104"/>
      <c r="D4" s="2097" t="s">
        <v>202</v>
      </c>
      <c r="E4" s="2098"/>
      <c r="F4" s="2106" t="s">
        <v>1201</v>
      </c>
      <c r="G4" s="1963"/>
    </row>
    <row r="5" spans="1:9" s="167" customFormat="1" ht="19.5" customHeight="1">
      <c r="A5" s="1952"/>
      <c r="B5" s="1963"/>
      <c r="C5" s="2104"/>
      <c r="D5" s="2093" t="s">
        <v>2139</v>
      </c>
      <c r="E5" s="2093" t="s">
        <v>200</v>
      </c>
      <c r="F5" s="2107"/>
      <c r="G5" s="1963"/>
    </row>
    <row r="6" spans="1:9" s="167" customFormat="1" ht="14.25" customHeight="1">
      <c r="A6" s="1952"/>
      <c r="B6" s="1955"/>
      <c r="C6" s="2103"/>
      <c r="D6" s="1955"/>
      <c r="E6" s="2103"/>
      <c r="F6" s="2005"/>
      <c r="G6" s="1955"/>
    </row>
    <row r="7" spans="1:9" s="19" customFormat="1" ht="10.5" customHeight="1">
      <c r="A7" s="1953"/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9" ht="11.25" customHeight="1">
      <c r="A8" s="347" t="s">
        <v>81</v>
      </c>
      <c r="B8" s="220">
        <v>46157.1</v>
      </c>
      <c r="C8" s="220">
        <v>4308.3</v>
      </c>
      <c r="D8" s="220">
        <v>23468</v>
      </c>
      <c r="E8" s="220">
        <v>6367.5</v>
      </c>
      <c r="F8" s="220">
        <v>209.4</v>
      </c>
      <c r="G8" s="220">
        <f>B8+C8+D8+F8</f>
        <v>74142.799999999988</v>
      </c>
      <c r="H8" s="37"/>
      <c r="I8" s="37"/>
    </row>
    <row r="9" spans="1:9" ht="11.25" customHeight="1">
      <c r="A9" s="320" t="s">
        <v>189</v>
      </c>
      <c r="B9" s="283">
        <v>54795.1</v>
      </c>
      <c r="C9" s="283">
        <v>5731.8</v>
      </c>
      <c r="D9" s="283">
        <v>29007.7</v>
      </c>
      <c r="E9" s="283">
        <v>7766.5</v>
      </c>
      <c r="F9" s="283">
        <v>199.8</v>
      </c>
      <c r="G9" s="283">
        <v>89734.400000000009</v>
      </c>
      <c r="H9" s="37"/>
      <c r="I9" s="37"/>
    </row>
    <row r="10" spans="1:9" s="160" customFormat="1" ht="11.25" customHeight="1">
      <c r="A10" s="247" t="s">
        <v>705</v>
      </c>
      <c r="B10" s="225">
        <v>58417.1</v>
      </c>
      <c r="C10" s="225">
        <v>6479.4</v>
      </c>
      <c r="D10" s="225">
        <v>32662.3</v>
      </c>
      <c r="E10" s="225">
        <v>10289.9</v>
      </c>
      <c r="F10" s="225">
        <v>243.9</v>
      </c>
      <c r="G10" s="225">
        <v>97802.7</v>
      </c>
      <c r="H10" s="159"/>
      <c r="I10" s="37"/>
    </row>
    <row r="11" spans="1:9" s="160" customFormat="1" ht="11.25" customHeight="1">
      <c r="A11" s="281" t="s">
        <v>814</v>
      </c>
      <c r="B11" s="283">
        <v>67552.899999999994</v>
      </c>
      <c r="C11" s="283">
        <v>7819.4</v>
      </c>
      <c r="D11" s="283">
        <v>36803.4</v>
      </c>
      <c r="E11" s="283">
        <v>8422.6</v>
      </c>
      <c r="F11" s="283">
        <v>313.70000000000005</v>
      </c>
      <c r="G11" s="283">
        <v>112489.39999999998</v>
      </c>
      <c r="H11" s="159"/>
      <c r="I11" s="37"/>
    </row>
    <row r="12" spans="1:9" s="568" customFormat="1" ht="11.25" customHeight="1">
      <c r="A12" s="223" t="s">
        <v>991</v>
      </c>
      <c r="B12" s="225">
        <v>76908.399999999994</v>
      </c>
      <c r="C12" s="225">
        <v>8576.7999999999993</v>
      </c>
      <c r="D12" s="225">
        <v>43997.7</v>
      </c>
      <c r="E12" s="225">
        <v>7480.2</v>
      </c>
      <c r="F12" s="225">
        <v>392.4</v>
      </c>
      <c r="G12" s="225">
        <v>129875.29999999999</v>
      </c>
      <c r="H12" s="466"/>
      <c r="I12" s="566"/>
    </row>
    <row r="13" spans="1:9" s="568" customFormat="1" ht="11.25" customHeight="1">
      <c r="A13" s="281" t="s">
        <v>1042</v>
      </c>
      <c r="B13" s="450">
        <v>87940.800000000003</v>
      </c>
      <c r="C13" s="450">
        <v>10213.1</v>
      </c>
      <c r="D13" s="450">
        <v>49838.9</v>
      </c>
      <c r="E13" s="450">
        <v>7889.3</v>
      </c>
      <c r="F13" s="450">
        <v>489.7</v>
      </c>
      <c r="G13" s="450">
        <v>148482.50000000003</v>
      </c>
      <c r="H13" s="466"/>
      <c r="I13" s="53"/>
    </row>
    <row r="14" spans="1:9" s="442" customFormat="1" ht="11.25" customHeight="1">
      <c r="A14" s="223" t="s">
        <v>1163</v>
      </c>
      <c r="B14" s="455">
        <v>122074.5</v>
      </c>
      <c r="C14" s="455">
        <v>10230.700000000001</v>
      </c>
      <c r="D14" s="455">
        <v>60299</v>
      </c>
      <c r="E14" s="455">
        <v>7133.4</v>
      </c>
      <c r="F14" s="455">
        <v>597.1</v>
      </c>
      <c r="G14" s="455">
        <v>193201.30000000002</v>
      </c>
      <c r="H14" s="441"/>
      <c r="I14" s="225"/>
    </row>
    <row r="15" spans="1:9" s="442" customFormat="1" ht="11.25" customHeight="1">
      <c r="A15" s="281" t="s">
        <v>1187</v>
      </c>
      <c r="B15" s="450">
        <v>137531.79999999999</v>
      </c>
      <c r="C15" s="450">
        <v>13733.4</v>
      </c>
      <c r="D15" s="450">
        <v>72732.7</v>
      </c>
      <c r="E15" s="450">
        <v>8987.9</v>
      </c>
      <c r="F15" s="450">
        <v>661.5</v>
      </c>
      <c r="G15" s="450">
        <v>224659.39999999997</v>
      </c>
      <c r="H15" s="441"/>
      <c r="I15" s="225"/>
    </row>
    <row r="16" spans="1:9" s="442" customFormat="1" ht="11.25" customHeight="1">
      <c r="A16" s="223" t="s">
        <v>1311</v>
      </c>
      <c r="B16" s="455">
        <v>140917.5</v>
      </c>
      <c r="C16" s="455">
        <v>14023</v>
      </c>
      <c r="D16" s="455">
        <v>78043.399999999994</v>
      </c>
      <c r="E16" s="455">
        <v>10474.5</v>
      </c>
      <c r="F16" s="455">
        <v>759.1</v>
      </c>
      <c r="G16" s="455">
        <v>233743</v>
      </c>
      <c r="H16" s="441"/>
      <c r="I16" s="225"/>
    </row>
    <row r="17" spans="1:9" s="159" customFormat="1" ht="11.25" customHeight="1">
      <c r="A17" s="320" t="s">
        <v>1420</v>
      </c>
      <c r="B17" s="450">
        <v>154287</v>
      </c>
      <c r="C17" s="450">
        <v>16100.1</v>
      </c>
      <c r="D17" s="450">
        <v>75012.100000000006</v>
      </c>
      <c r="E17" s="450">
        <v>11315.3</v>
      </c>
      <c r="F17" s="450">
        <v>788.5</v>
      </c>
      <c r="G17" s="450">
        <v>246187.7</v>
      </c>
    </row>
    <row r="18" spans="1:9" s="159" customFormat="1" ht="11.25" customHeight="1">
      <c r="A18" s="247" t="s">
        <v>1502</v>
      </c>
      <c r="B18" s="455">
        <v>192114.5</v>
      </c>
      <c r="C18" s="455">
        <v>15979.6</v>
      </c>
      <c r="D18" s="455">
        <v>75768.3</v>
      </c>
      <c r="E18" s="455">
        <v>16308.2</v>
      </c>
      <c r="F18" s="455">
        <v>621</v>
      </c>
      <c r="G18" s="455">
        <v>284483.40000000002</v>
      </c>
    </row>
    <row r="19" spans="1:9" s="159" customFormat="1" ht="11.25" customHeight="1">
      <c r="A19" s="320" t="s">
        <v>1555</v>
      </c>
      <c r="B19" s="450">
        <v>209517.7</v>
      </c>
      <c r="C19" s="450">
        <v>17370.599999999999</v>
      </c>
      <c r="D19" s="450">
        <v>120597</v>
      </c>
      <c r="E19" s="450">
        <v>11944.9</v>
      </c>
      <c r="F19" s="450">
        <v>586.5</v>
      </c>
      <c r="G19" s="450">
        <v>348071.80000000005</v>
      </c>
      <c r="I19" s="712"/>
    </row>
    <row r="20" spans="1:9" s="159" customFormat="1" ht="11.25" customHeight="1">
      <c r="A20" s="247" t="s">
        <v>1836</v>
      </c>
      <c r="B20" s="455">
        <v>236448.9</v>
      </c>
      <c r="C20" s="455">
        <v>19733.8</v>
      </c>
      <c r="D20" s="455">
        <v>90382.9</v>
      </c>
      <c r="E20" s="455">
        <v>7819.1</v>
      </c>
      <c r="F20" s="455">
        <v>596.4</v>
      </c>
      <c r="G20" s="455">
        <v>347162</v>
      </c>
      <c r="I20" s="712"/>
    </row>
    <row r="21" spans="1:9" s="159" customFormat="1" ht="11.25" customHeight="1">
      <c r="A21" s="354" t="s">
        <v>2088</v>
      </c>
      <c r="B21" s="533">
        <v>291913.5</v>
      </c>
      <c r="C21" s="533">
        <v>20034.3</v>
      </c>
      <c r="D21" s="533">
        <v>70967.3</v>
      </c>
      <c r="E21" s="533">
        <v>13264.7</v>
      </c>
      <c r="F21" s="533">
        <v>670.1</v>
      </c>
      <c r="G21" s="533">
        <v>383585.19999999995</v>
      </c>
      <c r="I21" s="712"/>
    </row>
    <row r="22" spans="1:9" s="159" customFormat="1" ht="11.25" customHeight="1">
      <c r="A22" s="848" t="s">
        <v>2228</v>
      </c>
      <c r="B22" s="531">
        <f t="shared" ref="B22:G22" si="0">B34</f>
        <v>290436.5</v>
      </c>
      <c r="C22" s="531">
        <f t="shared" si="0"/>
        <v>29872.400000000001</v>
      </c>
      <c r="D22" s="531">
        <f t="shared" si="0"/>
        <v>92765.1</v>
      </c>
      <c r="E22" s="531">
        <f t="shared" si="0"/>
        <v>14339.5</v>
      </c>
      <c r="F22" s="531">
        <f t="shared" si="0"/>
        <v>573</v>
      </c>
      <c r="G22" s="531">
        <f t="shared" si="0"/>
        <v>413647</v>
      </c>
      <c r="I22" s="239"/>
    </row>
    <row r="23" spans="1:9" s="159" customFormat="1" ht="11.25" customHeight="1">
      <c r="A23" s="320" t="s">
        <v>559</v>
      </c>
      <c r="B23" s="450">
        <v>266354.59999999998</v>
      </c>
      <c r="C23" s="450">
        <v>26179.4</v>
      </c>
      <c r="D23" s="450">
        <v>72221</v>
      </c>
      <c r="E23" s="450">
        <v>11570.7</v>
      </c>
      <c r="F23" s="450">
        <v>904.6</v>
      </c>
      <c r="G23" s="450">
        <f t="shared" ref="G23:G56" si="1">B23+C23+D23+F23</f>
        <v>365659.6</v>
      </c>
      <c r="I23" s="239"/>
    </row>
    <row r="24" spans="1:9" s="159" customFormat="1" ht="11.25" customHeight="1">
      <c r="A24" s="247" t="s">
        <v>560</v>
      </c>
      <c r="B24" s="455">
        <v>258356.3</v>
      </c>
      <c r="C24" s="455">
        <v>24130.7</v>
      </c>
      <c r="D24" s="455">
        <v>67888.5</v>
      </c>
      <c r="E24" s="455">
        <v>12028.9</v>
      </c>
      <c r="F24" s="455">
        <v>833.1</v>
      </c>
      <c r="G24" s="455">
        <f t="shared" si="1"/>
        <v>351208.6</v>
      </c>
      <c r="I24" s="239"/>
    </row>
    <row r="25" spans="1:9" s="159" customFormat="1" ht="11.25" customHeight="1">
      <c r="A25" s="320" t="s">
        <v>554</v>
      </c>
      <c r="B25" s="450">
        <v>253505.4</v>
      </c>
      <c r="C25" s="450">
        <v>23807.4</v>
      </c>
      <c r="D25" s="450">
        <v>66319.899999999994</v>
      </c>
      <c r="E25" s="450">
        <v>10463.799999999999</v>
      </c>
      <c r="F25" s="450">
        <v>601.20000000000005</v>
      </c>
      <c r="G25" s="450">
        <f t="shared" si="1"/>
        <v>344233.89999999997</v>
      </c>
      <c r="I25" s="239"/>
    </row>
    <row r="26" spans="1:9" s="159" customFormat="1" ht="11.25" customHeight="1">
      <c r="A26" s="247" t="s">
        <v>561</v>
      </c>
      <c r="B26" s="455">
        <v>245943.9</v>
      </c>
      <c r="C26" s="455">
        <v>27093.3</v>
      </c>
      <c r="D26" s="455">
        <v>66401.8</v>
      </c>
      <c r="E26" s="455">
        <v>11125.6</v>
      </c>
      <c r="F26" s="455">
        <v>519.4</v>
      </c>
      <c r="G26" s="455">
        <f t="shared" si="1"/>
        <v>339958.4</v>
      </c>
      <c r="I26" s="239"/>
    </row>
    <row r="27" spans="1:9" s="159" customFormat="1" ht="11.25" customHeight="1">
      <c r="A27" s="320" t="s">
        <v>562</v>
      </c>
      <c r="B27" s="450">
        <v>248441.7</v>
      </c>
      <c r="C27" s="450">
        <v>26069.5</v>
      </c>
      <c r="D27" s="450">
        <v>65364.1</v>
      </c>
      <c r="E27" s="450">
        <v>10508.4</v>
      </c>
      <c r="F27" s="450">
        <v>494.9</v>
      </c>
      <c r="G27" s="450">
        <f t="shared" si="1"/>
        <v>340370.2</v>
      </c>
      <c r="I27" s="239"/>
    </row>
    <row r="28" spans="1:9" s="159" customFormat="1" ht="11.25" customHeight="1">
      <c r="A28" s="247" t="s">
        <v>555</v>
      </c>
      <c r="B28" s="455">
        <v>254860.2</v>
      </c>
      <c r="C28" s="455">
        <v>24790.1</v>
      </c>
      <c r="D28" s="455">
        <v>92122.4</v>
      </c>
      <c r="E28" s="455">
        <v>10726.4</v>
      </c>
      <c r="F28" s="455">
        <v>542.9</v>
      </c>
      <c r="G28" s="455">
        <f t="shared" si="1"/>
        <v>372315.6</v>
      </c>
      <c r="I28" s="239"/>
    </row>
    <row r="29" spans="1:9" s="159" customFormat="1" ht="11.25" customHeight="1">
      <c r="A29" s="320" t="s">
        <v>563</v>
      </c>
      <c r="B29" s="450">
        <v>257295.3</v>
      </c>
      <c r="C29" s="450">
        <v>25194.799999999999</v>
      </c>
      <c r="D29" s="450">
        <v>64338.1</v>
      </c>
      <c r="E29" s="450">
        <v>11772.8</v>
      </c>
      <c r="F29" s="450">
        <v>537.5</v>
      </c>
      <c r="G29" s="450">
        <f t="shared" si="1"/>
        <v>347365.69999999995</v>
      </c>
      <c r="I29" s="239"/>
    </row>
    <row r="30" spans="1:9" s="159" customFormat="1" ht="11.25" customHeight="1">
      <c r="A30" s="247" t="s">
        <v>564</v>
      </c>
      <c r="B30" s="455">
        <v>257574.5</v>
      </c>
      <c r="C30" s="455">
        <v>26846.400000000001</v>
      </c>
      <c r="D30" s="455">
        <v>67855.600000000006</v>
      </c>
      <c r="E30" s="455">
        <v>11695.6</v>
      </c>
      <c r="F30" s="455">
        <v>581.79999999999995</v>
      </c>
      <c r="G30" s="455">
        <f t="shared" si="1"/>
        <v>352858.3</v>
      </c>
      <c r="I30" s="239"/>
    </row>
    <row r="31" spans="1:9" s="159" customFormat="1" ht="11.25" customHeight="1">
      <c r="A31" s="320" t="s">
        <v>556</v>
      </c>
      <c r="B31" s="450">
        <v>261195.3</v>
      </c>
      <c r="C31" s="450">
        <v>29994</v>
      </c>
      <c r="D31" s="450">
        <v>65046.2</v>
      </c>
      <c r="E31" s="450">
        <v>9764.9</v>
      </c>
      <c r="F31" s="450">
        <v>553.70000000000005</v>
      </c>
      <c r="G31" s="450">
        <f t="shared" si="1"/>
        <v>356789.2</v>
      </c>
      <c r="I31" s="239"/>
    </row>
    <row r="32" spans="1:9" s="159" customFormat="1" ht="11.25" customHeight="1">
      <c r="A32" s="247" t="s">
        <v>565</v>
      </c>
      <c r="B32" s="455">
        <v>264349.3</v>
      </c>
      <c r="C32" s="455">
        <v>26460.1</v>
      </c>
      <c r="D32" s="455">
        <v>65357</v>
      </c>
      <c r="E32" s="455">
        <v>10790.8</v>
      </c>
      <c r="F32" s="455">
        <v>543.79999999999995</v>
      </c>
      <c r="G32" s="455">
        <f t="shared" si="1"/>
        <v>356710.19999999995</v>
      </c>
      <c r="I32" s="239"/>
    </row>
    <row r="33" spans="1:9" s="159" customFormat="1" ht="11.25" customHeight="1">
      <c r="A33" s="320" t="s">
        <v>566</v>
      </c>
      <c r="B33" s="450">
        <v>270658.90000000002</v>
      </c>
      <c r="C33" s="450">
        <v>23424.1</v>
      </c>
      <c r="D33" s="450">
        <v>66131.5</v>
      </c>
      <c r="E33" s="450">
        <v>10892.8</v>
      </c>
      <c r="F33" s="450">
        <v>537.20000000000005</v>
      </c>
      <c r="G33" s="450">
        <f t="shared" si="1"/>
        <v>360751.7</v>
      </c>
      <c r="I33" s="239"/>
    </row>
    <row r="34" spans="1:9" s="159" customFormat="1" ht="11.25" customHeight="1">
      <c r="A34" s="247" t="s">
        <v>557</v>
      </c>
      <c r="B34" s="455">
        <v>290436.5</v>
      </c>
      <c r="C34" s="455">
        <v>29872.400000000001</v>
      </c>
      <c r="D34" s="455">
        <v>92765.1</v>
      </c>
      <c r="E34" s="455">
        <v>14339.5</v>
      </c>
      <c r="F34" s="455">
        <v>573</v>
      </c>
      <c r="G34" s="455">
        <f t="shared" si="1"/>
        <v>413647</v>
      </c>
      <c r="I34" s="239"/>
    </row>
    <row r="35" spans="1:9" s="159" customFormat="1" ht="12" customHeight="1">
      <c r="A35" s="354" t="s">
        <v>2500</v>
      </c>
      <c r="B35" s="533">
        <f t="shared" ref="B35:G35" si="2">B47</f>
        <v>296451.90000000002</v>
      </c>
      <c r="C35" s="533">
        <f t="shared" si="2"/>
        <v>30244.7</v>
      </c>
      <c r="D35" s="533">
        <f t="shared" si="2"/>
        <v>85877.2</v>
      </c>
      <c r="E35" s="533">
        <f t="shared" si="2"/>
        <v>25473.1</v>
      </c>
      <c r="F35" s="533">
        <f t="shared" si="2"/>
        <v>605.20000000000005</v>
      </c>
      <c r="G35" s="533">
        <f t="shared" si="2"/>
        <v>413179.00000000006</v>
      </c>
      <c r="I35" s="239"/>
    </row>
    <row r="36" spans="1:9" s="159" customFormat="1" ht="11.25" customHeight="1">
      <c r="A36" s="247" t="s">
        <v>559</v>
      </c>
      <c r="B36" s="455">
        <v>291630.40000000002</v>
      </c>
      <c r="C36" s="455">
        <v>24269.1</v>
      </c>
      <c r="D36" s="455">
        <v>72850.399999999994</v>
      </c>
      <c r="E36" s="455">
        <v>16224</v>
      </c>
      <c r="F36" s="455">
        <v>567.20000000000005</v>
      </c>
      <c r="G36" s="455">
        <f t="shared" si="1"/>
        <v>389317.10000000003</v>
      </c>
      <c r="H36" s="712"/>
      <c r="I36" s="239"/>
    </row>
    <row r="37" spans="1:9" s="159" customFormat="1" ht="11.25" customHeight="1">
      <c r="A37" s="320" t="s">
        <v>560</v>
      </c>
      <c r="B37" s="450">
        <v>292434.40000000002</v>
      </c>
      <c r="C37" s="450">
        <v>26278.5</v>
      </c>
      <c r="D37" s="450">
        <v>66454</v>
      </c>
      <c r="E37" s="450">
        <v>12150.4</v>
      </c>
      <c r="F37" s="450">
        <v>629.70000000000005</v>
      </c>
      <c r="G37" s="450">
        <f t="shared" si="1"/>
        <v>385796.60000000003</v>
      </c>
      <c r="I37" s="239"/>
    </row>
    <row r="38" spans="1:9" s="159" customFormat="1" ht="11.25" customHeight="1">
      <c r="A38" s="247" t="s">
        <v>554</v>
      </c>
      <c r="B38" s="455">
        <v>283553.40000000002</v>
      </c>
      <c r="C38" s="455">
        <v>27460.3</v>
      </c>
      <c r="D38" s="455">
        <v>63673.3</v>
      </c>
      <c r="E38" s="455">
        <v>10429.5</v>
      </c>
      <c r="F38" s="455">
        <v>586.20000000000005</v>
      </c>
      <c r="G38" s="455">
        <f t="shared" si="1"/>
        <v>375273.2</v>
      </c>
      <c r="I38" s="239"/>
    </row>
    <row r="39" spans="1:9" s="159" customFormat="1" ht="11.25" customHeight="1">
      <c r="A39" s="320" t="s">
        <v>561</v>
      </c>
      <c r="B39" s="450">
        <v>277810.7</v>
      </c>
      <c r="C39" s="450">
        <v>25191.7</v>
      </c>
      <c r="D39" s="450">
        <v>65770.100000000006</v>
      </c>
      <c r="E39" s="450">
        <v>11950.8</v>
      </c>
      <c r="F39" s="450">
        <v>482.8</v>
      </c>
      <c r="G39" s="450">
        <f t="shared" si="1"/>
        <v>369255.3</v>
      </c>
      <c r="I39" s="239"/>
    </row>
    <row r="40" spans="1:9" s="159" customFormat="1" ht="11.25" customHeight="1">
      <c r="A40" s="247" t="s">
        <v>562</v>
      </c>
      <c r="B40" s="455">
        <v>277456.7</v>
      </c>
      <c r="C40" s="455">
        <v>24317.9</v>
      </c>
      <c r="D40" s="455">
        <v>86208.6</v>
      </c>
      <c r="E40" s="455">
        <v>10128.9</v>
      </c>
      <c r="F40" s="455">
        <v>472.7</v>
      </c>
      <c r="G40" s="455">
        <f t="shared" si="1"/>
        <v>388455.90000000008</v>
      </c>
      <c r="I40" s="239"/>
    </row>
    <row r="41" spans="1:9" s="159" customFormat="1" ht="11.25" customHeight="1">
      <c r="A41" s="320" t="s">
        <v>555</v>
      </c>
      <c r="B41" s="450">
        <v>276371.5</v>
      </c>
      <c r="C41" s="450">
        <v>28557.200000000001</v>
      </c>
      <c r="D41" s="450">
        <v>94008.5</v>
      </c>
      <c r="E41" s="450">
        <v>9509.6</v>
      </c>
      <c r="F41" s="450">
        <v>562.5</v>
      </c>
      <c r="G41" s="450">
        <f t="shared" si="1"/>
        <v>399499.7</v>
      </c>
      <c r="I41" s="239"/>
    </row>
    <row r="42" spans="1:9" s="159" customFormat="1" ht="11.25" customHeight="1">
      <c r="A42" s="247" t="s">
        <v>563</v>
      </c>
      <c r="B42" s="455">
        <v>274230.90000000002</v>
      </c>
      <c r="C42" s="455">
        <v>25280</v>
      </c>
      <c r="D42" s="455">
        <v>78683</v>
      </c>
      <c r="E42" s="455">
        <v>11319.2</v>
      </c>
      <c r="F42" s="455">
        <v>514.4</v>
      </c>
      <c r="G42" s="455">
        <f t="shared" si="1"/>
        <v>378708.30000000005</v>
      </c>
      <c r="I42" s="239"/>
    </row>
    <row r="43" spans="1:9" s="159" customFormat="1" ht="11.25" customHeight="1">
      <c r="A43" s="320" t="s">
        <v>564</v>
      </c>
      <c r="B43" s="450">
        <v>271495.59999999998</v>
      </c>
      <c r="C43" s="450">
        <v>26886.799999999999</v>
      </c>
      <c r="D43" s="450">
        <v>75741.7</v>
      </c>
      <c r="E43" s="450">
        <v>10866.8</v>
      </c>
      <c r="F43" s="450">
        <v>478.8</v>
      </c>
      <c r="G43" s="450">
        <f>B43+C43+D43+F43</f>
        <v>374602.89999999997</v>
      </c>
      <c r="I43" s="239"/>
    </row>
    <row r="44" spans="1:9" s="159" customFormat="1" ht="11.25" customHeight="1">
      <c r="A44" s="247" t="s">
        <v>556</v>
      </c>
      <c r="B44" s="455">
        <v>296431.59999999998</v>
      </c>
      <c r="C44" s="455">
        <v>24729.200000000001</v>
      </c>
      <c r="D44" s="455">
        <v>81056.2</v>
      </c>
      <c r="E44" s="455">
        <v>14834.3</v>
      </c>
      <c r="F44" s="455">
        <v>516.6</v>
      </c>
      <c r="G44" s="455">
        <f t="shared" si="1"/>
        <v>402733.6</v>
      </c>
      <c r="I44" s="239"/>
    </row>
    <row r="45" spans="1:9" s="159" customFormat="1" ht="11.25" customHeight="1">
      <c r="A45" s="320" t="s">
        <v>565</v>
      </c>
      <c r="B45" s="450">
        <v>277366.90000000002</v>
      </c>
      <c r="C45" s="450">
        <v>25317.3</v>
      </c>
      <c r="D45" s="450">
        <v>77442.7</v>
      </c>
      <c r="E45" s="450">
        <v>19956.8</v>
      </c>
      <c r="F45" s="450">
        <v>518.6</v>
      </c>
      <c r="G45" s="450">
        <f t="shared" si="1"/>
        <v>380645.5</v>
      </c>
      <c r="I45" s="239"/>
    </row>
    <row r="46" spans="1:9" s="159" customFormat="1" ht="11.25" customHeight="1">
      <c r="A46" s="247" t="s">
        <v>566</v>
      </c>
      <c r="B46" s="455">
        <v>293778.59999999998</v>
      </c>
      <c r="C46" s="455">
        <v>26170.5</v>
      </c>
      <c r="D46" s="455">
        <v>78392.600000000006</v>
      </c>
      <c r="E46" s="455">
        <v>14328.9</v>
      </c>
      <c r="F46" s="455">
        <v>506.8</v>
      </c>
      <c r="G46" s="455">
        <f t="shared" si="1"/>
        <v>398848.49999999994</v>
      </c>
      <c r="I46" s="239"/>
    </row>
    <row r="47" spans="1:9" s="159" customFormat="1" ht="11.25" customHeight="1">
      <c r="A47" s="320" t="s">
        <v>557</v>
      </c>
      <c r="B47" s="450">
        <v>296451.90000000002</v>
      </c>
      <c r="C47" s="450">
        <v>30244.7</v>
      </c>
      <c r="D47" s="450">
        <v>85877.2</v>
      </c>
      <c r="E47" s="450">
        <v>25473.1</v>
      </c>
      <c r="F47" s="450">
        <v>605.20000000000005</v>
      </c>
      <c r="G47" s="450">
        <f t="shared" si="1"/>
        <v>413179.00000000006</v>
      </c>
      <c r="I47" s="239"/>
    </row>
    <row r="48" spans="1:9" s="159" customFormat="1" ht="12" customHeight="1">
      <c r="A48" s="1315" t="s">
        <v>2754</v>
      </c>
      <c r="B48" s="455"/>
      <c r="C48" s="455"/>
      <c r="D48" s="455"/>
      <c r="E48" s="455"/>
      <c r="F48" s="455"/>
      <c r="G48" s="455"/>
      <c r="I48" s="239"/>
    </row>
    <row r="49" spans="1:9" s="159" customFormat="1" ht="11.25" customHeight="1">
      <c r="A49" s="320" t="s">
        <v>559</v>
      </c>
      <c r="B49" s="450">
        <v>287294.09999999998</v>
      </c>
      <c r="C49" s="450">
        <v>28015.5</v>
      </c>
      <c r="D49" s="450">
        <v>83242.3</v>
      </c>
      <c r="E49" s="450">
        <v>17385.2</v>
      </c>
      <c r="F49" s="450">
        <v>494</v>
      </c>
      <c r="G49" s="450">
        <f t="shared" si="1"/>
        <v>399045.89999999997</v>
      </c>
      <c r="I49" s="239"/>
    </row>
    <row r="50" spans="1:9" s="159" customFormat="1" ht="11.25" customHeight="1">
      <c r="A50" s="247" t="s">
        <v>560</v>
      </c>
      <c r="B50" s="455">
        <v>276494.59999999998</v>
      </c>
      <c r="C50" s="455">
        <v>30501</v>
      </c>
      <c r="D50" s="455">
        <v>82982.399999999994</v>
      </c>
      <c r="E50" s="455">
        <v>17702.599999999999</v>
      </c>
      <c r="F50" s="455">
        <v>530.29999999999995</v>
      </c>
      <c r="G50" s="455">
        <f t="shared" si="1"/>
        <v>390508.3</v>
      </c>
      <c r="I50" s="239"/>
    </row>
    <row r="51" spans="1:9" s="159" customFormat="1" ht="11.25" customHeight="1">
      <c r="A51" s="320" t="s">
        <v>554</v>
      </c>
      <c r="B51" s="450">
        <v>274724.2</v>
      </c>
      <c r="C51" s="450">
        <v>28761.7</v>
      </c>
      <c r="D51" s="450">
        <v>84192.1</v>
      </c>
      <c r="E51" s="450">
        <v>19422.900000000001</v>
      </c>
      <c r="F51" s="450">
        <v>518.4</v>
      </c>
      <c r="G51" s="450">
        <f t="shared" si="1"/>
        <v>388196.4</v>
      </c>
      <c r="I51" s="239"/>
    </row>
    <row r="52" spans="1:9" s="9" customFormat="1" ht="11.25" customHeight="1">
      <c r="A52" s="1715" t="s">
        <v>561</v>
      </c>
      <c r="B52" s="1710">
        <v>270449.7</v>
      </c>
      <c r="C52" s="1710">
        <v>28310.7</v>
      </c>
      <c r="D52" s="1710">
        <v>81612.899999999994</v>
      </c>
      <c r="E52" s="1710">
        <v>20029.5</v>
      </c>
      <c r="F52" s="1710">
        <v>514.1</v>
      </c>
      <c r="G52" s="1710">
        <f t="shared" si="1"/>
        <v>380887.4</v>
      </c>
      <c r="H52" s="143"/>
      <c r="I52" s="712"/>
    </row>
    <row r="53" spans="1:9" s="9" customFormat="1" ht="10.5" customHeight="1">
      <c r="A53" s="320" t="s">
        <v>562</v>
      </c>
      <c r="B53" s="450">
        <v>269018.2</v>
      </c>
      <c r="C53" s="450">
        <v>30767.5</v>
      </c>
      <c r="D53" s="450">
        <v>105067.8</v>
      </c>
      <c r="E53" s="450">
        <v>18432.599999999999</v>
      </c>
      <c r="F53" s="450">
        <v>498.7</v>
      </c>
      <c r="G53" s="450">
        <f t="shared" si="1"/>
        <v>405352.2</v>
      </c>
      <c r="I53" s="239"/>
    </row>
    <row r="54" spans="1:9">
      <c r="A54" s="1715" t="s">
        <v>555</v>
      </c>
      <c r="B54" s="1710">
        <v>275343.40000000002</v>
      </c>
      <c r="C54" s="1710">
        <v>29925.3</v>
      </c>
      <c r="D54" s="1710">
        <v>130472.7</v>
      </c>
      <c r="E54" s="1710">
        <v>18389.5</v>
      </c>
      <c r="F54" s="1710">
        <v>583.4</v>
      </c>
      <c r="G54" s="1710">
        <f t="shared" si="1"/>
        <v>436324.80000000005</v>
      </c>
      <c r="I54" s="84"/>
    </row>
    <row r="55" spans="1:9">
      <c r="A55" s="320" t="s">
        <v>563</v>
      </c>
      <c r="B55" s="450">
        <v>282626.8</v>
      </c>
      <c r="C55" s="450">
        <v>29539.1</v>
      </c>
      <c r="D55" s="450">
        <v>105261.8</v>
      </c>
      <c r="E55" s="450">
        <v>16803.7</v>
      </c>
      <c r="F55" s="450">
        <v>527.4</v>
      </c>
      <c r="G55" s="450">
        <f t="shared" si="1"/>
        <v>417955.1</v>
      </c>
    </row>
    <row r="56" spans="1:9" ht="9.75" customHeight="1" thickBot="1">
      <c r="A56" s="1827" t="s">
        <v>564</v>
      </c>
      <c r="B56" s="1751">
        <v>286404.09999999998</v>
      </c>
      <c r="C56" s="1751">
        <v>31525.4</v>
      </c>
      <c r="D56" s="1751">
        <v>106142.1</v>
      </c>
      <c r="E56" s="1751">
        <v>16443.599999999999</v>
      </c>
      <c r="F56" s="1751">
        <v>547.20000000000005</v>
      </c>
      <c r="G56" s="1751">
        <f t="shared" si="1"/>
        <v>424618.8</v>
      </c>
    </row>
    <row r="57" spans="1:9">
      <c r="A57" s="630"/>
      <c r="B57" s="255" t="s">
        <v>1306</v>
      </c>
      <c r="C57" s="255"/>
      <c r="D57" s="255"/>
      <c r="E57" s="255"/>
      <c r="F57" s="255"/>
      <c r="G57" s="255"/>
    </row>
    <row r="58" spans="1:9">
      <c r="A58" s="433" t="s">
        <v>1345</v>
      </c>
      <c r="B58" s="2085" t="s">
        <v>1220</v>
      </c>
      <c r="C58" s="2085"/>
      <c r="D58" s="2085"/>
      <c r="E58" s="625"/>
      <c r="F58" s="924" t="s">
        <v>1309</v>
      </c>
      <c r="G58" s="625"/>
    </row>
    <row r="59" spans="1:9">
      <c r="A59" s="9"/>
      <c r="B59" s="52"/>
      <c r="C59" s="1082"/>
      <c r="D59" s="52"/>
      <c r="E59" s="52"/>
      <c r="F59" s="52"/>
      <c r="G59" s="52"/>
    </row>
    <row r="60" spans="1:9">
      <c r="A60" s="9"/>
      <c r="B60" s="9"/>
      <c r="C60" s="1082"/>
      <c r="D60" s="9"/>
      <c r="E60" s="9"/>
      <c r="F60" s="9"/>
      <c r="G60" s="52"/>
    </row>
    <row r="61" spans="1:9">
      <c r="A61" s="9"/>
      <c r="B61" s="62"/>
      <c r="C61" s="62"/>
      <c r="D61" s="1726"/>
      <c r="E61" s="1726"/>
      <c r="F61" s="143"/>
      <c r="G61" s="143"/>
    </row>
    <row r="62" spans="1:9">
      <c r="B62" s="37"/>
      <c r="D62" s="143"/>
    </row>
    <row r="63" spans="1:9">
      <c r="B63" s="37"/>
      <c r="C63" s="37"/>
      <c r="D63" s="37"/>
      <c r="E63" s="37"/>
      <c r="F63" s="37"/>
      <c r="G63" s="37"/>
    </row>
    <row r="64" spans="1:9">
      <c r="B64" s="37"/>
      <c r="C64" s="37"/>
      <c r="D64" s="37"/>
      <c r="E64" s="37"/>
      <c r="F64" s="37"/>
      <c r="G64" s="37"/>
    </row>
    <row r="74" spans="2:7">
      <c r="B74" s="37"/>
      <c r="C74" s="37"/>
      <c r="D74" s="37"/>
      <c r="E74" s="37"/>
      <c r="F74" s="37"/>
      <c r="G74" s="37"/>
    </row>
    <row r="75" spans="2:7">
      <c r="B75" s="37"/>
      <c r="C75" s="37"/>
      <c r="D75" s="37"/>
      <c r="E75" s="37"/>
      <c r="F75" s="37"/>
      <c r="G75" s="37"/>
    </row>
    <row r="76" spans="2:7">
      <c r="B76" s="37"/>
      <c r="C76" s="37"/>
      <c r="D76" s="37"/>
      <c r="E76" s="37"/>
      <c r="F76" s="37"/>
      <c r="G76" s="37"/>
    </row>
    <row r="77" spans="2:7">
      <c r="B77" s="37"/>
      <c r="C77" s="37"/>
      <c r="D77" s="37"/>
      <c r="E77" s="37"/>
      <c r="F77" s="37"/>
      <c r="G77" s="37"/>
    </row>
    <row r="78" spans="2:7">
      <c r="B78" s="37"/>
      <c r="C78" s="37"/>
      <c r="D78" s="37"/>
      <c r="E78" s="37"/>
      <c r="F78" s="37"/>
      <c r="G78" s="37"/>
    </row>
    <row r="79" spans="2:7">
      <c r="B79" s="37"/>
      <c r="C79" s="37"/>
      <c r="D79" s="37"/>
      <c r="E79" s="37"/>
      <c r="F79" s="37"/>
      <c r="G79" s="37"/>
    </row>
    <row r="80" spans="2:7">
      <c r="B80" s="37"/>
      <c r="C80" s="37"/>
      <c r="D80" s="37"/>
      <c r="E80" s="37"/>
      <c r="F80" s="37"/>
      <c r="G80" s="37"/>
    </row>
    <row r="81" spans="2:7">
      <c r="B81" s="37"/>
      <c r="C81" s="37"/>
      <c r="D81" s="37"/>
      <c r="E81" s="37"/>
      <c r="F81" s="37"/>
      <c r="G81" s="37"/>
    </row>
    <row r="82" spans="2:7">
      <c r="B82" s="37"/>
      <c r="C82" s="37"/>
      <c r="D82" s="37"/>
      <c r="E82" s="37"/>
      <c r="F82" s="37"/>
      <c r="G82" s="37"/>
    </row>
    <row r="83" spans="2:7">
      <c r="B83" s="37"/>
      <c r="C83" s="37"/>
      <c r="D83" s="37"/>
      <c r="E83" s="37"/>
      <c r="F83" s="37"/>
      <c r="G83" s="37"/>
    </row>
    <row r="84" spans="2:7">
      <c r="B84" s="37"/>
      <c r="C84" s="37"/>
      <c r="D84" s="37"/>
      <c r="E84" s="37"/>
      <c r="F84" s="37"/>
      <c r="G84" s="37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8:D58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82"/>
  <sheetViews>
    <sheetView zoomScale="150" zoomScaleNormal="150" workbookViewId="0">
      <pane xSplit="1" ySplit="7" topLeftCell="B47" activePane="bottomRight" state="frozen"/>
      <selection activeCell="Q6" sqref="Q6"/>
      <selection pane="topRight" activeCell="Q6" sqref="Q6"/>
      <selection pane="bottomLeft" activeCell="Q6" sqref="Q6"/>
      <selection pane="bottomRight" activeCell="A56" sqref="A8:XFD56"/>
    </sheetView>
  </sheetViews>
  <sheetFormatPr defaultColWidth="9.140625" defaultRowHeight="11.25"/>
  <cols>
    <col min="1" max="1" width="10.140625" style="160" customWidth="1"/>
    <col min="2" max="2" width="7.42578125" style="160" customWidth="1"/>
    <col min="3" max="3" width="7.140625" style="160" customWidth="1"/>
    <col min="4" max="4" width="7" style="160" customWidth="1"/>
    <col min="5" max="5" width="6.42578125" style="160" customWidth="1"/>
    <col min="6" max="6" width="7.42578125" style="160" customWidth="1"/>
    <col min="7" max="7" width="8.28515625" style="160" customWidth="1"/>
    <col min="8" max="8" width="7.28515625" style="160" customWidth="1"/>
    <col min="9" max="10" width="8" style="160" customWidth="1"/>
    <col min="11" max="16384" width="9.140625" style="160"/>
  </cols>
  <sheetData>
    <row r="1" spans="1:12" s="162" customFormat="1" ht="13.5" customHeight="1">
      <c r="A1" s="2108" t="s">
        <v>1246</v>
      </c>
      <c r="B1" s="2108"/>
      <c r="C1" s="2108"/>
      <c r="D1" s="2108"/>
      <c r="E1" s="2108"/>
      <c r="F1" s="2108"/>
      <c r="G1" s="2108"/>
      <c r="H1" s="2108"/>
      <c r="I1" s="2113" t="s">
        <v>204</v>
      </c>
      <c r="J1" s="2113"/>
    </row>
    <row r="2" spans="1:12" s="165" customFormat="1" ht="12">
      <c r="I2" s="2114" t="s">
        <v>24</v>
      </c>
      <c r="J2" s="2114"/>
    </row>
    <row r="3" spans="1:12" s="379" customFormat="1" ht="15" customHeight="1">
      <c r="A3" s="1971" t="s">
        <v>921</v>
      </c>
      <c r="B3" s="2094" t="s">
        <v>205</v>
      </c>
      <c r="C3" s="2110" t="s">
        <v>483</v>
      </c>
      <c r="D3" s="2111"/>
      <c r="E3" s="2111"/>
      <c r="F3" s="2111"/>
      <c r="G3" s="2112"/>
      <c r="H3" s="2093" t="s">
        <v>901</v>
      </c>
      <c r="I3" s="2093" t="s">
        <v>208</v>
      </c>
      <c r="J3" s="2093" t="s">
        <v>209</v>
      </c>
    </row>
    <row r="4" spans="1:12" s="379" customFormat="1" ht="12.75" customHeight="1">
      <c r="A4" s="1971"/>
      <c r="B4" s="2109"/>
      <c r="C4" s="2093" t="s">
        <v>765</v>
      </c>
      <c r="D4" s="2093" t="s">
        <v>485</v>
      </c>
      <c r="E4" s="2093" t="s">
        <v>576</v>
      </c>
      <c r="F4" s="2093" t="s">
        <v>206</v>
      </c>
      <c r="G4" s="2093" t="s">
        <v>207</v>
      </c>
      <c r="H4" s="1963"/>
      <c r="I4" s="1963"/>
      <c r="J4" s="1963"/>
    </row>
    <row r="5" spans="1:12" s="167" customFormat="1" ht="19.5" customHeight="1">
      <c r="A5" s="1971"/>
      <c r="B5" s="2109"/>
      <c r="C5" s="1963"/>
      <c r="D5" s="1963"/>
      <c r="E5" s="2104"/>
      <c r="F5" s="1963"/>
      <c r="G5" s="1963"/>
      <c r="H5" s="1963"/>
      <c r="I5" s="1963"/>
      <c r="J5" s="1963"/>
    </row>
    <row r="6" spans="1:12" s="167" customFormat="1" ht="14.25" customHeight="1">
      <c r="A6" s="1971"/>
      <c r="B6" s="2095"/>
      <c r="C6" s="1955"/>
      <c r="D6" s="1955"/>
      <c r="E6" s="2103"/>
      <c r="F6" s="1955"/>
      <c r="G6" s="1955"/>
      <c r="H6" s="1955"/>
      <c r="I6" s="1955"/>
      <c r="J6" s="1955"/>
    </row>
    <row r="7" spans="1:12" s="221" customFormat="1" ht="10.5" customHeight="1">
      <c r="A7" s="1971"/>
      <c r="B7" s="1695">
        <v>1</v>
      </c>
      <c r="C7" s="498">
        <v>2</v>
      </c>
      <c r="D7" s="498">
        <v>3</v>
      </c>
      <c r="E7" s="498">
        <v>4</v>
      </c>
      <c r="F7" s="498">
        <v>5</v>
      </c>
      <c r="G7" s="498">
        <v>6</v>
      </c>
      <c r="H7" s="498">
        <v>7</v>
      </c>
      <c r="I7" s="498">
        <v>8</v>
      </c>
      <c r="J7" s="498">
        <v>9</v>
      </c>
    </row>
    <row r="8" spans="1:12" s="233" customFormat="1" ht="11.45" customHeight="1">
      <c r="A8" s="233" t="s">
        <v>81</v>
      </c>
      <c r="B8" s="455">
        <v>61181</v>
      </c>
      <c r="C8" s="455">
        <v>21471.200000000001</v>
      </c>
      <c r="D8" s="249">
        <v>830.7</v>
      </c>
      <c r="E8" s="249">
        <v>2588.6999999999998</v>
      </c>
      <c r="F8" s="249">
        <v>6613.9</v>
      </c>
      <c r="G8" s="249">
        <f t="shared" ref="G8:G10" si="0">C8+D8+E8+F8</f>
        <v>31504.5</v>
      </c>
      <c r="H8" s="455">
        <v>-18542.7</v>
      </c>
      <c r="I8" s="225">
        <f t="shared" ref="I8:I10" si="1">G8+H8</f>
        <v>12961.8</v>
      </c>
      <c r="J8" s="225">
        <f t="shared" ref="J8:J10" si="2">B8+I8</f>
        <v>74142.8</v>
      </c>
      <c r="K8" s="567"/>
    </row>
    <row r="9" spans="1:12" s="233" customFormat="1" ht="11.45" customHeight="1">
      <c r="A9" s="569" t="s">
        <v>189</v>
      </c>
      <c r="B9" s="450">
        <v>61342.1</v>
      </c>
      <c r="C9" s="450">
        <v>31710.5</v>
      </c>
      <c r="D9" s="288">
        <v>776.7</v>
      </c>
      <c r="E9" s="288">
        <v>3143.7</v>
      </c>
      <c r="F9" s="288">
        <v>18608.8</v>
      </c>
      <c r="G9" s="288">
        <f t="shared" si="0"/>
        <v>54239.7</v>
      </c>
      <c r="H9" s="450">
        <v>-25847.4</v>
      </c>
      <c r="I9" s="283">
        <f t="shared" si="1"/>
        <v>28392.299999999996</v>
      </c>
      <c r="J9" s="283">
        <f t="shared" si="2"/>
        <v>89734.399999999994</v>
      </c>
      <c r="K9" s="567"/>
    </row>
    <row r="10" spans="1:12" s="233" customFormat="1" ht="11.45" customHeight="1">
      <c r="A10" s="233" t="s">
        <v>705</v>
      </c>
      <c r="B10" s="455">
        <v>68930.100000000006</v>
      </c>
      <c r="C10" s="455">
        <v>37854.9</v>
      </c>
      <c r="D10" s="249">
        <v>1181.9000000000001</v>
      </c>
      <c r="E10" s="249">
        <v>3598.7</v>
      </c>
      <c r="F10" s="249">
        <v>22627.4</v>
      </c>
      <c r="G10" s="249">
        <f t="shared" si="0"/>
        <v>65262.9</v>
      </c>
      <c r="H10" s="455">
        <v>-36390.300000000003</v>
      </c>
      <c r="I10" s="225">
        <f t="shared" si="1"/>
        <v>28872.6</v>
      </c>
      <c r="J10" s="225">
        <f t="shared" si="2"/>
        <v>97802.700000000012</v>
      </c>
      <c r="K10" s="567"/>
    </row>
    <row r="11" spans="1:12" s="233" customFormat="1" ht="11.45" customHeight="1">
      <c r="A11" s="569" t="s">
        <v>814</v>
      </c>
      <c r="B11" s="450">
        <v>103246</v>
      </c>
      <c r="C11" s="450">
        <v>27069</v>
      </c>
      <c r="D11" s="288">
        <v>1354.5</v>
      </c>
      <c r="E11" s="288">
        <v>4180.2</v>
      </c>
      <c r="F11" s="288">
        <v>10219</v>
      </c>
      <c r="G11" s="288">
        <v>42822.7</v>
      </c>
      <c r="H11" s="450">
        <v>-33579.300000000003</v>
      </c>
      <c r="I11" s="283">
        <v>9243.3999999999942</v>
      </c>
      <c r="J11" s="283">
        <v>112489.4</v>
      </c>
      <c r="K11" s="567"/>
    </row>
    <row r="12" spans="1:12" s="568" customFormat="1" ht="11.45" customHeight="1">
      <c r="A12" s="491" t="s">
        <v>991</v>
      </c>
      <c r="B12" s="225">
        <v>147496.6</v>
      </c>
      <c r="C12" s="455">
        <v>3840.6</v>
      </c>
      <c r="D12" s="455">
        <v>1202.7</v>
      </c>
      <c r="E12" s="455">
        <v>4272.7</v>
      </c>
      <c r="F12" s="455">
        <v>6279.2</v>
      </c>
      <c r="G12" s="455">
        <v>15595.2</v>
      </c>
      <c r="H12" s="455">
        <v>-33216.5</v>
      </c>
      <c r="I12" s="455">
        <v>-17621.3</v>
      </c>
      <c r="J12" s="455">
        <v>129875.3</v>
      </c>
    </row>
    <row r="13" spans="1:12" s="570" customFormat="1" ht="11.45" customHeight="1">
      <c r="A13" s="291" t="s">
        <v>1042</v>
      </c>
      <c r="B13" s="450">
        <v>177401.3</v>
      </c>
      <c r="C13" s="450">
        <v>810.5</v>
      </c>
      <c r="D13" s="450">
        <v>2160.8000000000002</v>
      </c>
      <c r="E13" s="450">
        <v>4645.6000000000004</v>
      </c>
      <c r="F13" s="450">
        <v>5659.2</v>
      </c>
      <c r="G13" s="450">
        <v>13276.1</v>
      </c>
      <c r="H13" s="450">
        <v>-42194.9</v>
      </c>
      <c r="I13" s="450">
        <v>-28918.800000000003</v>
      </c>
      <c r="J13" s="450">
        <v>148482.5</v>
      </c>
      <c r="L13" s="571"/>
    </row>
    <row r="14" spans="1:12" s="442" customFormat="1" ht="11.45" customHeight="1">
      <c r="A14" s="223" t="s">
        <v>1163</v>
      </c>
      <c r="B14" s="455">
        <v>218904.1</v>
      </c>
      <c r="C14" s="455">
        <v>13373.7</v>
      </c>
      <c r="D14" s="455">
        <v>2015.5</v>
      </c>
      <c r="E14" s="455">
        <v>4966.8999999999996</v>
      </c>
      <c r="F14" s="455">
        <v>6024.4</v>
      </c>
      <c r="G14" s="455">
        <v>26380.5</v>
      </c>
      <c r="H14" s="455">
        <v>-52083.3</v>
      </c>
      <c r="I14" s="455">
        <v>-25702.800000000003</v>
      </c>
      <c r="J14" s="455">
        <v>193201.3</v>
      </c>
      <c r="L14" s="441"/>
    </row>
    <row r="15" spans="1:12" s="442" customFormat="1" ht="11.45" customHeight="1">
      <c r="A15" s="281" t="s">
        <v>1187</v>
      </c>
      <c r="B15" s="450">
        <v>252027</v>
      </c>
      <c r="C15" s="450">
        <v>12977.7</v>
      </c>
      <c r="D15" s="450">
        <v>2157.8000000000002</v>
      </c>
      <c r="E15" s="450">
        <v>4976.6000000000004</v>
      </c>
      <c r="F15" s="450">
        <v>5054.3999999999996</v>
      </c>
      <c r="G15" s="450">
        <v>25166.5</v>
      </c>
      <c r="H15" s="450">
        <v>-52534.1</v>
      </c>
      <c r="I15" s="450">
        <v>-27367.599999999999</v>
      </c>
      <c r="J15" s="450">
        <v>224659.4</v>
      </c>
      <c r="L15" s="441"/>
    </row>
    <row r="16" spans="1:12" s="442" customFormat="1" ht="11.45" customHeight="1">
      <c r="A16" s="223" t="s">
        <v>1311</v>
      </c>
      <c r="B16" s="455">
        <v>253509.8</v>
      </c>
      <c r="C16" s="455">
        <v>22572.2</v>
      </c>
      <c r="D16" s="455">
        <v>2367.8000000000002</v>
      </c>
      <c r="E16" s="455">
        <v>5146.2</v>
      </c>
      <c r="F16" s="455">
        <v>5582.5</v>
      </c>
      <c r="G16" s="455">
        <v>35668.699999999997</v>
      </c>
      <c r="H16" s="455">
        <v>-55435.5</v>
      </c>
      <c r="I16" s="455">
        <v>-19766.800000000003</v>
      </c>
      <c r="J16" s="455">
        <v>233743</v>
      </c>
      <c r="L16" s="441"/>
    </row>
    <row r="17" spans="1:13" s="218" customFormat="1" ht="11.45" customHeight="1">
      <c r="A17" s="320" t="s">
        <v>1420</v>
      </c>
      <c r="B17" s="450">
        <v>257195.4</v>
      </c>
      <c r="C17" s="450">
        <v>31189</v>
      </c>
      <c r="D17" s="450">
        <v>2380.4</v>
      </c>
      <c r="E17" s="450">
        <v>4789.5</v>
      </c>
      <c r="F17" s="450">
        <v>5386.9</v>
      </c>
      <c r="G17" s="450">
        <v>43745.8</v>
      </c>
      <c r="H17" s="450">
        <v>-54753.5</v>
      </c>
      <c r="I17" s="450">
        <v>-11007.699999999997</v>
      </c>
      <c r="J17" s="450">
        <v>246187.7</v>
      </c>
      <c r="K17" s="602"/>
    </row>
    <row r="18" spans="1:13" ht="11.45" customHeight="1">
      <c r="A18" s="159" t="s">
        <v>1502</v>
      </c>
      <c r="B18" s="455">
        <v>286040.90000000002</v>
      </c>
      <c r="C18" s="455">
        <v>42117.1</v>
      </c>
      <c r="D18" s="455">
        <v>2551.9</v>
      </c>
      <c r="E18" s="455">
        <v>5342.5</v>
      </c>
      <c r="F18" s="455">
        <v>13764.9</v>
      </c>
      <c r="G18" s="455">
        <v>63776.4</v>
      </c>
      <c r="H18" s="455">
        <v>-65333.9</v>
      </c>
      <c r="I18" s="455">
        <v>-1557.5</v>
      </c>
      <c r="J18" s="455">
        <v>284483.40000000002</v>
      </c>
    </row>
    <row r="19" spans="1:13" ht="11.45" customHeight="1">
      <c r="A19" s="298" t="s">
        <v>1555</v>
      </c>
      <c r="B19" s="450">
        <v>366917.3</v>
      </c>
      <c r="C19" s="450">
        <v>17285.5</v>
      </c>
      <c r="D19" s="450">
        <v>3218.1</v>
      </c>
      <c r="E19" s="450">
        <v>5838.7</v>
      </c>
      <c r="F19" s="450">
        <v>18952.3</v>
      </c>
      <c r="G19" s="450">
        <v>45294.6</v>
      </c>
      <c r="H19" s="450">
        <v>-64140.1</v>
      </c>
      <c r="I19" s="450">
        <v>-18845.5</v>
      </c>
      <c r="J19" s="450">
        <v>348071.8</v>
      </c>
      <c r="L19" s="171"/>
      <c r="M19" s="171"/>
    </row>
    <row r="20" spans="1:13" ht="11.45" customHeight="1">
      <c r="A20" s="159" t="s">
        <v>1836</v>
      </c>
      <c r="B20" s="455">
        <v>347757.7</v>
      </c>
      <c r="C20" s="455">
        <v>54930</v>
      </c>
      <c r="D20" s="455">
        <v>3435.6</v>
      </c>
      <c r="E20" s="455">
        <v>5935.9</v>
      </c>
      <c r="F20" s="455">
        <v>16073.9</v>
      </c>
      <c r="G20" s="455">
        <v>80375.399999999994</v>
      </c>
      <c r="H20" s="455">
        <v>-80971.099999999977</v>
      </c>
      <c r="I20" s="455">
        <v>-595.69999999998254</v>
      </c>
      <c r="J20" s="455">
        <v>347162</v>
      </c>
      <c r="K20" s="455"/>
      <c r="L20" s="171"/>
      <c r="M20" s="171"/>
    </row>
    <row r="21" spans="1:13" ht="11.45" customHeight="1">
      <c r="A21" s="354" t="s">
        <v>2088</v>
      </c>
      <c r="B21" s="533">
        <v>287497.5</v>
      </c>
      <c r="C21" s="533">
        <v>157411.9</v>
      </c>
      <c r="D21" s="533">
        <v>3893.4</v>
      </c>
      <c r="E21" s="533">
        <v>7351.5</v>
      </c>
      <c r="F21" s="533">
        <v>61847.199999999997</v>
      </c>
      <c r="G21" s="533">
        <v>230504</v>
      </c>
      <c r="H21" s="533">
        <v>-134416.29999999999</v>
      </c>
      <c r="I21" s="533">
        <v>96087.700000000012</v>
      </c>
      <c r="J21" s="533">
        <v>383585.2</v>
      </c>
      <c r="K21" s="455"/>
      <c r="L21" s="171"/>
      <c r="M21" s="171"/>
    </row>
    <row r="22" spans="1:13" ht="11.45" customHeight="1">
      <c r="A22" s="1315" t="s">
        <v>2228</v>
      </c>
      <c r="B22" s="531">
        <f>B34</f>
        <v>245780.7</v>
      </c>
      <c r="C22" s="531">
        <f t="shared" ref="C22:J22" si="3">C34</f>
        <v>145932.20000000001</v>
      </c>
      <c r="D22" s="531">
        <f t="shared" si="3"/>
        <v>4208.5</v>
      </c>
      <c r="E22" s="531">
        <f t="shared" si="3"/>
        <v>8781.9</v>
      </c>
      <c r="F22" s="531">
        <f t="shared" si="3"/>
        <v>170115.4</v>
      </c>
      <c r="G22" s="531">
        <f t="shared" si="3"/>
        <v>329038</v>
      </c>
      <c r="H22" s="531">
        <f t="shared" si="3"/>
        <v>-161171.70000000001</v>
      </c>
      <c r="I22" s="531">
        <f t="shared" si="3"/>
        <v>167866.3</v>
      </c>
      <c r="J22" s="531">
        <f t="shared" si="3"/>
        <v>413647</v>
      </c>
      <c r="K22" s="455"/>
      <c r="L22" s="171"/>
      <c r="M22" s="171"/>
    </row>
    <row r="23" spans="1:13" ht="11.45" customHeight="1">
      <c r="A23" s="298" t="s">
        <v>559</v>
      </c>
      <c r="B23" s="450">
        <v>284091</v>
      </c>
      <c r="C23" s="450">
        <v>147689</v>
      </c>
      <c r="D23" s="450">
        <v>3786.5</v>
      </c>
      <c r="E23" s="450">
        <v>7308.8</v>
      </c>
      <c r="F23" s="450">
        <v>63802.2</v>
      </c>
      <c r="G23" s="450">
        <f t="shared" ref="G23:G49" si="4">C23+D23+E23+F23</f>
        <v>222586.5</v>
      </c>
      <c r="H23" s="450">
        <v>-141017.9</v>
      </c>
      <c r="I23" s="450">
        <f t="shared" ref="I23:I34" si="5">G23+H23</f>
        <v>81568.600000000006</v>
      </c>
      <c r="J23" s="450">
        <f t="shared" ref="J23:J34" si="6">B23+I23</f>
        <v>365659.6</v>
      </c>
      <c r="K23" s="455"/>
      <c r="L23" s="171"/>
      <c r="M23" s="171"/>
    </row>
    <row r="24" spans="1:13" ht="11.45" customHeight="1">
      <c r="A24" s="159" t="s">
        <v>560</v>
      </c>
      <c r="B24" s="455">
        <v>272944.3</v>
      </c>
      <c r="C24" s="455">
        <v>135934.20000000001</v>
      </c>
      <c r="D24" s="455">
        <v>3680.1</v>
      </c>
      <c r="E24" s="455">
        <v>7542</v>
      </c>
      <c r="F24" s="455">
        <v>62898.1</v>
      </c>
      <c r="G24" s="455">
        <f t="shared" si="4"/>
        <v>210054.40000000002</v>
      </c>
      <c r="H24" s="455">
        <v>-131790.1</v>
      </c>
      <c r="I24" s="455">
        <f t="shared" si="5"/>
        <v>78264.300000000017</v>
      </c>
      <c r="J24" s="455">
        <f t="shared" si="6"/>
        <v>351208.6</v>
      </c>
      <c r="K24" s="455"/>
      <c r="L24" s="171"/>
      <c r="M24" s="171"/>
    </row>
    <row r="25" spans="1:13" ht="11.45" customHeight="1">
      <c r="A25" s="298" t="s">
        <v>554</v>
      </c>
      <c r="B25" s="450">
        <v>258977.5</v>
      </c>
      <c r="C25" s="450">
        <v>129039.7</v>
      </c>
      <c r="D25" s="450">
        <v>3928.4</v>
      </c>
      <c r="E25" s="450">
        <v>7748.6</v>
      </c>
      <c r="F25" s="450">
        <v>75410.399999999994</v>
      </c>
      <c r="G25" s="450">
        <f t="shared" si="4"/>
        <v>216127.1</v>
      </c>
      <c r="H25" s="450">
        <v>-130870.7</v>
      </c>
      <c r="I25" s="450">
        <f t="shared" si="5"/>
        <v>85256.400000000009</v>
      </c>
      <c r="J25" s="450">
        <f t="shared" si="6"/>
        <v>344233.9</v>
      </c>
      <c r="K25" s="455"/>
      <c r="L25" s="171"/>
      <c r="M25" s="171"/>
    </row>
    <row r="26" spans="1:13" ht="11.45" customHeight="1">
      <c r="A26" s="159" t="s">
        <v>561</v>
      </c>
      <c r="B26" s="455">
        <v>248074.3</v>
      </c>
      <c r="C26" s="455">
        <v>127546.1</v>
      </c>
      <c r="D26" s="455">
        <v>3934.3</v>
      </c>
      <c r="E26" s="455">
        <v>9203.2000000000007</v>
      </c>
      <c r="F26" s="455">
        <v>85224.5</v>
      </c>
      <c r="G26" s="455">
        <f t="shared" si="4"/>
        <v>225908.1</v>
      </c>
      <c r="H26" s="455">
        <v>-134024</v>
      </c>
      <c r="I26" s="455">
        <f t="shared" si="5"/>
        <v>91884.1</v>
      </c>
      <c r="J26" s="455">
        <f t="shared" si="6"/>
        <v>339958.4</v>
      </c>
      <c r="K26" s="455"/>
      <c r="L26" s="171"/>
      <c r="M26" s="171"/>
    </row>
    <row r="27" spans="1:13" ht="11.45" customHeight="1">
      <c r="A27" s="298" t="s">
        <v>562</v>
      </c>
      <c r="B27" s="450">
        <v>235600.5</v>
      </c>
      <c r="C27" s="450">
        <v>132232.70000000001</v>
      </c>
      <c r="D27" s="450">
        <v>3943</v>
      </c>
      <c r="E27" s="450">
        <v>9203</v>
      </c>
      <c r="F27" s="450">
        <v>94568.1</v>
      </c>
      <c r="G27" s="450">
        <f t="shared" si="4"/>
        <v>239946.80000000002</v>
      </c>
      <c r="H27" s="450">
        <v>-135177.1</v>
      </c>
      <c r="I27" s="450">
        <f t="shared" si="5"/>
        <v>104769.70000000001</v>
      </c>
      <c r="J27" s="450">
        <f t="shared" si="6"/>
        <v>340370.2</v>
      </c>
      <c r="K27" s="455"/>
      <c r="L27" s="171"/>
      <c r="M27" s="171"/>
    </row>
    <row r="28" spans="1:13" ht="11.45" customHeight="1">
      <c r="A28" s="159" t="s">
        <v>555</v>
      </c>
      <c r="B28" s="455">
        <v>248198.9</v>
      </c>
      <c r="C28" s="455">
        <v>126706.8</v>
      </c>
      <c r="D28" s="455">
        <v>4201.8999999999996</v>
      </c>
      <c r="E28" s="455">
        <v>8390.4</v>
      </c>
      <c r="F28" s="455">
        <v>124636.7</v>
      </c>
      <c r="G28" s="455">
        <f t="shared" si="4"/>
        <v>263935.8</v>
      </c>
      <c r="H28" s="455">
        <v>-139819.1</v>
      </c>
      <c r="I28" s="455">
        <f t="shared" si="5"/>
        <v>124116.69999999998</v>
      </c>
      <c r="J28" s="455">
        <f t="shared" si="6"/>
        <v>372315.6</v>
      </c>
      <c r="K28" s="455"/>
      <c r="L28" s="171"/>
      <c r="M28" s="171"/>
    </row>
    <row r="29" spans="1:13" ht="11.45" customHeight="1">
      <c r="A29" s="298" t="s">
        <v>563</v>
      </c>
      <c r="B29" s="450">
        <v>232550.2</v>
      </c>
      <c r="C29" s="450">
        <v>125862.2</v>
      </c>
      <c r="D29" s="450">
        <v>4173.6000000000004</v>
      </c>
      <c r="E29" s="450">
        <v>8308.2999999999993</v>
      </c>
      <c r="F29" s="450">
        <v>109153.9</v>
      </c>
      <c r="G29" s="450">
        <f t="shared" si="4"/>
        <v>247498</v>
      </c>
      <c r="H29" s="450">
        <v>-132682.5</v>
      </c>
      <c r="I29" s="450">
        <f t="shared" si="5"/>
        <v>114815.5</v>
      </c>
      <c r="J29" s="450">
        <f t="shared" si="6"/>
        <v>347365.7</v>
      </c>
      <c r="K29" s="455"/>
      <c r="L29" s="171"/>
      <c r="M29" s="171"/>
    </row>
    <row r="30" spans="1:13" ht="11.45" customHeight="1">
      <c r="A30" s="159" t="s">
        <v>564</v>
      </c>
      <c r="B30" s="455">
        <v>229743.6</v>
      </c>
      <c r="C30" s="455">
        <v>123109.8</v>
      </c>
      <c r="D30" s="455">
        <v>4182.5</v>
      </c>
      <c r="E30" s="455">
        <v>8445.2000000000007</v>
      </c>
      <c r="F30" s="455">
        <v>117104.3</v>
      </c>
      <c r="G30" s="455">
        <f t="shared" si="4"/>
        <v>252841.8</v>
      </c>
      <c r="H30" s="455">
        <v>-129727.1</v>
      </c>
      <c r="I30" s="455">
        <f t="shared" si="5"/>
        <v>123114.69999999998</v>
      </c>
      <c r="J30" s="455">
        <f t="shared" si="6"/>
        <v>352858.3</v>
      </c>
      <c r="K30" s="455"/>
      <c r="L30" s="171"/>
      <c r="M30" s="171"/>
    </row>
    <row r="31" spans="1:13" ht="11.45" customHeight="1">
      <c r="A31" s="298" t="s">
        <v>556</v>
      </c>
      <c r="B31" s="450">
        <v>226890.9</v>
      </c>
      <c r="C31" s="450">
        <v>127810.1</v>
      </c>
      <c r="D31" s="450">
        <v>4186.8</v>
      </c>
      <c r="E31" s="450">
        <v>8529.7000000000007</v>
      </c>
      <c r="F31" s="450">
        <v>119086.6</v>
      </c>
      <c r="G31" s="450">
        <f t="shared" si="4"/>
        <v>259613.2</v>
      </c>
      <c r="H31" s="450">
        <v>-129714.9</v>
      </c>
      <c r="I31" s="450">
        <f t="shared" si="5"/>
        <v>129898.30000000002</v>
      </c>
      <c r="J31" s="450">
        <f t="shared" si="6"/>
        <v>356789.2</v>
      </c>
      <c r="K31" s="455"/>
      <c r="L31" s="171"/>
      <c r="M31" s="171"/>
    </row>
    <row r="32" spans="1:13" ht="11.45" customHeight="1">
      <c r="A32" s="159" t="s">
        <v>565</v>
      </c>
      <c r="B32" s="455">
        <v>219734.5</v>
      </c>
      <c r="C32" s="455">
        <v>137437.79999999999</v>
      </c>
      <c r="D32" s="455">
        <v>4194</v>
      </c>
      <c r="E32" s="455">
        <v>8446.5</v>
      </c>
      <c r="F32" s="455">
        <v>116778.1</v>
      </c>
      <c r="G32" s="455">
        <f t="shared" si="4"/>
        <v>266856.40000000002</v>
      </c>
      <c r="H32" s="455">
        <v>-129880.7</v>
      </c>
      <c r="I32" s="455">
        <f t="shared" si="5"/>
        <v>136975.70000000001</v>
      </c>
      <c r="J32" s="455">
        <f t="shared" si="6"/>
        <v>356710.2</v>
      </c>
      <c r="K32" s="455"/>
      <c r="L32" s="171"/>
      <c r="M32" s="171"/>
    </row>
    <row r="33" spans="1:13" ht="11.45" customHeight="1">
      <c r="A33" s="298" t="s">
        <v>566</v>
      </c>
      <c r="B33" s="450">
        <v>231124.4</v>
      </c>
      <c r="C33" s="450">
        <v>141383.70000000001</v>
      </c>
      <c r="D33" s="450">
        <v>4201.3</v>
      </c>
      <c r="E33" s="450">
        <v>8753.2000000000007</v>
      </c>
      <c r="F33" s="450">
        <v>117653.8</v>
      </c>
      <c r="G33" s="450">
        <f t="shared" si="4"/>
        <v>271992</v>
      </c>
      <c r="H33" s="450">
        <v>-142364.70000000001</v>
      </c>
      <c r="I33" s="450">
        <f t="shared" si="5"/>
        <v>129627.29999999999</v>
      </c>
      <c r="J33" s="450">
        <f t="shared" si="6"/>
        <v>360751.69999999995</v>
      </c>
      <c r="K33" s="455"/>
      <c r="L33" s="171"/>
      <c r="M33" s="171"/>
    </row>
    <row r="34" spans="1:13" ht="11.45" customHeight="1">
      <c r="A34" s="159" t="s">
        <v>557</v>
      </c>
      <c r="B34" s="455">
        <v>245780.7</v>
      </c>
      <c r="C34" s="455">
        <v>145932.20000000001</v>
      </c>
      <c r="D34" s="455">
        <v>4208.5</v>
      </c>
      <c r="E34" s="455">
        <v>8781.9</v>
      </c>
      <c r="F34" s="455">
        <v>170115.4</v>
      </c>
      <c r="G34" s="455">
        <f t="shared" si="4"/>
        <v>329038</v>
      </c>
      <c r="H34" s="455">
        <v>-161171.70000000001</v>
      </c>
      <c r="I34" s="455">
        <f t="shared" si="5"/>
        <v>167866.3</v>
      </c>
      <c r="J34" s="455">
        <f t="shared" si="6"/>
        <v>413647</v>
      </c>
      <c r="K34" s="455"/>
      <c r="L34" s="171"/>
      <c r="M34" s="171"/>
    </row>
    <row r="35" spans="1:13" ht="11.45" customHeight="1">
      <c r="A35" s="300" t="s">
        <v>2500</v>
      </c>
      <c r="B35" s="533">
        <f>B47</f>
        <v>293991.7</v>
      </c>
      <c r="C35" s="533">
        <f t="shared" ref="C35:J35" si="7">C47</f>
        <v>85426.8</v>
      </c>
      <c r="D35" s="533">
        <f t="shared" si="7"/>
        <v>7157.5</v>
      </c>
      <c r="E35" s="533">
        <f t="shared" si="7"/>
        <v>9287.5</v>
      </c>
      <c r="F35" s="533">
        <f>F47</f>
        <v>216923.6</v>
      </c>
      <c r="G35" s="533">
        <f>G47</f>
        <v>318795.40000000002</v>
      </c>
      <c r="H35" s="533">
        <f t="shared" si="7"/>
        <v>-199608.1</v>
      </c>
      <c r="I35" s="533">
        <f t="shared" si="7"/>
        <v>119187.30000000002</v>
      </c>
      <c r="J35" s="533">
        <f t="shared" si="7"/>
        <v>413179</v>
      </c>
      <c r="K35" s="455"/>
      <c r="L35" s="171"/>
      <c r="M35" s="171"/>
    </row>
    <row r="36" spans="1:13" ht="11.45" customHeight="1">
      <c r="A36" s="159" t="s">
        <v>559</v>
      </c>
      <c r="B36" s="455">
        <v>238927.1</v>
      </c>
      <c r="C36" s="455">
        <v>146699.6</v>
      </c>
      <c r="D36" s="455">
        <v>4206.3</v>
      </c>
      <c r="E36" s="455">
        <v>8804.2999999999993</v>
      </c>
      <c r="F36" s="455">
        <v>138552.79999999999</v>
      </c>
      <c r="G36" s="455">
        <f t="shared" si="4"/>
        <v>298263</v>
      </c>
      <c r="H36" s="455">
        <v>-147873</v>
      </c>
      <c r="I36" s="455">
        <f t="shared" ref="I36:I47" si="8">G36+H36</f>
        <v>150390</v>
      </c>
      <c r="J36" s="455">
        <f t="shared" ref="J36:J47" si="9">B36+I36</f>
        <v>389317.1</v>
      </c>
      <c r="K36" s="455"/>
      <c r="L36" s="171"/>
      <c r="M36" s="171"/>
    </row>
    <row r="37" spans="1:13" ht="11.45" customHeight="1">
      <c r="A37" s="298" t="s">
        <v>560</v>
      </c>
      <c r="B37" s="450">
        <v>231618.7</v>
      </c>
      <c r="C37" s="450">
        <v>127517.6</v>
      </c>
      <c r="D37" s="450">
        <v>3799.5</v>
      </c>
      <c r="E37" s="450">
        <v>8681.2999999999993</v>
      </c>
      <c r="F37" s="450">
        <v>147079.9</v>
      </c>
      <c r="G37" s="450">
        <f t="shared" si="4"/>
        <v>287078.3</v>
      </c>
      <c r="H37" s="450">
        <v>-132900.4</v>
      </c>
      <c r="I37" s="450">
        <f t="shared" si="8"/>
        <v>154177.9</v>
      </c>
      <c r="J37" s="450">
        <f t="shared" si="9"/>
        <v>385796.6</v>
      </c>
      <c r="K37" s="455"/>
      <c r="L37" s="171"/>
      <c r="M37" s="171"/>
    </row>
    <row r="38" spans="1:13" ht="11.45" customHeight="1">
      <c r="A38" s="159" t="s">
        <v>554</v>
      </c>
      <c r="B38" s="455">
        <v>231666.3</v>
      </c>
      <c r="C38" s="455">
        <v>103832.7</v>
      </c>
      <c r="D38" s="455">
        <v>3786.1</v>
      </c>
      <c r="E38" s="455">
        <v>9289.2000000000007</v>
      </c>
      <c r="F38" s="455">
        <v>164110</v>
      </c>
      <c r="G38" s="455">
        <f t="shared" si="4"/>
        <v>281018</v>
      </c>
      <c r="H38" s="455">
        <v>-137411.1</v>
      </c>
      <c r="I38" s="455">
        <f t="shared" si="8"/>
        <v>143606.9</v>
      </c>
      <c r="J38" s="455">
        <f t="shared" si="9"/>
        <v>375273.19999999995</v>
      </c>
      <c r="K38" s="455"/>
      <c r="L38" s="171"/>
      <c r="M38" s="171"/>
    </row>
    <row r="39" spans="1:13" ht="11.45" customHeight="1">
      <c r="A39" s="298" t="s">
        <v>561</v>
      </c>
      <c r="B39" s="450">
        <v>228522.6</v>
      </c>
      <c r="C39" s="450">
        <v>106212.1</v>
      </c>
      <c r="D39" s="450">
        <v>3789.7</v>
      </c>
      <c r="E39" s="450">
        <v>8910.5</v>
      </c>
      <c r="F39" s="450">
        <v>159222.5</v>
      </c>
      <c r="G39" s="450">
        <f t="shared" si="4"/>
        <v>278134.8</v>
      </c>
      <c r="H39" s="450">
        <v>-137402.1</v>
      </c>
      <c r="I39" s="450">
        <f t="shared" si="8"/>
        <v>140732.69999999998</v>
      </c>
      <c r="J39" s="450">
        <f t="shared" si="9"/>
        <v>369255.3</v>
      </c>
      <c r="K39" s="455"/>
      <c r="L39" s="171"/>
      <c r="M39" s="171"/>
    </row>
    <row r="40" spans="1:13" ht="11.45" customHeight="1">
      <c r="A40" s="159" t="s">
        <v>562</v>
      </c>
      <c r="B40" s="455">
        <v>223881.5</v>
      </c>
      <c r="C40" s="455">
        <v>107981.5</v>
      </c>
      <c r="D40" s="455">
        <v>3796.2</v>
      </c>
      <c r="E40" s="455">
        <v>9505.7000000000007</v>
      </c>
      <c r="F40" s="455">
        <v>180516.1</v>
      </c>
      <c r="G40" s="455">
        <f t="shared" si="4"/>
        <v>301799.5</v>
      </c>
      <c r="H40" s="455">
        <v>-137225.1</v>
      </c>
      <c r="I40" s="455">
        <f t="shared" si="8"/>
        <v>164574.39999999999</v>
      </c>
      <c r="J40" s="455">
        <f t="shared" si="9"/>
        <v>388455.9</v>
      </c>
      <c r="K40" s="455"/>
      <c r="L40" s="171"/>
      <c r="M40" s="171"/>
    </row>
    <row r="41" spans="1:13" ht="11.45" customHeight="1">
      <c r="A41" s="298" t="s">
        <v>555</v>
      </c>
      <c r="B41" s="450">
        <v>235750.8</v>
      </c>
      <c r="C41" s="450">
        <v>89973.6</v>
      </c>
      <c r="D41" s="450">
        <v>6903.5</v>
      </c>
      <c r="E41" s="450">
        <v>9426.5</v>
      </c>
      <c r="F41" s="450">
        <v>198089.2</v>
      </c>
      <c r="G41" s="450">
        <f t="shared" si="4"/>
        <v>304392.80000000005</v>
      </c>
      <c r="H41" s="450">
        <v>-140643.9</v>
      </c>
      <c r="I41" s="450">
        <f t="shared" si="8"/>
        <v>163748.90000000005</v>
      </c>
      <c r="J41" s="450">
        <f t="shared" si="9"/>
        <v>399499.70000000007</v>
      </c>
      <c r="K41" s="455"/>
      <c r="L41" s="171"/>
      <c r="M41" s="1523"/>
    </row>
    <row r="42" spans="1:13" ht="11.45" customHeight="1">
      <c r="A42" s="159" t="s">
        <v>563</v>
      </c>
      <c r="B42" s="455">
        <v>238082.6</v>
      </c>
      <c r="C42" s="455">
        <v>88103.8</v>
      </c>
      <c r="D42" s="455">
        <v>7121.8</v>
      </c>
      <c r="E42" s="455">
        <v>9606.6</v>
      </c>
      <c r="F42" s="455">
        <v>184745.4</v>
      </c>
      <c r="G42" s="455">
        <f t="shared" si="4"/>
        <v>289577.59999999998</v>
      </c>
      <c r="H42" s="455">
        <v>-148951.9</v>
      </c>
      <c r="I42" s="455">
        <f t="shared" si="8"/>
        <v>140625.69999999998</v>
      </c>
      <c r="J42" s="455">
        <f t="shared" si="9"/>
        <v>378708.3</v>
      </c>
      <c r="K42" s="455"/>
      <c r="L42" s="171"/>
      <c r="M42" s="1523"/>
    </row>
    <row r="43" spans="1:13" ht="11.45" customHeight="1">
      <c r="A43" s="298" t="s">
        <v>564</v>
      </c>
      <c r="B43" s="450">
        <v>238118.39999999999</v>
      </c>
      <c r="C43" s="450">
        <v>82947.7</v>
      </c>
      <c r="D43" s="450">
        <v>7130.8</v>
      </c>
      <c r="E43" s="450">
        <v>9688.6</v>
      </c>
      <c r="F43" s="450">
        <v>189534.3</v>
      </c>
      <c r="G43" s="450">
        <f t="shared" si="4"/>
        <v>289301.40000000002</v>
      </c>
      <c r="H43" s="450">
        <v>-152816.9</v>
      </c>
      <c r="I43" s="450">
        <f t="shared" si="8"/>
        <v>136484.50000000003</v>
      </c>
      <c r="J43" s="450">
        <f t="shared" si="9"/>
        <v>374602.9</v>
      </c>
      <c r="K43" s="455"/>
      <c r="L43" s="171"/>
      <c r="M43" s="1523"/>
    </row>
    <row r="44" spans="1:13" ht="11.45" customHeight="1">
      <c r="A44" s="159" t="s">
        <v>556</v>
      </c>
      <c r="B44" s="455">
        <v>240274.2</v>
      </c>
      <c r="C44" s="455">
        <v>100124.7</v>
      </c>
      <c r="D44" s="455">
        <v>7135.2</v>
      </c>
      <c r="E44" s="455">
        <v>9254.2999999999993</v>
      </c>
      <c r="F44" s="455">
        <v>198741.2</v>
      </c>
      <c r="G44" s="455">
        <f t="shared" si="4"/>
        <v>315255.40000000002</v>
      </c>
      <c r="H44" s="455">
        <v>-152796</v>
      </c>
      <c r="I44" s="455">
        <f t="shared" si="8"/>
        <v>162459.40000000002</v>
      </c>
      <c r="J44" s="455">
        <f t="shared" si="9"/>
        <v>402733.60000000003</v>
      </c>
      <c r="K44" s="455"/>
      <c r="L44" s="171"/>
      <c r="M44" s="1523"/>
    </row>
    <row r="45" spans="1:13" ht="11.45" customHeight="1">
      <c r="A45" s="298" t="s">
        <v>565</v>
      </c>
      <c r="B45" s="450">
        <v>251508.2</v>
      </c>
      <c r="C45" s="450">
        <v>89111.6</v>
      </c>
      <c r="D45" s="450">
        <v>7142.6</v>
      </c>
      <c r="E45" s="450">
        <v>9235.4</v>
      </c>
      <c r="F45" s="450">
        <v>187463.9</v>
      </c>
      <c r="G45" s="450">
        <f t="shared" si="4"/>
        <v>292953.5</v>
      </c>
      <c r="H45" s="450">
        <v>-163816.20000000001</v>
      </c>
      <c r="I45" s="450">
        <f t="shared" si="8"/>
        <v>129137.29999999999</v>
      </c>
      <c r="J45" s="450">
        <f t="shared" si="9"/>
        <v>380645.5</v>
      </c>
      <c r="K45" s="455"/>
      <c r="L45" s="171"/>
      <c r="M45" s="1523"/>
    </row>
    <row r="46" spans="1:13" ht="11.45" customHeight="1">
      <c r="A46" s="141" t="s">
        <v>566</v>
      </c>
      <c r="B46" s="455">
        <v>243726.7</v>
      </c>
      <c r="C46" s="455">
        <v>92024.1</v>
      </c>
      <c r="D46" s="455">
        <v>7150.2</v>
      </c>
      <c r="E46" s="455">
        <v>9311.7000000000007</v>
      </c>
      <c r="F46" s="455">
        <v>205586.1</v>
      </c>
      <c r="G46" s="455">
        <f>C46+D46+E46+F46</f>
        <v>314072.09999999998</v>
      </c>
      <c r="H46" s="455">
        <v>-158950.29999999999</v>
      </c>
      <c r="I46" s="455">
        <f t="shared" si="8"/>
        <v>155121.79999999999</v>
      </c>
      <c r="J46" s="455">
        <f t="shared" si="9"/>
        <v>398848.5</v>
      </c>
      <c r="K46" s="455"/>
      <c r="L46" s="171"/>
      <c r="M46" s="1523"/>
    </row>
    <row r="47" spans="1:13" ht="11.45" customHeight="1">
      <c r="A47" s="306" t="s">
        <v>557</v>
      </c>
      <c r="B47" s="450">
        <v>293991.7</v>
      </c>
      <c r="C47" s="450">
        <v>85426.8</v>
      </c>
      <c r="D47" s="450">
        <v>7157.5</v>
      </c>
      <c r="E47" s="450">
        <v>9287.5</v>
      </c>
      <c r="F47" s="450">
        <v>216923.6</v>
      </c>
      <c r="G47" s="450">
        <f>C47+D47+E47+F47</f>
        <v>318795.40000000002</v>
      </c>
      <c r="H47" s="450">
        <v>-199608.1</v>
      </c>
      <c r="I47" s="450">
        <f t="shared" si="8"/>
        <v>119187.30000000002</v>
      </c>
      <c r="J47" s="450">
        <f t="shared" si="9"/>
        <v>413179</v>
      </c>
      <c r="K47" s="455"/>
      <c r="L47" s="171"/>
      <c r="M47" s="1523"/>
    </row>
    <row r="48" spans="1:13" s="159" customFormat="1" ht="11.45" customHeight="1">
      <c r="A48" s="1315" t="s">
        <v>2754</v>
      </c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L48" s="171"/>
      <c r="M48" s="1626"/>
    </row>
    <row r="49" spans="1:13" ht="11.45" customHeight="1">
      <c r="A49" s="306" t="s">
        <v>559</v>
      </c>
      <c r="B49" s="450">
        <v>284285.5</v>
      </c>
      <c r="C49" s="450">
        <v>86888.2</v>
      </c>
      <c r="D49" s="450">
        <v>7671</v>
      </c>
      <c r="E49" s="450">
        <v>9258.2000000000007</v>
      </c>
      <c r="F49" s="450">
        <v>201325.7</v>
      </c>
      <c r="G49" s="450">
        <f t="shared" si="4"/>
        <v>305143.09999999998</v>
      </c>
      <c r="H49" s="450">
        <v>-190382.7</v>
      </c>
      <c r="I49" s="450">
        <f t="shared" ref="I49:I52" si="10">G49+H49</f>
        <v>114760.39999999997</v>
      </c>
      <c r="J49" s="450">
        <f t="shared" ref="J49:J52" si="11">B49+I49</f>
        <v>399045.89999999997</v>
      </c>
      <c r="K49" s="455"/>
      <c r="L49" s="171"/>
      <c r="M49" s="1523"/>
    </row>
    <row r="50" spans="1:13" ht="11.45" customHeight="1">
      <c r="A50" s="141" t="s">
        <v>560</v>
      </c>
      <c r="B50" s="455">
        <v>289617.3</v>
      </c>
      <c r="C50" s="455">
        <v>75256.899999999994</v>
      </c>
      <c r="D50" s="455">
        <v>7378.4</v>
      </c>
      <c r="E50" s="455">
        <v>9046.1</v>
      </c>
      <c r="F50" s="455">
        <v>186359.7</v>
      </c>
      <c r="G50" s="455">
        <f>(C50+D50+E50+F50)</f>
        <v>278041.09999999998</v>
      </c>
      <c r="H50" s="455">
        <v>-177150.1</v>
      </c>
      <c r="I50" s="455">
        <f>G50+H50</f>
        <v>100890.99999999997</v>
      </c>
      <c r="J50" s="455">
        <f>B50+I50</f>
        <v>390508.29999999993</v>
      </c>
      <c r="K50" s="455"/>
      <c r="L50" s="171"/>
      <c r="M50" s="1523"/>
    </row>
    <row r="51" spans="1:13" s="159" customFormat="1" ht="11.45" customHeight="1">
      <c r="A51" s="306" t="s">
        <v>554</v>
      </c>
      <c r="B51" s="450">
        <v>302125.59999999998</v>
      </c>
      <c r="C51" s="450">
        <v>80684.3</v>
      </c>
      <c r="D51" s="450">
        <v>7375.7</v>
      </c>
      <c r="E51" s="450">
        <v>8861.6</v>
      </c>
      <c r="F51" s="450">
        <v>173647.1</v>
      </c>
      <c r="G51" s="450">
        <f t="shared" ref="G51:G55" si="12">(C51+D51+E51+F51)</f>
        <v>270568.7</v>
      </c>
      <c r="H51" s="450">
        <v>-184497.9</v>
      </c>
      <c r="I51" s="450">
        <f t="shared" si="10"/>
        <v>86070.800000000017</v>
      </c>
      <c r="J51" s="450">
        <f t="shared" si="11"/>
        <v>388196.4</v>
      </c>
      <c r="K51" s="455"/>
      <c r="L51" s="712"/>
      <c r="M51" s="1626"/>
    </row>
    <row r="52" spans="1:13" s="159" customFormat="1" ht="11.45" customHeight="1">
      <c r="A52" s="449" t="s">
        <v>561</v>
      </c>
      <c r="B52" s="1710">
        <v>305459.59999999998</v>
      </c>
      <c r="C52" s="1710">
        <v>80516.899999999994</v>
      </c>
      <c r="D52" s="1710">
        <v>7383.1</v>
      </c>
      <c r="E52" s="1710">
        <v>8329.2000000000007</v>
      </c>
      <c r="F52" s="1710">
        <v>167782.1</v>
      </c>
      <c r="G52" s="1710">
        <f t="shared" si="12"/>
        <v>264011.3</v>
      </c>
      <c r="H52" s="1710">
        <v>-188583.5</v>
      </c>
      <c r="I52" s="1710">
        <f t="shared" si="10"/>
        <v>75427.799999999988</v>
      </c>
      <c r="J52" s="1710">
        <f t="shared" si="11"/>
        <v>380887.39999999997</v>
      </c>
      <c r="K52" s="712"/>
      <c r="L52" s="712"/>
    </row>
    <row r="53" spans="1:13" ht="11.45" customHeight="1">
      <c r="A53" s="306" t="s">
        <v>562</v>
      </c>
      <c r="B53" s="450">
        <v>301884.2</v>
      </c>
      <c r="C53" s="450">
        <v>98604.1</v>
      </c>
      <c r="D53" s="450">
        <v>7390.4</v>
      </c>
      <c r="E53" s="450">
        <v>8200.9</v>
      </c>
      <c r="F53" s="450">
        <v>179736.7</v>
      </c>
      <c r="G53" s="450">
        <f t="shared" si="12"/>
        <v>293932.09999999998</v>
      </c>
      <c r="H53" s="450">
        <v>-190464.1</v>
      </c>
      <c r="I53" s="450">
        <f t="shared" ref="I53:I55" si="13">G53+H53</f>
        <v>103467.99999999997</v>
      </c>
      <c r="J53" s="450">
        <f t="shared" ref="J53:J55" si="14">B53+I53</f>
        <v>405352.19999999995</v>
      </c>
      <c r="K53" s="171"/>
      <c r="L53" s="171"/>
    </row>
    <row r="54" spans="1:13" ht="11.45" customHeight="1">
      <c r="A54" s="141" t="s">
        <v>555</v>
      </c>
      <c r="B54" s="455">
        <v>317802.09999999998</v>
      </c>
      <c r="C54" s="455">
        <v>94976.7</v>
      </c>
      <c r="D54" s="455">
        <v>7372.8</v>
      </c>
      <c r="E54" s="455">
        <v>17051.8</v>
      </c>
      <c r="F54" s="455">
        <v>197177.5</v>
      </c>
      <c r="G54" s="455">
        <f t="shared" si="12"/>
        <v>316578.8</v>
      </c>
      <c r="H54" s="455">
        <v>-198056.1</v>
      </c>
      <c r="I54" s="455">
        <f t="shared" ref="I54" si="15">G54+H54</f>
        <v>118522.69999999998</v>
      </c>
      <c r="J54" s="455">
        <f t="shared" ref="J54" si="16">B54+I54</f>
        <v>436324.79999999993</v>
      </c>
      <c r="L54" s="171"/>
    </row>
    <row r="55" spans="1:13" ht="11.45" customHeight="1">
      <c r="A55" s="306" t="s">
        <v>563</v>
      </c>
      <c r="B55" s="450">
        <v>327284</v>
      </c>
      <c r="C55" s="450">
        <v>86457.9</v>
      </c>
      <c r="D55" s="450">
        <v>7621.1</v>
      </c>
      <c r="E55" s="450">
        <v>17017.099999999999</v>
      </c>
      <c r="F55" s="450">
        <v>184160.9</v>
      </c>
      <c r="G55" s="450">
        <f t="shared" si="12"/>
        <v>295257</v>
      </c>
      <c r="H55" s="450">
        <v>-204585.9</v>
      </c>
      <c r="I55" s="450">
        <f t="shared" si="13"/>
        <v>90671.1</v>
      </c>
      <c r="J55" s="450">
        <f t="shared" si="14"/>
        <v>417955.1</v>
      </c>
    </row>
    <row r="56" spans="1:13" ht="11.45" customHeight="1" thickBot="1">
      <c r="A56" s="1713" t="s">
        <v>564</v>
      </c>
      <c r="B56" s="1714">
        <v>342571.3</v>
      </c>
      <c r="C56" s="1714">
        <v>80916.600000000006</v>
      </c>
      <c r="D56" s="1714">
        <v>7629.3</v>
      </c>
      <c r="E56" s="1714">
        <v>17076.099999999999</v>
      </c>
      <c r="F56" s="1714">
        <v>180648.5</v>
      </c>
      <c r="G56" s="1714">
        <v>286270.5</v>
      </c>
      <c r="H56" s="1714">
        <v>-204223</v>
      </c>
      <c r="I56" s="1714">
        <v>82047.5</v>
      </c>
      <c r="J56" s="1714">
        <v>424618.8</v>
      </c>
    </row>
    <row r="57" spans="1:13">
      <c r="A57" s="499" t="s">
        <v>1350</v>
      </c>
      <c r="B57" s="255" t="s">
        <v>1220</v>
      </c>
      <c r="C57" s="255"/>
      <c r="D57" s="255"/>
      <c r="E57" s="255"/>
      <c r="F57" s="255"/>
      <c r="G57" s="255"/>
      <c r="H57" s="255"/>
      <c r="I57" s="264" t="s">
        <v>1309</v>
      </c>
      <c r="J57" s="255"/>
    </row>
    <row r="58" spans="1:13">
      <c r="A58" s="218"/>
      <c r="B58" s="218"/>
      <c r="C58" s="218"/>
      <c r="D58" s="218"/>
      <c r="E58" s="218"/>
      <c r="F58" s="225"/>
      <c r="G58" s="218"/>
      <c r="H58" s="218"/>
      <c r="I58" s="218"/>
      <c r="J58" s="602"/>
    </row>
    <row r="59" spans="1:13">
      <c r="B59" s="218"/>
      <c r="F59" s="225"/>
      <c r="G59" s="225"/>
      <c r="H59" s="171"/>
      <c r="I59" s="171"/>
      <c r="J59" s="171"/>
    </row>
    <row r="60" spans="1:13">
      <c r="F60" s="171"/>
      <c r="I60" s="171"/>
    </row>
    <row r="61" spans="1:13">
      <c r="B61" s="171"/>
      <c r="C61" s="171"/>
      <c r="D61" s="171"/>
      <c r="E61" s="171"/>
      <c r="F61" s="171"/>
      <c r="H61" s="171"/>
    </row>
    <row r="62" spans="1:13">
      <c r="B62" s="171"/>
      <c r="C62" s="171"/>
      <c r="D62" s="171"/>
      <c r="E62" s="171"/>
      <c r="F62" s="171"/>
      <c r="G62" s="171"/>
      <c r="H62" s="171"/>
      <c r="I62" s="171"/>
      <c r="J62" s="171"/>
    </row>
    <row r="63" spans="1:13">
      <c r="B63" s="171"/>
      <c r="C63" s="171"/>
      <c r="D63" s="171"/>
      <c r="E63" s="171"/>
      <c r="F63" s="171"/>
      <c r="G63" s="171"/>
      <c r="H63" s="171"/>
      <c r="I63" s="171"/>
      <c r="J63" s="171"/>
    </row>
    <row r="64" spans="1:13">
      <c r="B64" s="171"/>
      <c r="C64" s="171"/>
      <c r="D64" s="171"/>
      <c r="E64" s="171"/>
      <c r="F64" s="171"/>
      <c r="G64" s="171"/>
      <c r="H64" s="171"/>
      <c r="I64" s="171"/>
      <c r="J64" s="171"/>
    </row>
    <row r="72" spans="2:10">
      <c r="B72" s="171"/>
      <c r="C72" s="171"/>
      <c r="D72" s="171"/>
      <c r="E72" s="171"/>
      <c r="F72" s="171"/>
      <c r="G72" s="171"/>
      <c r="H72" s="171"/>
      <c r="I72" s="171"/>
      <c r="J72" s="171"/>
    </row>
    <row r="73" spans="2:10">
      <c r="B73" s="171"/>
      <c r="C73" s="171"/>
      <c r="D73" s="171"/>
      <c r="E73" s="171"/>
      <c r="F73" s="171"/>
      <c r="G73" s="171"/>
      <c r="H73" s="171"/>
      <c r="I73" s="171"/>
      <c r="J73" s="171"/>
    </row>
    <row r="74" spans="2:10">
      <c r="B74" s="171"/>
      <c r="C74" s="171"/>
      <c r="D74" s="171"/>
      <c r="E74" s="171"/>
      <c r="F74" s="171"/>
      <c r="G74" s="171"/>
      <c r="H74" s="171"/>
      <c r="I74" s="171"/>
      <c r="J74" s="171"/>
    </row>
    <row r="75" spans="2:10">
      <c r="B75" s="171"/>
      <c r="C75" s="171"/>
      <c r="D75" s="171"/>
      <c r="E75" s="171"/>
      <c r="F75" s="171"/>
      <c r="G75" s="171"/>
      <c r="H75" s="171"/>
      <c r="I75" s="171"/>
      <c r="J75" s="171"/>
    </row>
    <row r="76" spans="2:10">
      <c r="B76" s="171"/>
      <c r="C76" s="171"/>
      <c r="D76" s="171"/>
      <c r="E76" s="171"/>
      <c r="F76" s="171"/>
      <c r="G76" s="171"/>
      <c r="H76" s="171"/>
      <c r="I76" s="171"/>
      <c r="J76" s="171"/>
    </row>
    <row r="77" spans="2:10">
      <c r="B77" s="171"/>
      <c r="C77" s="171"/>
      <c r="D77" s="171"/>
      <c r="E77" s="171"/>
      <c r="F77" s="171"/>
      <c r="G77" s="171"/>
      <c r="H77" s="171"/>
      <c r="I77" s="171"/>
      <c r="J77" s="171"/>
    </row>
    <row r="78" spans="2:10">
      <c r="B78" s="171"/>
      <c r="C78" s="171"/>
      <c r="D78" s="171"/>
      <c r="E78" s="171"/>
      <c r="F78" s="171"/>
      <c r="G78" s="171"/>
      <c r="H78" s="171"/>
      <c r="I78" s="171"/>
      <c r="J78" s="171"/>
    </row>
    <row r="79" spans="2:10">
      <c r="B79" s="171"/>
      <c r="C79" s="171"/>
      <c r="D79" s="171"/>
      <c r="E79" s="171"/>
      <c r="F79" s="171"/>
      <c r="G79" s="171"/>
      <c r="H79" s="171"/>
      <c r="I79" s="171"/>
      <c r="J79" s="171"/>
    </row>
    <row r="80" spans="2:10">
      <c r="B80" s="171"/>
      <c r="C80" s="171"/>
      <c r="D80" s="171"/>
      <c r="E80" s="171"/>
      <c r="F80" s="171"/>
      <c r="G80" s="171"/>
      <c r="H80" s="171"/>
      <c r="I80" s="171"/>
      <c r="J80" s="171"/>
    </row>
    <row r="81" spans="2:10">
      <c r="B81" s="171"/>
      <c r="C81" s="171"/>
      <c r="D81" s="171"/>
      <c r="E81" s="171"/>
      <c r="F81" s="171"/>
      <c r="G81" s="171"/>
      <c r="H81" s="171"/>
      <c r="I81" s="171"/>
      <c r="J81" s="171"/>
    </row>
    <row r="82" spans="2:10">
      <c r="B82" s="171"/>
      <c r="C82" s="171"/>
      <c r="D82" s="171"/>
      <c r="E82" s="171"/>
      <c r="F82" s="171"/>
      <c r="G82" s="171"/>
      <c r="H82" s="171"/>
      <c r="I82" s="171"/>
      <c r="J82" s="171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6" priority="65" stopIfTrue="1">
      <formula>MOD(ROW(),2)=1</formula>
    </cfRule>
    <cfRule type="expression" priority="66" stopIfTrue="1">
      <formula>MOD(ROW(),2)=1</formula>
    </cfRule>
  </conditionalFormatting>
  <conditionalFormatting sqref="A14:A16">
    <cfRule type="expression" priority="62" stopIfTrue="1">
      <formula>MOD(row,0)=0</formula>
    </cfRule>
  </conditionalFormatting>
  <conditionalFormatting sqref="A14:A16">
    <cfRule type="expression" priority="57" stopIfTrue="1">
      <formula>MOD((((#REF!))),0)=0</formula>
    </cfRule>
  </conditionalFormatting>
  <conditionalFormatting sqref="A15:A16">
    <cfRule type="expression" dxfId="5" priority="51" stopIfTrue="1">
      <formula>MOD(ROW(),2)=1</formula>
    </cfRule>
  </conditionalFormatting>
  <conditionalFormatting sqref="A15:A16">
    <cfRule type="expression" priority="48" stopIfTrue="1">
      <formula>MOD((((#REF!))),0)=0</formula>
    </cfRule>
  </conditionalFormatting>
  <conditionalFormatting sqref="B8:J12 A8:A16">
    <cfRule type="expression" dxfId="4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3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4"/>
  <sheetViews>
    <sheetView zoomScale="150" zoomScaleNormal="150" zoomScaleSheetLayoutView="110" workbookViewId="0">
      <pane ySplit="7" topLeftCell="A47" activePane="bottomLeft" state="frozen"/>
      <selection activeCell="Q6" sqref="Q6"/>
      <selection pane="bottomLeft" activeCell="V25" sqref="V25"/>
    </sheetView>
  </sheetViews>
  <sheetFormatPr defaultColWidth="9.140625" defaultRowHeight="11.25"/>
  <cols>
    <col min="1" max="1" width="8" style="503" customWidth="1"/>
    <col min="2" max="2" width="12.140625" style="160" bestFit="1" customWidth="1"/>
    <col min="3" max="3" width="5.85546875" style="160" customWidth="1"/>
    <col min="4" max="4" width="6.85546875" style="160" customWidth="1"/>
    <col min="5" max="5" width="7.28515625" style="160" customWidth="1"/>
    <col min="6" max="6" width="7.42578125" style="160" bestFit="1" customWidth="1"/>
    <col min="7" max="7" width="6.28515625" style="160" bestFit="1" customWidth="1"/>
    <col min="8" max="8" width="7.42578125" style="160" customWidth="1"/>
    <col min="9" max="9" width="7.42578125" style="168" bestFit="1" customWidth="1"/>
    <col min="10" max="10" width="6.5703125" style="160" customWidth="1"/>
    <col min="11" max="11" width="5.5703125" style="160" customWidth="1"/>
    <col min="12" max="12" width="6.28515625" style="160" customWidth="1"/>
    <col min="13" max="13" width="9" style="160" customWidth="1"/>
    <col min="14" max="15" width="8" style="160" customWidth="1"/>
    <col min="16" max="16" width="9.7109375" style="160" customWidth="1"/>
    <col min="17" max="17" width="8.140625" style="160" customWidth="1"/>
    <col min="18" max="18" width="9" style="160" customWidth="1"/>
    <col min="19" max="19" width="8" style="160" customWidth="1"/>
    <col min="20" max="20" width="7.5703125" style="503" customWidth="1"/>
    <col min="21" max="22" width="11" style="160" bestFit="1" customWidth="1"/>
    <col min="23" max="23" width="10" style="160" bestFit="1" customWidth="1"/>
    <col min="24" max="24" width="11.5703125" style="160" bestFit="1" customWidth="1"/>
    <col min="25" max="16384" width="9.140625" style="160"/>
  </cols>
  <sheetData>
    <row r="1" spans="1:24" s="500" customFormat="1" ht="16.5" customHeight="1">
      <c r="B1" s="501"/>
      <c r="C1" s="501"/>
      <c r="D1" s="501"/>
      <c r="E1" s="501"/>
      <c r="F1" s="501"/>
      <c r="G1" s="501"/>
      <c r="H1" s="2134" t="s">
        <v>431</v>
      </c>
      <c r="I1" s="2134"/>
      <c r="J1" s="2134"/>
      <c r="K1" s="2135" t="s">
        <v>1334</v>
      </c>
      <c r="L1" s="2135"/>
      <c r="M1" s="2135"/>
      <c r="N1" s="2135"/>
      <c r="O1" s="502"/>
      <c r="P1" s="502"/>
      <c r="Q1" s="502"/>
      <c r="R1" s="2128" t="s">
        <v>145</v>
      </c>
      <c r="S1" s="2128"/>
      <c r="T1" s="2128"/>
    </row>
    <row r="2" spans="1:24" ht="12" customHeight="1">
      <c r="B2" s="1632"/>
      <c r="C2" s="1632"/>
      <c r="D2" s="1632"/>
      <c r="E2" s="1632"/>
      <c r="F2" s="1632"/>
      <c r="G2" s="1632"/>
      <c r="L2" s="1632"/>
      <c r="M2" s="1632"/>
      <c r="N2" s="1633"/>
      <c r="O2" s="1632"/>
      <c r="P2" s="1632"/>
      <c r="Q2" s="1632"/>
      <c r="R2" s="1632"/>
      <c r="S2" s="2132" t="s">
        <v>24</v>
      </c>
      <c r="T2" s="2132"/>
    </row>
    <row r="3" spans="1:24" s="504" customFormat="1" ht="12.75" customHeight="1">
      <c r="A3" s="2119" t="s">
        <v>902</v>
      </c>
      <c r="B3" s="2122" t="s">
        <v>482</v>
      </c>
      <c r="C3" s="2122"/>
      <c r="D3" s="2122"/>
      <c r="E3" s="2122"/>
      <c r="F3" s="2126" t="s">
        <v>570</v>
      </c>
      <c r="G3" s="2127"/>
      <c r="H3" s="2127"/>
      <c r="I3" s="2127"/>
      <c r="J3" s="2127"/>
      <c r="K3" s="2127"/>
      <c r="L3" s="2127"/>
      <c r="M3" s="2127" t="s">
        <v>569</v>
      </c>
      <c r="N3" s="2127"/>
      <c r="O3" s="2127"/>
      <c r="P3" s="1621"/>
      <c r="Q3" s="2118" t="s">
        <v>904</v>
      </c>
      <c r="R3" s="2118" t="s">
        <v>905</v>
      </c>
      <c r="S3" s="2131" t="s">
        <v>1335</v>
      </c>
      <c r="T3" s="2115" t="s">
        <v>475</v>
      </c>
    </row>
    <row r="4" spans="1:24" s="505" customFormat="1" ht="15" customHeight="1">
      <c r="A4" s="2120"/>
      <c r="B4" s="2118" t="s">
        <v>766</v>
      </c>
      <c r="C4" s="2130" t="s">
        <v>158</v>
      </c>
      <c r="D4" s="2115" t="s">
        <v>354</v>
      </c>
      <c r="E4" s="2118" t="s">
        <v>767</v>
      </c>
      <c r="F4" s="2123" t="s">
        <v>397</v>
      </c>
      <c r="G4" s="2124"/>
      <c r="H4" s="2124"/>
      <c r="I4" s="2124"/>
      <c r="J4" s="2124"/>
      <c r="K4" s="2124"/>
      <c r="L4" s="2125"/>
      <c r="M4" s="2122" t="s">
        <v>576</v>
      </c>
      <c r="N4" s="2122"/>
      <c r="O4" s="2122"/>
      <c r="P4" s="2118" t="s">
        <v>903</v>
      </c>
      <c r="Q4" s="2118"/>
      <c r="R4" s="2118"/>
      <c r="S4" s="2131"/>
      <c r="T4" s="2116"/>
    </row>
    <row r="5" spans="1:24" s="505" customFormat="1" ht="15" customHeight="1">
      <c r="A5" s="2120"/>
      <c r="B5" s="2118"/>
      <c r="C5" s="2130"/>
      <c r="D5" s="2116"/>
      <c r="E5" s="2118"/>
      <c r="F5" s="2122" t="s">
        <v>1321</v>
      </c>
      <c r="G5" s="2122"/>
      <c r="H5" s="2122"/>
      <c r="I5" s="2122"/>
      <c r="J5" s="2122" t="s">
        <v>485</v>
      </c>
      <c r="K5" s="2122"/>
      <c r="L5" s="2122"/>
      <c r="M5" s="2115" t="s">
        <v>770</v>
      </c>
      <c r="N5" s="2115" t="s">
        <v>158</v>
      </c>
      <c r="O5" s="2115" t="s">
        <v>771</v>
      </c>
      <c r="P5" s="2118"/>
      <c r="Q5" s="2118"/>
      <c r="R5" s="2118"/>
      <c r="S5" s="2131"/>
      <c r="T5" s="2116"/>
    </row>
    <row r="6" spans="1:24" s="505" customFormat="1" ht="34.5" customHeight="1">
      <c r="A6" s="2120"/>
      <c r="B6" s="2118"/>
      <c r="C6" s="2130"/>
      <c r="D6" s="2117"/>
      <c r="E6" s="2118"/>
      <c r="F6" s="1616" t="s">
        <v>115</v>
      </c>
      <c r="G6" s="506" t="s">
        <v>158</v>
      </c>
      <c r="H6" s="1616" t="s">
        <v>1232</v>
      </c>
      <c r="I6" s="1616" t="s">
        <v>768</v>
      </c>
      <c r="J6" s="1616" t="s">
        <v>115</v>
      </c>
      <c r="K6" s="507" t="s">
        <v>158</v>
      </c>
      <c r="L6" s="1616" t="s">
        <v>769</v>
      </c>
      <c r="M6" s="2117"/>
      <c r="N6" s="2117"/>
      <c r="O6" s="2117"/>
      <c r="P6" s="2118"/>
      <c r="Q6" s="2118"/>
      <c r="R6" s="2118"/>
      <c r="S6" s="2131"/>
      <c r="T6" s="2116"/>
    </row>
    <row r="7" spans="1:24" s="508" customFormat="1" ht="10.5">
      <c r="A7" s="2121"/>
      <c r="B7" s="243">
        <v>1</v>
      </c>
      <c r="C7" s="243">
        <v>2</v>
      </c>
      <c r="D7" s="243">
        <v>3</v>
      </c>
      <c r="E7" s="243">
        <v>4</v>
      </c>
      <c r="F7" s="243">
        <v>5</v>
      </c>
      <c r="G7" s="243">
        <v>6</v>
      </c>
      <c r="H7" s="243">
        <v>7</v>
      </c>
      <c r="I7" s="243">
        <v>8</v>
      </c>
      <c r="J7" s="243">
        <v>9</v>
      </c>
      <c r="K7" s="243">
        <v>10</v>
      </c>
      <c r="L7" s="243">
        <v>11</v>
      </c>
      <c r="M7" s="243">
        <v>12</v>
      </c>
      <c r="N7" s="243">
        <v>13</v>
      </c>
      <c r="O7" s="243">
        <v>14</v>
      </c>
      <c r="P7" s="243">
        <v>15</v>
      </c>
      <c r="Q7" s="243">
        <v>16</v>
      </c>
      <c r="R7" s="243">
        <v>17</v>
      </c>
      <c r="S7" s="913">
        <v>18</v>
      </c>
      <c r="T7" s="2117"/>
    </row>
    <row r="8" spans="1:24" ht="10.5" customHeight="1">
      <c r="A8" s="1093" t="s">
        <v>81</v>
      </c>
      <c r="B8" s="394">
        <v>67049.8</v>
      </c>
      <c r="C8" s="394">
        <v>-221.7</v>
      </c>
      <c r="D8" s="394">
        <v>-5768.2</v>
      </c>
      <c r="E8" s="394">
        <v>61059.900000000009</v>
      </c>
      <c r="F8" s="942">
        <v>54225</v>
      </c>
      <c r="G8" s="394">
        <v>175.5</v>
      </c>
      <c r="H8" s="394">
        <v>61381.4</v>
      </c>
      <c r="I8" s="394">
        <f t="shared" ref="I8:I10" si="0">F8+G8+H8</f>
        <v>115781.9</v>
      </c>
      <c r="J8" s="942">
        <v>12762.9</v>
      </c>
      <c r="K8" s="394">
        <v>93.8</v>
      </c>
      <c r="L8" s="394">
        <f t="shared" ref="L8:L10" si="1">J8+K8</f>
        <v>12856.699999999999</v>
      </c>
      <c r="M8" s="394">
        <v>261852</v>
      </c>
      <c r="N8" s="394">
        <v>23541.3</v>
      </c>
      <c r="O8" s="394">
        <v>285393.3</v>
      </c>
      <c r="P8" s="394">
        <f t="shared" ref="P8:P10" si="2">I8+L8+O8</f>
        <v>414031.89999999997</v>
      </c>
      <c r="Q8" s="494">
        <v>-45754.599999999977</v>
      </c>
      <c r="R8" s="394">
        <f t="shared" ref="R8:R10" si="3">P8+Q8</f>
        <v>368277.3</v>
      </c>
      <c r="S8" s="394">
        <f t="shared" ref="S8:S10" si="4">E8+R8</f>
        <v>429337.2</v>
      </c>
      <c r="T8" s="235" t="s">
        <v>81</v>
      </c>
      <c r="U8" s="171"/>
      <c r="V8" s="171"/>
      <c r="W8" s="171"/>
      <c r="X8" s="171"/>
    </row>
    <row r="9" spans="1:24" ht="10.5" customHeight="1">
      <c r="A9" s="304" t="s">
        <v>189</v>
      </c>
      <c r="B9" s="618">
        <v>70573.399999999994</v>
      </c>
      <c r="C9" s="618">
        <v>-404.7</v>
      </c>
      <c r="D9" s="618">
        <v>-6049.4</v>
      </c>
      <c r="E9" s="618">
        <v>64119.299999999996</v>
      </c>
      <c r="F9" s="956">
        <v>73200.600000000006</v>
      </c>
      <c r="G9" s="618">
        <v>372.6</v>
      </c>
      <c r="H9" s="618">
        <v>63438.3</v>
      </c>
      <c r="I9" s="618">
        <f t="shared" si="0"/>
        <v>137011.5</v>
      </c>
      <c r="J9" s="956">
        <v>16901.400000000001</v>
      </c>
      <c r="K9" s="618">
        <v>108</v>
      </c>
      <c r="L9" s="618">
        <f t="shared" si="1"/>
        <v>17009.400000000001</v>
      </c>
      <c r="M9" s="618">
        <v>332161.3</v>
      </c>
      <c r="N9" s="618">
        <v>27348.5</v>
      </c>
      <c r="O9" s="618">
        <v>359509.8</v>
      </c>
      <c r="P9" s="618">
        <f t="shared" si="2"/>
        <v>513530.69999999995</v>
      </c>
      <c r="Q9" s="617">
        <v>-67193.599999999977</v>
      </c>
      <c r="R9" s="618">
        <f t="shared" si="3"/>
        <v>446337.1</v>
      </c>
      <c r="S9" s="618">
        <f t="shared" si="4"/>
        <v>510456.39999999997</v>
      </c>
      <c r="T9" s="305" t="s">
        <v>189</v>
      </c>
      <c r="U9" s="171"/>
      <c r="V9" s="171"/>
      <c r="W9" s="171"/>
      <c r="X9" s="171"/>
    </row>
    <row r="10" spans="1:24" ht="10.5" customHeight="1">
      <c r="A10" s="1093" t="s">
        <v>705</v>
      </c>
      <c r="B10" s="394">
        <v>78818.7</v>
      </c>
      <c r="C10" s="394">
        <v>-378.5</v>
      </c>
      <c r="D10" s="394">
        <v>-6273.8</v>
      </c>
      <c r="E10" s="394">
        <v>72166.399999999994</v>
      </c>
      <c r="F10" s="955">
        <v>91700.5</v>
      </c>
      <c r="G10" s="394">
        <v>261.89999999999998</v>
      </c>
      <c r="H10" s="394">
        <v>63861.3</v>
      </c>
      <c r="I10" s="394">
        <f t="shared" si="0"/>
        <v>155823.70000000001</v>
      </c>
      <c r="J10" s="955">
        <v>15284.1</v>
      </c>
      <c r="K10" s="394">
        <v>46</v>
      </c>
      <c r="L10" s="394">
        <f t="shared" si="1"/>
        <v>15330.1</v>
      </c>
      <c r="M10" s="394">
        <v>398311.5</v>
      </c>
      <c r="N10" s="394">
        <v>31174.9</v>
      </c>
      <c r="O10" s="394">
        <v>429486.4</v>
      </c>
      <c r="P10" s="394">
        <f t="shared" si="2"/>
        <v>600640.20000000007</v>
      </c>
      <c r="Q10" s="494">
        <v>-82966.200000000099</v>
      </c>
      <c r="R10" s="394">
        <f t="shared" si="3"/>
        <v>517674</v>
      </c>
      <c r="S10" s="394">
        <f t="shared" si="4"/>
        <v>589840.4</v>
      </c>
      <c r="T10" s="235" t="s">
        <v>705</v>
      </c>
      <c r="U10" s="171"/>
      <c r="V10" s="171"/>
      <c r="W10" s="171"/>
      <c r="X10" s="171"/>
    </row>
    <row r="11" spans="1:24" ht="10.5" customHeight="1">
      <c r="A11" s="304" t="s">
        <v>814</v>
      </c>
      <c r="B11" s="618">
        <v>113250.1</v>
      </c>
      <c r="C11" s="618">
        <v>-344.5</v>
      </c>
      <c r="D11" s="618">
        <v>-6493.8</v>
      </c>
      <c r="E11" s="618">
        <v>106411.8</v>
      </c>
      <c r="F11" s="954">
        <v>110094.5</v>
      </c>
      <c r="G11" s="618">
        <v>249.7</v>
      </c>
      <c r="H11" s="618">
        <v>64634.2</v>
      </c>
      <c r="I11" s="618">
        <v>174978.4</v>
      </c>
      <c r="J11" s="954">
        <v>9376.7999999999993</v>
      </c>
      <c r="K11" s="618">
        <v>43.7</v>
      </c>
      <c r="L11" s="618">
        <v>9420.5</v>
      </c>
      <c r="M11" s="618">
        <v>440915.1</v>
      </c>
      <c r="N11" s="618">
        <v>36526.800000000003</v>
      </c>
      <c r="O11" s="618">
        <v>477441.89999999997</v>
      </c>
      <c r="P11" s="618">
        <v>661840.79999999993</v>
      </c>
      <c r="Q11" s="617">
        <v>-88069.7</v>
      </c>
      <c r="R11" s="618">
        <v>573771.1</v>
      </c>
      <c r="S11" s="618">
        <v>680182.9</v>
      </c>
      <c r="T11" s="305" t="s">
        <v>814</v>
      </c>
      <c r="U11" s="171"/>
      <c r="V11" s="171"/>
      <c r="W11" s="171"/>
      <c r="X11" s="171"/>
    </row>
    <row r="12" spans="1:24" s="159" customFormat="1" ht="10.5" customHeight="1">
      <c r="A12" s="393" t="s">
        <v>991</v>
      </c>
      <c r="B12" s="53">
        <v>160056.6</v>
      </c>
      <c r="C12" s="53">
        <v>-318.89999999999998</v>
      </c>
      <c r="D12" s="53">
        <v>-6695</v>
      </c>
      <c r="E12" s="53">
        <v>153042.70000000001</v>
      </c>
      <c r="F12" s="53">
        <v>117498.3</v>
      </c>
      <c r="G12" s="53">
        <v>266.89999999999998</v>
      </c>
      <c r="H12" s="53">
        <v>76341.3</v>
      </c>
      <c r="I12" s="53">
        <v>194106.5</v>
      </c>
      <c r="J12" s="53">
        <v>12612.9</v>
      </c>
      <c r="K12" s="53">
        <v>40.6</v>
      </c>
      <c r="L12" s="53">
        <v>12653.5</v>
      </c>
      <c r="M12" s="53">
        <v>493936.5</v>
      </c>
      <c r="N12" s="53">
        <v>43834.8</v>
      </c>
      <c r="O12" s="53">
        <v>537771.30000000005</v>
      </c>
      <c r="P12" s="53">
        <v>744531.3</v>
      </c>
      <c r="Q12" s="494">
        <v>-105128.7</v>
      </c>
      <c r="R12" s="53">
        <v>639402.60000000009</v>
      </c>
      <c r="S12" s="53">
        <v>792445.3</v>
      </c>
      <c r="T12" s="764" t="s">
        <v>991</v>
      </c>
    </row>
    <row r="13" spans="1:24" s="249" customFormat="1" ht="10.5" customHeight="1">
      <c r="A13" s="563" t="s">
        <v>1042</v>
      </c>
      <c r="B13" s="954">
        <v>189228.79999999999</v>
      </c>
      <c r="C13" s="954">
        <v>-274.10000000000002</v>
      </c>
      <c r="D13" s="954">
        <v>-7257.5</v>
      </c>
      <c r="E13" s="954">
        <v>181697.19999999998</v>
      </c>
      <c r="F13" s="954">
        <v>110224.8</v>
      </c>
      <c r="G13" s="954">
        <v>183.4</v>
      </c>
      <c r="H13" s="954">
        <v>105074</v>
      </c>
      <c r="I13" s="954">
        <v>215482.2</v>
      </c>
      <c r="J13" s="954">
        <v>16448.8</v>
      </c>
      <c r="K13" s="954">
        <v>80.3</v>
      </c>
      <c r="L13" s="954">
        <v>16529.099999999999</v>
      </c>
      <c r="M13" s="954">
        <v>557021.80000000005</v>
      </c>
      <c r="N13" s="954">
        <v>50121.5</v>
      </c>
      <c r="O13" s="954">
        <v>607143.30000000005</v>
      </c>
      <c r="P13" s="954">
        <v>839154.60000000009</v>
      </c>
      <c r="Q13" s="954">
        <v>-110802.8</v>
      </c>
      <c r="R13" s="954">
        <v>728351.8</v>
      </c>
      <c r="S13" s="954">
        <v>910049</v>
      </c>
      <c r="T13" s="535" t="s">
        <v>1042</v>
      </c>
      <c r="U13" s="225"/>
    </row>
    <row r="14" spans="1:24" s="249" customFormat="1" ht="10.5" customHeight="1">
      <c r="A14" s="523" t="s">
        <v>1163</v>
      </c>
      <c r="B14" s="955">
        <v>233135.6</v>
      </c>
      <c r="C14" s="955">
        <v>-83</v>
      </c>
      <c r="D14" s="955">
        <v>-8475.2000000000007</v>
      </c>
      <c r="E14" s="955">
        <v>224577.4</v>
      </c>
      <c r="F14" s="955">
        <v>114189.1</v>
      </c>
      <c r="G14" s="955">
        <v>-89.1</v>
      </c>
      <c r="H14" s="955">
        <v>138762.6</v>
      </c>
      <c r="I14" s="955">
        <v>252862.6</v>
      </c>
      <c r="J14" s="955">
        <v>15573</v>
      </c>
      <c r="K14" s="955">
        <v>108.3</v>
      </c>
      <c r="L14" s="955">
        <v>15681.3</v>
      </c>
      <c r="M14" s="955">
        <v>650644</v>
      </c>
      <c r="N14" s="955">
        <v>60778.8</v>
      </c>
      <c r="O14" s="955">
        <v>711422.8</v>
      </c>
      <c r="P14" s="955">
        <v>979966.70000000007</v>
      </c>
      <c r="Q14" s="955">
        <v>-127800.9</v>
      </c>
      <c r="R14" s="955">
        <v>852165.8</v>
      </c>
      <c r="S14" s="955">
        <v>1076743.2</v>
      </c>
      <c r="T14" s="524" t="s">
        <v>1163</v>
      </c>
      <c r="U14" s="225"/>
    </row>
    <row r="15" spans="1:24" s="249" customFormat="1" ht="10.5" customHeight="1">
      <c r="A15" s="563" t="s">
        <v>1187</v>
      </c>
      <c r="B15" s="954">
        <v>266697</v>
      </c>
      <c r="C15" s="954">
        <v>-46.6</v>
      </c>
      <c r="D15" s="954">
        <v>-9534.1</v>
      </c>
      <c r="E15" s="954">
        <v>257116.3</v>
      </c>
      <c r="F15" s="954">
        <v>97307.599999999991</v>
      </c>
      <c r="G15" s="954">
        <v>-108.6</v>
      </c>
      <c r="H15" s="954">
        <v>191178.6</v>
      </c>
      <c r="I15" s="954">
        <v>288377.59999999998</v>
      </c>
      <c r="J15" s="954">
        <v>16744.2</v>
      </c>
      <c r="K15" s="954">
        <v>142.6</v>
      </c>
      <c r="L15" s="954">
        <v>16886.8</v>
      </c>
      <c r="M15" s="954">
        <v>752988.79999999993</v>
      </c>
      <c r="N15" s="954">
        <v>71394.7</v>
      </c>
      <c r="O15" s="954">
        <v>824383.49999999988</v>
      </c>
      <c r="P15" s="954">
        <v>1129647.8999999999</v>
      </c>
      <c r="Q15" s="954">
        <v>-153298.70000000001</v>
      </c>
      <c r="R15" s="954">
        <v>976349.2</v>
      </c>
      <c r="S15" s="954">
        <v>1233465.5</v>
      </c>
      <c r="T15" s="535" t="s">
        <v>1187</v>
      </c>
      <c r="U15" s="225"/>
    </row>
    <row r="16" spans="1:24" s="249" customFormat="1" ht="10.5" customHeight="1">
      <c r="A16" s="523" t="s">
        <v>1311</v>
      </c>
      <c r="B16" s="955">
        <v>264674.5</v>
      </c>
      <c r="C16" s="955">
        <v>-20.5</v>
      </c>
      <c r="D16" s="955">
        <v>-11436.5</v>
      </c>
      <c r="E16" s="955">
        <v>253217.5</v>
      </c>
      <c r="F16" s="955">
        <v>94869.599999999991</v>
      </c>
      <c r="G16" s="955">
        <v>-3111.6</v>
      </c>
      <c r="H16" s="955">
        <v>237765</v>
      </c>
      <c r="I16" s="955">
        <v>329523</v>
      </c>
      <c r="J16" s="955">
        <v>11337.8</v>
      </c>
      <c r="K16" s="955">
        <v>787.8</v>
      </c>
      <c r="L16" s="955">
        <v>12125.599999999999</v>
      </c>
      <c r="M16" s="955">
        <v>880749.5</v>
      </c>
      <c r="N16" s="955">
        <v>89467</v>
      </c>
      <c r="O16" s="955">
        <v>970216.5</v>
      </c>
      <c r="P16" s="955">
        <v>1311865.1000000001</v>
      </c>
      <c r="Q16" s="955">
        <v>-191334.1</v>
      </c>
      <c r="R16" s="955">
        <v>1120531</v>
      </c>
      <c r="S16" s="955">
        <v>1373748.5</v>
      </c>
      <c r="T16" s="524" t="s">
        <v>1311</v>
      </c>
      <c r="U16" s="225"/>
    </row>
    <row r="17" spans="1:24" s="249" customFormat="1" ht="10.5" customHeight="1">
      <c r="A17" s="320" t="s">
        <v>1420</v>
      </c>
      <c r="B17" s="954">
        <v>272399.5</v>
      </c>
      <c r="C17" s="954">
        <v>-155.1</v>
      </c>
      <c r="D17" s="954">
        <v>-12662.8</v>
      </c>
      <c r="E17" s="954">
        <v>259581.6</v>
      </c>
      <c r="F17" s="954">
        <v>113248.3</v>
      </c>
      <c r="G17" s="954">
        <v>-2534.3000000000002</v>
      </c>
      <c r="H17" s="954">
        <v>287704.5</v>
      </c>
      <c r="I17" s="954">
        <v>398418.5</v>
      </c>
      <c r="J17" s="954">
        <v>13590.7</v>
      </c>
      <c r="K17" s="954">
        <v>1239.4000000000001</v>
      </c>
      <c r="L17" s="954">
        <v>14830.1</v>
      </c>
      <c r="M17" s="954">
        <v>985443.3</v>
      </c>
      <c r="N17" s="954">
        <v>93123</v>
      </c>
      <c r="O17" s="954">
        <v>1078566.3</v>
      </c>
      <c r="P17" s="954">
        <v>1491814.9</v>
      </c>
      <c r="Q17" s="954">
        <v>-217369.60000000001</v>
      </c>
      <c r="R17" s="954">
        <v>1274445.2999999998</v>
      </c>
      <c r="S17" s="954">
        <v>1534026.9</v>
      </c>
      <c r="T17" s="349" t="s">
        <v>1420</v>
      </c>
      <c r="U17" s="225"/>
    </row>
    <row r="18" spans="1:24" ht="10.5" customHeight="1">
      <c r="A18" s="159" t="s">
        <v>1502</v>
      </c>
      <c r="B18" s="955">
        <v>297336.2</v>
      </c>
      <c r="C18" s="955">
        <v>-113.1</v>
      </c>
      <c r="D18" s="955">
        <v>-13909.2</v>
      </c>
      <c r="E18" s="955">
        <v>283313.90000000002</v>
      </c>
      <c r="F18" s="955">
        <v>181119.4</v>
      </c>
      <c r="G18" s="955">
        <v>71.3</v>
      </c>
      <c r="H18" s="955">
        <v>302132.8</v>
      </c>
      <c r="I18" s="955">
        <v>483323.5</v>
      </c>
      <c r="J18" s="955">
        <v>19200.800000000003</v>
      </c>
      <c r="K18" s="955">
        <v>1285.2</v>
      </c>
      <c r="L18" s="955">
        <v>20486.000000000004</v>
      </c>
      <c r="M18" s="955">
        <v>1075226.5</v>
      </c>
      <c r="N18" s="955">
        <v>91712.4</v>
      </c>
      <c r="O18" s="955">
        <v>1166938.8999999999</v>
      </c>
      <c r="P18" s="955">
        <v>1670748.4</v>
      </c>
      <c r="Q18" s="955">
        <v>-250124.9</v>
      </c>
      <c r="R18" s="955">
        <v>1420623.5</v>
      </c>
      <c r="S18" s="955">
        <v>1703937.4</v>
      </c>
      <c r="T18" s="204" t="s">
        <v>1502</v>
      </c>
      <c r="U18" s="171"/>
    </row>
    <row r="19" spans="1:24" s="159" customFormat="1" ht="10.5" customHeight="1">
      <c r="A19" s="320" t="s">
        <v>1555</v>
      </c>
      <c r="B19" s="955">
        <v>382179.2</v>
      </c>
      <c r="C19" s="955">
        <v>-191.5</v>
      </c>
      <c r="D19" s="955">
        <v>-14841.5</v>
      </c>
      <c r="E19" s="955">
        <v>367146.2</v>
      </c>
      <c r="F19" s="955">
        <v>220997.5</v>
      </c>
      <c r="G19" s="955">
        <v>-621.4</v>
      </c>
      <c r="H19" s="955">
        <v>344143.9</v>
      </c>
      <c r="I19" s="955">
        <v>564520</v>
      </c>
      <c r="J19" s="955">
        <v>19666.599999999999</v>
      </c>
      <c r="K19" s="955">
        <v>1305.4000000000001</v>
      </c>
      <c r="L19" s="955">
        <v>20972</v>
      </c>
      <c r="M19" s="955">
        <v>1164390.5</v>
      </c>
      <c r="N19" s="955">
        <v>94826.3</v>
      </c>
      <c r="O19" s="955">
        <v>1259216.8</v>
      </c>
      <c r="P19" s="955">
        <v>1844708.8</v>
      </c>
      <c r="Q19" s="955">
        <v>-282809.7</v>
      </c>
      <c r="R19" s="955">
        <v>1561899.1</v>
      </c>
      <c r="S19" s="955">
        <v>1929045.3</v>
      </c>
      <c r="T19" s="299" t="s">
        <v>1555</v>
      </c>
      <c r="U19" s="821"/>
    </row>
    <row r="20" spans="1:24" s="159" customFormat="1" ht="10.5" customHeight="1">
      <c r="A20" s="1619" t="s">
        <v>1836</v>
      </c>
      <c r="B20" s="955">
        <v>364298.8</v>
      </c>
      <c r="C20" s="955">
        <v>-309.5</v>
      </c>
      <c r="D20" s="955">
        <v>-13446.1</v>
      </c>
      <c r="E20" s="955">
        <v>350543.2</v>
      </c>
      <c r="F20" s="955">
        <v>283289.09999999998</v>
      </c>
      <c r="G20" s="955">
        <v>-328</v>
      </c>
      <c r="H20" s="955">
        <v>364051</v>
      </c>
      <c r="I20" s="955">
        <v>647012.1</v>
      </c>
      <c r="J20" s="955">
        <v>27775.1</v>
      </c>
      <c r="K20" s="955">
        <v>1284.8</v>
      </c>
      <c r="L20" s="955">
        <v>29059.899999999998</v>
      </c>
      <c r="M20" s="955">
        <v>1328344.5999999999</v>
      </c>
      <c r="N20" s="955">
        <v>97727.3</v>
      </c>
      <c r="O20" s="955">
        <v>1426071.9</v>
      </c>
      <c r="P20" s="955">
        <v>2102143.9</v>
      </c>
      <c r="Q20" s="955">
        <v>-354713.8</v>
      </c>
      <c r="R20" s="955">
        <v>1747430.0999999999</v>
      </c>
      <c r="S20" s="955">
        <v>2097973.2999999998</v>
      </c>
      <c r="T20" s="373" t="s">
        <v>1836</v>
      </c>
      <c r="U20" s="821"/>
      <c r="V20" s="821"/>
    </row>
    <row r="21" spans="1:24" s="159" customFormat="1" ht="10.5" customHeight="1">
      <c r="A21" s="354" t="s">
        <v>2088</v>
      </c>
      <c r="B21" s="957">
        <v>316728.3</v>
      </c>
      <c r="C21" s="957">
        <v>-226.8575237</v>
      </c>
      <c r="D21" s="957">
        <v>-11439.6</v>
      </c>
      <c r="E21" s="957">
        <v>305061.84247629996</v>
      </c>
      <c r="F21" s="957">
        <v>387321.3</v>
      </c>
      <c r="G21" s="957">
        <v>-229.44749623799999</v>
      </c>
      <c r="H21" s="957">
        <v>360755</v>
      </c>
      <c r="I21" s="957">
        <v>747846.852503762</v>
      </c>
      <c r="J21" s="957">
        <v>35683.699999999997</v>
      </c>
      <c r="K21" s="957">
        <v>1266.768873904</v>
      </c>
      <c r="L21" s="957">
        <v>36950.468873903999</v>
      </c>
      <c r="M21" s="957">
        <v>1469220.3</v>
      </c>
      <c r="N21" s="957">
        <v>100646.8</v>
      </c>
      <c r="O21" s="957">
        <v>1569867.1</v>
      </c>
      <c r="P21" s="957">
        <v>2354664.4213776663</v>
      </c>
      <c r="Q21" s="957">
        <v>-385833.7</v>
      </c>
      <c r="R21" s="957">
        <v>1968830.7213776663</v>
      </c>
      <c r="S21" s="957">
        <v>2273892.5638539661</v>
      </c>
      <c r="T21" s="355" t="s">
        <v>2088</v>
      </c>
      <c r="U21" s="821"/>
      <c r="V21" s="712"/>
      <c r="W21" s="821"/>
      <c r="X21" s="821"/>
    </row>
    <row r="22" spans="1:24" s="159" customFormat="1" ht="10.5" customHeight="1">
      <c r="A22" s="848" t="s">
        <v>2228</v>
      </c>
      <c r="B22" s="957">
        <f>B34</f>
        <v>291129</v>
      </c>
      <c r="C22" s="957">
        <f t="shared" ref="C22:S22" si="5">C34</f>
        <v>-152.25259260000001</v>
      </c>
      <c r="D22" s="957">
        <f t="shared" si="5"/>
        <v>-9527</v>
      </c>
      <c r="E22" s="957">
        <f t="shared" si="5"/>
        <v>281449.74740739999</v>
      </c>
      <c r="F22" s="957">
        <f t="shared" si="5"/>
        <v>424836.21</v>
      </c>
      <c r="G22" s="957">
        <f t="shared" si="5"/>
        <v>1168.2334702729997</v>
      </c>
      <c r="H22" s="957">
        <f t="shared" si="5"/>
        <v>339631</v>
      </c>
      <c r="I22" s="957">
        <f t="shared" si="5"/>
        <v>765635.44347027293</v>
      </c>
      <c r="J22" s="957">
        <f t="shared" si="5"/>
        <v>40011.599999999999</v>
      </c>
      <c r="K22" s="957">
        <f t="shared" si="5"/>
        <v>1005.6505162810001</v>
      </c>
      <c r="L22" s="957">
        <f t="shared" si="5"/>
        <v>41017.250516280998</v>
      </c>
      <c r="M22" s="957">
        <f t="shared" si="5"/>
        <v>1618124.5</v>
      </c>
      <c r="N22" s="957">
        <f t="shared" si="5"/>
        <v>101740.86349219801</v>
      </c>
      <c r="O22" s="957">
        <f t="shared" si="5"/>
        <v>1719865.3634921981</v>
      </c>
      <c r="P22" s="957">
        <f t="shared" si="5"/>
        <v>2526518.057478752</v>
      </c>
      <c r="Q22" s="957">
        <f t="shared" si="5"/>
        <v>-400010.06081562402</v>
      </c>
      <c r="R22" s="957">
        <f t="shared" si="5"/>
        <v>2126507.996663128</v>
      </c>
      <c r="S22" s="957">
        <f t="shared" si="5"/>
        <v>2407957.7440705281</v>
      </c>
      <c r="T22" s="356" t="s">
        <v>2228</v>
      </c>
      <c r="U22" s="821"/>
      <c r="V22" s="821"/>
      <c r="W22" s="821"/>
      <c r="X22" s="821"/>
    </row>
    <row r="23" spans="1:24" s="159" customFormat="1" ht="10.5" customHeight="1">
      <c r="A23" s="392" t="s">
        <v>559</v>
      </c>
      <c r="B23" s="495">
        <f>284091+35034.6</f>
        <v>319125.59999999998</v>
      </c>
      <c r="C23" s="495">
        <v>-227.6</v>
      </c>
      <c r="D23" s="1132">
        <v>-11278.3</v>
      </c>
      <c r="E23" s="1132">
        <f t="shared" ref="E23:E34" si="6">D23+C23+B23</f>
        <v>307619.69999999995</v>
      </c>
      <c r="F23" s="1132">
        <f>147689+241984.8</f>
        <v>389673.8</v>
      </c>
      <c r="G23" s="1132">
        <v>-163.98</v>
      </c>
      <c r="H23" s="1132">
        <v>360407.5</v>
      </c>
      <c r="I23" s="1132">
        <f t="shared" ref="I23:I34" si="7">H23+G23+F23</f>
        <v>749917.32000000007</v>
      </c>
      <c r="J23" s="1132">
        <f>1596.1+34140.75</f>
        <v>35736.85</v>
      </c>
      <c r="K23" s="1132">
        <v>1266.8</v>
      </c>
      <c r="L23" s="1132">
        <f t="shared" ref="L23:L34" si="8">J23+K23</f>
        <v>37003.65</v>
      </c>
      <c r="M23" s="1132">
        <f>4775.6+1456170.2</f>
        <v>1460945.8</v>
      </c>
      <c r="N23" s="1132">
        <v>100074.9</v>
      </c>
      <c r="O23" s="1132">
        <f t="shared" ref="O23:O34" si="9">M23+N23</f>
        <v>1561020.7</v>
      </c>
      <c r="P23" s="1132">
        <f t="shared" ref="P23:P34" si="10">I23+L23+O23</f>
        <v>2347941.67</v>
      </c>
      <c r="Q23" s="1132">
        <v>-394097.4</v>
      </c>
      <c r="R23" s="1132">
        <f t="shared" ref="R23:R34" si="11">P23+Q23</f>
        <v>1953844.27</v>
      </c>
      <c r="S23" s="1132">
        <f t="shared" ref="S23:S34" si="12">E23+R23</f>
        <v>2261463.9699999997</v>
      </c>
      <c r="T23" s="349" t="s">
        <v>559</v>
      </c>
      <c r="U23" s="948"/>
      <c r="V23" s="712"/>
      <c r="W23" s="712"/>
      <c r="X23" s="821"/>
    </row>
    <row r="24" spans="1:24" s="159" customFormat="1" ht="10.5" customHeight="1">
      <c r="A24" s="1619" t="s">
        <v>560</v>
      </c>
      <c r="B24" s="479">
        <f>272944.3+33275.2</f>
        <v>306219.5</v>
      </c>
      <c r="C24" s="479">
        <v>-220.31941029999999</v>
      </c>
      <c r="D24" s="1121">
        <v>-11189.1</v>
      </c>
      <c r="E24" s="1121">
        <f t="shared" si="6"/>
        <v>294810.08058970002</v>
      </c>
      <c r="F24" s="1121">
        <f>135934.2+245916.6</f>
        <v>381850.80000000005</v>
      </c>
      <c r="G24" s="1121">
        <v>-184.07404976500004</v>
      </c>
      <c r="H24" s="1121">
        <v>359637.9</v>
      </c>
      <c r="I24" s="1121">
        <f t="shared" si="7"/>
        <v>741304.62595023506</v>
      </c>
      <c r="J24" s="1121">
        <f>1597.7+34525.4</f>
        <v>36123.1</v>
      </c>
      <c r="K24" s="1121">
        <v>1201.1955113040001</v>
      </c>
      <c r="L24" s="1121">
        <f t="shared" si="8"/>
        <v>37324.295511304001</v>
      </c>
      <c r="M24" s="1121">
        <f>4773.9+1466107.5</f>
        <v>1470881.4</v>
      </c>
      <c r="N24" s="1121">
        <v>100282.02499999999</v>
      </c>
      <c r="O24" s="1121">
        <f t="shared" si="9"/>
        <v>1571163.4249999998</v>
      </c>
      <c r="P24" s="1121">
        <f t="shared" si="10"/>
        <v>2349792.3464615392</v>
      </c>
      <c r="Q24" s="1121">
        <v>-380193.68900000001</v>
      </c>
      <c r="R24" s="1121">
        <f t="shared" si="11"/>
        <v>1969598.6574615391</v>
      </c>
      <c r="S24" s="1121">
        <f t="shared" si="12"/>
        <v>2264408.7380512394</v>
      </c>
      <c r="T24" s="373" t="s">
        <v>560</v>
      </c>
      <c r="U24" s="948"/>
      <c r="V24" s="712"/>
      <c r="W24" s="712"/>
      <c r="X24" s="821"/>
    </row>
    <row r="25" spans="1:24" s="159" customFormat="1" ht="10.5" customHeight="1">
      <c r="A25" s="392" t="s">
        <v>554</v>
      </c>
      <c r="B25" s="495">
        <f>258978.5+34340.5</f>
        <v>293319</v>
      </c>
      <c r="C25" s="495">
        <v>-203.0471393</v>
      </c>
      <c r="D25" s="1132">
        <v>-11121.1</v>
      </c>
      <c r="E25" s="1132">
        <f t="shared" si="6"/>
        <v>281994.85286069999</v>
      </c>
      <c r="F25" s="1132">
        <f>129039.7+241855.5</f>
        <v>370895.2</v>
      </c>
      <c r="G25" s="1132">
        <v>-156.70200486300007</v>
      </c>
      <c r="H25" s="1132">
        <v>359490.1</v>
      </c>
      <c r="I25" s="1132">
        <f t="shared" si="7"/>
        <v>730228.59799513698</v>
      </c>
      <c r="J25" s="1132">
        <f>1599.3+35456.57</f>
        <v>37055.870000000003</v>
      </c>
      <c r="K25" s="1132">
        <v>1201.19</v>
      </c>
      <c r="L25" s="1132">
        <f t="shared" si="8"/>
        <v>38257.060000000005</v>
      </c>
      <c r="M25" s="1132">
        <f>4771.3+1484269.14</f>
        <v>1489040.44</v>
      </c>
      <c r="N25" s="1132">
        <v>100486.64</v>
      </c>
      <c r="O25" s="1132">
        <f t="shared" si="9"/>
        <v>1589527.0799999998</v>
      </c>
      <c r="P25" s="1132">
        <f t="shared" si="10"/>
        <v>2358012.737995137</v>
      </c>
      <c r="Q25" s="1132">
        <v>-375674.83</v>
      </c>
      <c r="R25" s="1132">
        <f t="shared" si="11"/>
        <v>1982337.9079951369</v>
      </c>
      <c r="S25" s="1132">
        <f t="shared" si="12"/>
        <v>2264332.7608558368</v>
      </c>
      <c r="T25" s="349" t="s">
        <v>554</v>
      </c>
      <c r="U25" s="948"/>
      <c r="V25" s="712"/>
      <c r="W25" s="712"/>
      <c r="X25" s="821"/>
    </row>
    <row r="26" spans="1:24" s="159" customFormat="1" ht="10.5" customHeight="1">
      <c r="A26" s="1619" t="s">
        <v>561</v>
      </c>
      <c r="B26" s="479">
        <f>248074.3+33026.98</f>
        <v>281101.27999999997</v>
      </c>
      <c r="C26" s="479">
        <v>-203.63114350000001</v>
      </c>
      <c r="D26" s="1121">
        <v>-10924.4</v>
      </c>
      <c r="E26" s="479">
        <f t="shared" si="6"/>
        <v>269973.24885649997</v>
      </c>
      <c r="F26" s="479">
        <f>127546.1+240756.7</f>
        <v>368302.80000000005</v>
      </c>
      <c r="G26" s="479">
        <v>238.61182724</v>
      </c>
      <c r="H26" s="479">
        <v>358450</v>
      </c>
      <c r="I26" s="479">
        <f t="shared" si="7"/>
        <v>726991.41182724002</v>
      </c>
      <c r="J26" s="479">
        <f>1600.9+35662.04</f>
        <v>37262.94</v>
      </c>
      <c r="K26" s="479">
        <v>1198.2818063240002</v>
      </c>
      <c r="L26" s="479">
        <f t="shared" si="8"/>
        <v>38461.221806324</v>
      </c>
      <c r="M26" s="479">
        <f>4794.1+1499572.2</f>
        <v>1504366.3</v>
      </c>
      <c r="N26" s="479">
        <v>100674.22</v>
      </c>
      <c r="O26" s="479">
        <f t="shared" si="9"/>
        <v>1605040.52</v>
      </c>
      <c r="P26" s="479">
        <f t="shared" si="10"/>
        <v>2370493.1536335638</v>
      </c>
      <c r="Q26" s="479">
        <v>-371525.36681668402</v>
      </c>
      <c r="R26" s="479">
        <f t="shared" si="11"/>
        <v>1998967.7868168796</v>
      </c>
      <c r="S26" s="479">
        <f t="shared" si="12"/>
        <v>2268941.0356733794</v>
      </c>
      <c r="T26" s="373" t="s">
        <v>561</v>
      </c>
      <c r="U26" s="948"/>
      <c r="V26" s="712"/>
      <c r="W26" s="712"/>
      <c r="X26" s="821"/>
    </row>
    <row r="27" spans="1:24" s="159" customFormat="1" ht="10.5" customHeight="1">
      <c r="A27" s="392" t="s">
        <v>562</v>
      </c>
      <c r="B27" s="1360">
        <f>235600.5+30070.8</f>
        <v>265671.3</v>
      </c>
      <c r="C27" s="495">
        <v>-198.6</v>
      </c>
      <c r="D27" s="495">
        <v>-10724</v>
      </c>
      <c r="E27" s="495">
        <f t="shared" si="6"/>
        <v>254748.69999999998</v>
      </c>
      <c r="F27" s="495">
        <f>132232.7+231727.3</f>
        <v>363960</v>
      </c>
      <c r="G27" s="495">
        <v>431.03541259300005</v>
      </c>
      <c r="H27" s="495">
        <v>356896.1</v>
      </c>
      <c r="I27" s="495">
        <f t="shared" si="7"/>
        <v>721287.13541259291</v>
      </c>
      <c r="J27" s="495">
        <f>1602.2+36549</f>
        <v>38151.199999999997</v>
      </c>
      <c r="K27" s="495">
        <v>1198.334490124</v>
      </c>
      <c r="L27" s="495">
        <f t="shared" si="8"/>
        <v>39349.534490123995</v>
      </c>
      <c r="M27" s="495">
        <f>4833.3+1517356.73</f>
        <v>1522190.03</v>
      </c>
      <c r="N27" s="495">
        <v>100979.78752896401</v>
      </c>
      <c r="O27" s="495">
        <f t="shared" si="9"/>
        <v>1623169.817528964</v>
      </c>
      <c r="P27" s="495">
        <f t="shared" si="10"/>
        <v>2383806.4874316808</v>
      </c>
      <c r="Q27" s="495">
        <v>-362685.61664270901</v>
      </c>
      <c r="R27" s="495">
        <f t="shared" si="11"/>
        <v>2021120.8707889719</v>
      </c>
      <c r="S27" s="495">
        <f t="shared" si="12"/>
        <v>2275869.5707889721</v>
      </c>
      <c r="T27" s="349" t="s">
        <v>562</v>
      </c>
      <c r="U27" s="948"/>
      <c r="V27" s="712"/>
      <c r="W27" s="712"/>
      <c r="X27" s="821"/>
    </row>
    <row r="28" spans="1:24" s="159" customFormat="1" ht="10.5" customHeight="1">
      <c r="A28" s="1619" t="s">
        <v>555</v>
      </c>
      <c r="B28" s="225">
        <f>248198.9+29264.9</f>
        <v>277463.8</v>
      </c>
      <c r="C28" s="479">
        <v>-199.59068910000002</v>
      </c>
      <c r="D28" s="479">
        <v>-10469.799999999999</v>
      </c>
      <c r="E28" s="479">
        <f t="shared" si="6"/>
        <v>266794.40931089997</v>
      </c>
      <c r="F28" s="479">
        <f>126706.8+224924.6</f>
        <v>351631.4</v>
      </c>
      <c r="G28" s="479">
        <v>879.2</v>
      </c>
      <c r="H28" s="479">
        <v>354691.8</v>
      </c>
      <c r="I28" s="479">
        <f t="shared" si="7"/>
        <v>707202.4</v>
      </c>
      <c r="J28" s="479">
        <f>1603.8+37708.41</f>
        <v>39312.210000000006</v>
      </c>
      <c r="K28" s="479">
        <v>1198.334490124</v>
      </c>
      <c r="L28" s="479">
        <f t="shared" si="8"/>
        <v>40510.544490124004</v>
      </c>
      <c r="M28" s="479">
        <f>4921.7+1541511.6</f>
        <v>1546433.3</v>
      </c>
      <c r="N28" s="479">
        <v>101593.58900170801</v>
      </c>
      <c r="O28" s="479">
        <f t="shared" si="9"/>
        <v>1648026.889001708</v>
      </c>
      <c r="P28" s="479">
        <f t="shared" si="10"/>
        <v>2395739.833491832</v>
      </c>
      <c r="Q28" s="479">
        <v>-368225.65530089702</v>
      </c>
      <c r="R28" s="479">
        <f t="shared" si="11"/>
        <v>2027514.1781909349</v>
      </c>
      <c r="S28" s="479">
        <f t="shared" si="12"/>
        <v>2294308.5875018351</v>
      </c>
      <c r="T28" s="373" t="s">
        <v>555</v>
      </c>
      <c r="U28" s="948"/>
      <c r="V28" s="712"/>
      <c r="W28" s="712"/>
      <c r="X28" s="821"/>
    </row>
    <row r="29" spans="1:24" s="159" customFormat="1" ht="10.5" customHeight="1">
      <c r="A29" s="392" t="s">
        <v>563</v>
      </c>
      <c r="B29" s="283">
        <f>232550.2+34239</f>
        <v>266789.2</v>
      </c>
      <c r="C29" s="495">
        <v>-181.07537120000001</v>
      </c>
      <c r="D29" s="495">
        <v>-10292.799999999999</v>
      </c>
      <c r="E29" s="495">
        <f t="shared" si="6"/>
        <v>256315.32462880001</v>
      </c>
      <c r="F29" s="495">
        <f>125862.2+241866.9</f>
        <v>367729.1</v>
      </c>
      <c r="G29" s="495">
        <v>816.23242813599995</v>
      </c>
      <c r="H29" s="495">
        <v>353404.7</v>
      </c>
      <c r="I29" s="495">
        <f t="shared" si="7"/>
        <v>721950.03242813598</v>
      </c>
      <c r="J29" s="495">
        <f>1596.1+36737.5</f>
        <v>38333.599999999999</v>
      </c>
      <c r="K29" s="495">
        <v>1129.324338224</v>
      </c>
      <c r="L29" s="495">
        <f t="shared" si="8"/>
        <v>39462.924338224002</v>
      </c>
      <c r="M29" s="495">
        <f>4916.2+1539650.24</f>
        <v>1544566.44</v>
      </c>
      <c r="N29" s="495">
        <v>101359.00451200899</v>
      </c>
      <c r="O29" s="495">
        <f t="shared" si="9"/>
        <v>1645925.4445120089</v>
      </c>
      <c r="P29" s="495">
        <f t="shared" si="10"/>
        <v>2407338.4012783691</v>
      </c>
      <c r="Q29" s="495">
        <v>-376202.14552901697</v>
      </c>
      <c r="R29" s="495">
        <f t="shared" si="11"/>
        <v>2031136.2557493523</v>
      </c>
      <c r="S29" s="495">
        <f t="shared" si="12"/>
        <v>2287451.5803781524</v>
      </c>
      <c r="T29" s="349" t="s">
        <v>563</v>
      </c>
      <c r="U29" s="948"/>
      <c r="V29" s="712"/>
      <c r="W29" s="712"/>
      <c r="X29" s="821"/>
    </row>
    <row r="30" spans="1:24" s="159" customFormat="1" ht="10.5" customHeight="1">
      <c r="A30" s="1619" t="s">
        <v>564</v>
      </c>
      <c r="B30" s="225">
        <f>229743.6+32834.693</f>
        <v>262578.29300000001</v>
      </c>
      <c r="C30" s="479">
        <v>-181.5397279</v>
      </c>
      <c r="D30" s="479">
        <v>-10111.299999999999</v>
      </c>
      <c r="E30" s="479">
        <f t="shared" si="6"/>
        <v>252285.45327210001</v>
      </c>
      <c r="F30" s="479">
        <f>123109.8+256358.009</f>
        <v>379467.80900000001</v>
      </c>
      <c r="G30" s="479">
        <v>1049.897709436</v>
      </c>
      <c r="H30" s="479">
        <v>351863.3</v>
      </c>
      <c r="I30" s="479">
        <f t="shared" si="7"/>
        <v>732381.00670943595</v>
      </c>
      <c r="J30" s="479">
        <f>1597.7+36676.72</f>
        <v>38274.42</v>
      </c>
      <c r="K30" s="479">
        <v>1129.316633273</v>
      </c>
      <c r="L30" s="479">
        <f t="shared" si="8"/>
        <v>39403.736633273002</v>
      </c>
      <c r="M30" s="479">
        <f>1548692.48+4933.3</f>
        <v>1553625.78</v>
      </c>
      <c r="N30" s="479">
        <v>101464.07673337799</v>
      </c>
      <c r="O30" s="479">
        <f t="shared" si="9"/>
        <v>1655089.856733378</v>
      </c>
      <c r="P30" s="479">
        <f t="shared" si="10"/>
        <v>2426874.6000760868</v>
      </c>
      <c r="Q30" s="479">
        <v>-376053.71090484899</v>
      </c>
      <c r="R30" s="479">
        <f t="shared" si="11"/>
        <v>2050820.8891712378</v>
      </c>
      <c r="S30" s="479">
        <f t="shared" si="12"/>
        <v>2303106.3424433377</v>
      </c>
      <c r="T30" s="373" t="s">
        <v>564</v>
      </c>
      <c r="U30" s="948"/>
      <c r="V30" s="712"/>
      <c r="W30" s="712"/>
      <c r="X30" s="821"/>
    </row>
    <row r="31" spans="1:24" s="159" customFormat="1" ht="10.5" customHeight="1">
      <c r="A31" s="392" t="s">
        <v>556</v>
      </c>
      <c r="B31" s="283">
        <f>226890.9+32545.05</f>
        <v>259435.94999999998</v>
      </c>
      <c r="C31" s="495">
        <v>-175.05758850000001</v>
      </c>
      <c r="D31" s="495">
        <v>-10013</v>
      </c>
      <c r="E31" s="495">
        <f t="shared" si="6"/>
        <v>249247.89241149998</v>
      </c>
      <c r="F31" s="495">
        <f>127810.1+262558.232</f>
        <v>390368.33200000005</v>
      </c>
      <c r="G31" s="495">
        <v>1257.7263449500001</v>
      </c>
      <c r="H31" s="495">
        <v>348210</v>
      </c>
      <c r="I31" s="495">
        <f t="shared" si="7"/>
        <v>739836.05834494997</v>
      </c>
      <c r="J31" s="495">
        <f>1599.3+36537.68</f>
        <v>38136.980000000003</v>
      </c>
      <c r="K31" s="495">
        <v>1129.35144947</v>
      </c>
      <c r="L31" s="495">
        <f t="shared" si="8"/>
        <v>39266.331449470003</v>
      </c>
      <c r="M31" s="495">
        <f>1570992.89+4957.5</f>
        <v>1575950.39</v>
      </c>
      <c r="N31" s="495">
        <v>102016.501126723</v>
      </c>
      <c r="O31" s="495">
        <f t="shared" si="9"/>
        <v>1677966.8911267228</v>
      </c>
      <c r="P31" s="495">
        <f t="shared" si="10"/>
        <v>2457069.2809211425</v>
      </c>
      <c r="Q31" s="495">
        <v>-387074.07642774301</v>
      </c>
      <c r="R31" s="495">
        <f t="shared" si="11"/>
        <v>2069995.2044933995</v>
      </c>
      <c r="S31" s="495">
        <f t="shared" si="12"/>
        <v>2319243.0969048995</v>
      </c>
      <c r="T31" s="349" t="s">
        <v>556</v>
      </c>
      <c r="U31" s="948"/>
      <c r="V31" s="712"/>
      <c r="W31" s="712"/>
      <c r="X31" s="821"/>
    </row>
    <row r="32" spans="1:24" s="159" customFormat="1" ht="10.5" customHeight="1">
      <c r="A32" s="1619" t="s">
        <v>565</v>
      </c>
      <c r="B32" s="225">
        <f>219734.5+28363.02</f>
        <v>248097.52</v>
      </c>
      <c r="C32" s="479">
        <v>-174.7619412</v>
      </c>
      <c r="D32" s="479">
        <v>-9905.2999999999993</v>
      </c>
      <c r="E32" s="479">
        <f t="shared" si="6"/>
        <v>238017.4580588</v>
      </c>
      <c r="F32" s="479">
        <f>137437.8+277698.659</f>
        <v>415136.45899999997</v>
      </c>
      <c r="G32" s="479">
        <v>1491.536569934</v>
      </c>
      <c r="H32" s="479">
        <v>346106.8</v>
      </c>
      <c r="I32" s="479">
        <f t="shared" si="7"/>
        <v>762734.79556993395</v>
      </c>
      <c r="J32" s="479">
        <f>1600.79+36863.07</f>
        <v>38463.86</v>
      </c>
      <c r="K32" s="479">
        <v>1005.5501950730001</v>
      </c>
      <c r="L32" s="479">
        <f t="shared" si="8"/>
        <v>39469.410195073004</v>
      </c>
      <c r="M32" s="479">
        <f>4982.8+1573730.454</f>
        <v>1578713.254</v>
      </c>
      <c r="N32" s="479">
        <v>101905.82752297701</v>
      </c>
      <c r="O32" s="479">
        <f t="shared" si="9"/>
        <v>1680619.081522977</v>
      </c>
      <c r="P32" s="479">
        <f t="shared" si="10"/>
        <v>2482823.287287984</v>
      </c>
      <c r="Q32" s="479">
        <v>-394070.16483847401</v>
      </c>
      <c r="R32" s="479">
        <f t="shared" si="11"/>
        <v>2088753.12244951</v>
      </c>
      <c r="S32" s="479">
        <f t="shared" si="12"/>
        <v>2326770.5805083099</v>
      </c>
      <c r="T32" s="373" t="s">
        <v>565</v>
      </c>
      <c r="U32" s="948"/>
      <c r="V32" s="712"/>
      <c r="W32" s="712"/>
      <c r="X32" s="821"/>
    </row>
    <row r="33" spans="1:24" s="159" customFormat="1" ht="10.5" customHeight="1">
      <c r="A33" s="392" t="s">
        <v>566</v>
      </c>
      <c r="B33" s="283">
        <f>231124.4+33176.11</f>
        <v>264300.51</v>
      </c>
      <c r="C33" s="495">
        <v>-151.5066128</v>
      </c>
      <c r="D33" s="495">
        <v>-9784.5</v>
      </c>
      <c r="E33" s="495">
        <f t="shared" si="6"/>
        <v>254364.50338720001</v>
      </c>
      <c r="F33" s="495">
        <f>141383.7+283084.02</f>
        <v>424467.72000000003</v>
      </c>
      <c r="G33" s="495">
        <v>1363.0708364039999</v>
      </c>
      <c r="H33" s="495">
        <v>343012.1</v>
      </c>
      <c r="I33" s="495">
        <f t="shared" si="7"/>
        <v>768842.89083640394</v>
      </c>
      <c r="J33" s="495">
        <f>1602.5+37374.9</f>
        <v>38977.4</v>
      </c>
      <c r="K33" s="495">
        <v>1004.0626950730001</v>
      </c>
      <c r="L33" s="495">
        <f t="shared" si="8"/>
        <v>39981.462695073002</v>
      </c>
      <c r="M33" s="495">
        <f>5031.2+1594020.26</f>
        <v>1599051.46</v>
      </c>
      <c r="N33" s="495">
        <v>101931.63505837999</v>
      </c>
      <c r="O33" s="495">
        <f t="shared" si="9"/>
        <v>1700983.0950583799</v>
      </c>
      <c r="P33" s="495">
        <f t="shared" si="10"/>
        <v>2509807.4485898567</v>
      </c>
      <c r="Q33" s="495">
        <v>-415987.77676463593</v>
      </c>
      <c r="R33" s="495">
        <f t="shared" si="11"/>
        <v>2093819.6718252208</v>
      </c>
      <c r="S33" s="495">
        <f t="shared" si="12"/>
        <v>2348184.175212421</v>
      </c>
      <c r="T33" s="349" t="s">
        <v>566</v>
      </c>
      <c r="U33" s="948"/>
      <c r="V33" s="712"/>
      <c r="W33" s="712"/>
      <c r="X33" s="821"/>
    </row>
    <row r="34" spans="1:24" s="159" customFormat="1" ht="10.5" customHeight="1">
      <c r="A34" s="1619" t="s">
        <v>557</v>
      </c>
      <c r="B34" s="225">
        <f>245780.7+45348.3</f>
        <v>291129</v>
      </c>
      <c r="C34" s="479">
        <v>-152.25259260000001</v>
      </c>
      <c r="D34" s="479">
        <v>-9527</v>
      </c>
      <c r="E34" s="479">
        <f t="shared" si="6"/>
        <v>281449.74740739999</v>
      </c>
      <c r="F34" s="479">
        <f>145932.2+278904.01</f>
        <v>424836.21</v>
      </c>
      <c r="G34" s="479">
        <v>1168.2334702729997</v>
      </c>
      <c r="H34" s="479">
        <v>339631</v>
      </c>
      <c r="I34" s="479">
        <f t="shared" si="7"/>
        <v>765635.44347027293</v>
      </c>
      <c r="J34" s="479">
        <f>1604+38407.6</f>
        <v>40011.599999999999</v>
      </c>
      <c r="K34" s="479">
        <v>1005.6505162810001</v>
      </c>
      <c r="L34" s="479">
        <f t="shared" si="8"/>
        <v>41017.250516280998</v>
      </c>
      <c r="M34" s="479">
        <f>5113.3+1613011.2</f>
        <v>1618124.5</v>
      </c>
      <c r="N34" s="479">
        <v>101740.86349219801</v>
      </c>
      <c r="O34" s="479">
        <f t="shared" si="9"/>
        <v>1719865.3634921981</v>
      </c>
      <c r="P34" s="479">
        <f t="shared" si="10"/>
        <v>2526518.057478752</v>
      </c>
      <c r="Q34" s="479">
        <v>-400010.06081562402</v>
      </c>
      <c r="R34" s="479">
        <f t="shared" si="11"/>
        <v>2126507.996663128</v>
      </c>
      <c r="S34" s="479">
        <f t="shared" si="12"/>
        <v>2407957.7440705281</v>
      </c>
      <c r="T34" s="373" t="s">
        <v>557</v>
      </c>
      <c r="U34" s="948"/>
      <c r="V34" s="712"/>
      <c r="W34" s="712"/>
      <c r="X34" s="821"/>
    </row>
    <row r="35" spans="1:24" s="159" customFormat="1" ht="12.75" customHeight="1">
      <c r="A35" s="1620" t="s">
        <v>2500</v>
      </c>
      <c r="B35" s="957">
        <f>B47</f>
        <v>316564.2</v>
      </c>
      <c r="C35" s="957">
        <f t="shared" ref="C35:S35" si="13">C47</f>
        <v>-448.2</v>
      </c>
      <c r="D35" s="957">
        <f t="shared" si="13"/>
        <v>-7094.4</v>
      </c>
      <c r="E35" s="957">
        <f t="shared" si="13"/>
        <v>309021.59999999998</v>
      </c>
      <c r="F35" s="957">
        <f t="shared" si="13"/>
        <v>487873.1</v>
      </c>
      <c r="G35" s="957">
        <f t="shared" si="13"/>
        <v>8906.2999999999993</v>
      </c>
      <c r="H35" s="957">
        <f t="shared" si="13"/>
        <v>333567.40000000002</v>
      </c>
      <c r="I35" s="957">
        <f t="shared" si="13"/>
        <v>830346.8</v>
      </c>
      <c r="J35" s="957">
        <f t="shared" si="13"/>
        <v>37596.1</v>
      </c>
      <c r="K35" s="957">
        <f t="shared" si="13"/>
        <v>42.7</v>
      </c>
      <c r="L35" s="957">
        <f t="shared" si="13"/>
        <v>37638.799999999996</v>
      </c>
      <c r="M35" s="957">
        <f t="shared" si="13"/>
        <v>1725356.1</v>
      </c>
      <c r="N35" s="957">
        <f t="shared" si="13"/>
        <v>105453.4</v>
      </c>
      <c r="O35" s="957">
        <f t="shared" si="13"/>
        <v>1830809.5</v>
      </c>
      <c r="P35" s="957">
        <f t="shared" si="13"/>
        <v>2698795.1</v>
      </c>
      <c r="Q35" s="957">
        <f t="shared" si="13"/>
        <v>-454915.9</v>
      </c>
      <c r="R35" s="957">
        <f t="shared" si="13"/>
        <v>2243879.2000000002</v>
      </c>
      <c r="S35" s="957">
        <f t="shared" si="13"/>
        <v>2552900.8000000003</v>
      </c>
      <c r="T35" s="355" t="s">
        <v>2500</v>
      </c>
      <c r="U35" s="948"/>
      <c r="V35" s="712"/>
      <c r="W35" s="712"/>
      <c r="X35" s="821"/>
    </row>
    <row r="36" spans="1:24" s="159" customFormat="1" ht="10.5" customHeight="1">
      <c r="A36" s="1619" t="s">
        <v>559</v>
      </c>
      <c r="B36" s="225">
        <f>238927.1+44133.37</f>
        <v>283060.47000000003</v>
      </c>
      <c r="C36" s="479">
        <v>-153.0234384</v>
      </c>
      <c r="D36" s="479">
        <v>-9422</v>
      </c>
      <c r="E36" s="479">
        <f>B36+C36+D36</f>
        <v>273485.44656160002</v>
      </c>
      <c r="F36" s="479">
        <f>146699.6+290869.2</f>
        <v>437568.80000000005</v>
      </c>
      <c r="G36" s="479">
        <v>1133.3871932320001</v>
      </c>
      <c r="H36" s="479">
        <v>341819</v>
      </c>
      <c r="I36" s="479">
        <f>F36+G36+H36</f>
        <v>780521.18719323212</v>
      </c>
      <c r="J36" s="479">
        <f>1596.1+38953.2</f>
        <v>40549.299999999996</v>
      </c>
      <c r="K36" s="479">
        <v>1005.7</v>
      </c>
      <c r="L36" s="479">
        <f>J36+K36</f>
        <v>41554.999999999993</v>
      </c>
      <c r="M36" s="479">
        <f>5083.2+1608054.6</f>
        <v>1613137.8</v>
      </c>
      <c r="N36" s="479">
        <v>100912.4</v>
      </c>
      <c r="O36" s="479">
        <f>M36+N36</f>
        <v>1714050.2</v>
      </c>
      <c r="P36" s="479">
        <f t="shared" ref="P36:P51" si="14">I36+L36+O36</f>
        <v>2536126.3871932318</v>
      </c>
      <c r="Q36" s="479">
        <v>-406384.61617703002</v>
      </c>
      <c r="R36" s="479">
        <f t="shared" ref="R36:R47" si="15">P36+Q36</f>
        <v>2129741.7710162019</v>
      </c>
      <c r="S36" s="479">
        <f t="shared" ref="S36:S47" si="16">E36+R36</f>
        <v>2403227.217577802</v>
      </c>
      <c r="T36" s="373" t="s">
        <v>559</v>
      </c>
      <c r="U36" s="948"/>
      <c r="V36" s="712"/>
      <c r="W36" s="712"/>
      <c r="X36" s="821"/>
    </row>
    <row r="37" spans="1:24" s="159" customFormat="1" ht="10.5" customHeight="1">
      <c r="A37" s="392" t="s">
        <v>560</v>
      </c>
      <c r="B37" s="283">
        <f>231618.7+40573.12</f>
        <v>272191.82</v>
      </c>
      <c r="C37" s="495">
        <v>-472.33318550000001</v>
      </c>
      <c r="D37" s="495">
        <v>-9264</v>
      </c>
      <c r="E37" s="495">
        <f>B37+C37+D37</f>
        <v>262455.48681450001</v>
      </c>
      <c r="F37" s="495">
        <f>127517.6+298675.55</f>
        <v>426193.15</v>
      </c>
      <c r="G37" s="495">
        <v>1800.2167069230004</v>
      </c>
      <c r="H37" s="495">
        <v>343854</v>
      </c>
      <c r="I37" s="495">
        <f>F37+G37+H37</f>
        <v>771847.366706923</v>
      </c>
      <c r="J37" s="495">
        <f>1597.7+38216.6</f>
        <v>39814.299999999996</v>
      </c>
      <c r="K37" s="495">
        <v>1004.2</v>
      </c>
      <c r="L37" s="495">
        <f>J37+K37</f>
        <v>40818.499999999993</v>
      </c>
      <c r="M37" s="495">
        <f>5093.5+1615536.63</f>
        <v>1620630.13</v>
      </c>
      <c r="N37" s="495">
        <v>100674.447000007</v>
      </c>
      <c r="O37" s="495">
        <f>M37+N37</f>
        <v>1721304.5770000068</v>
      </c>
      <c r="P37" s="495">
        <f t="shared" si="14"/>
        <v>2533970.4437069297</v>
      </c>
      <c r="Q37" s="495">
        <v>-391705.35311726603</v>
      </c>
      <c r="R37" s="495">
        <f t="shared" si="15"/>
        <v>2142265.0905896635</v>
      </c>
      <c r="S37" s="495">
        <f t="shared" si="16"/>
        <v>2404720.5774041633</v>
      </c>
      <c r="T37" s="349" t="s">
        <v>560</v>
      </c>
      <c r="U37" s="948"/>
      <c r="V37" s="712"/>
      <c r="W37" s="712"/>
      <c r="X37" s="821"/>
    </row>
    <row r="38" spans="1:24" s="159" customFormat="1" ht="10.5" customHeight="1">
      <c r="A38" s="1619" t="s">
        <v>554</v>
      </c>
      <c r="B38" s="225">
        <f>231666.1+33430.39</f>
        <v>265096.49</v>
      </c>
      <c r="C38" s="479">
        <v>-457.33176900000001</v>
      </c>
      <c r="D38" s="479">
        <v>-8999</v>
      </c>
      <c r="E38" s="479">
        <f>B38+C38+D38</f>
        <v>255640.15823100001</v>
      </c>
      <c r="F38" s="479">
        <f>103832.7+302981</f>
        <v>406813.7</v>
      </c>
      <c r="G38" s="479">
        <v>2196.522174228</v>
      </c>
      <c r="H38" s="479">
        <v>347963</v>
      </c>
      <c r="I38" s="479">
        <f>F38+G38+H38</f>
        <v>756973.22217422794</v>
      </c>
      <c r="J38" s="479">
        <f>1599.3+36611.6</f>
        <v>38210.9</v>
      </c>
      <c r="K38" s="479">
        <v>1003.911885834</v>
      </c>
      <c r="L38" s="479">
        <f>J38+K38</f>
        <v>39214.811885834002</v>
      </c>
      <c r="M38" s="479">
        <f>5113.9+1625152.57</f>
        <v>1630266.47</v>
      </c>
      <c r="N38" s="479">
        <v>100536.04494166501</v>
      </c>
      <c r="O38" s="479">
        <f>M38+N38</f>
        <v>1730802.5149416649</v>
      </c>
      <c r="P38" s="479">
        <f t="shared" si="14"/>
        <v>2526990.5490017268</v>
      </c>
      <c r="Q38" s="479">
        <v>-370093.6</v>
      </c>
      <c r="R38" s="479">
        <f t="shared" si="15"/>
        <v>2156896.9490017267</v>
      </c>
      <c r="S38" s="479">
        <f t="shared" si="16"/>
        <v>2412537.1072327266</v>
      </c>
      <c r="T38" s="373" t="s">
        <v>554</v>
      </c>
      <c r="U38" s="712"/>
      <c r="V38" s="712"/>
      <c r="W38" s="712"/>
      <c r="X38" s="712"/>
    </row>
    <row r="39" spans="1:24" s="159" customFormat="1" ht="10.5" customHeight="1">
      <c r="A39" s="392" t="s">
        <v>561</v>
      </c>
      <c r="B39" s="283">
        <f>228522.6+21744.6</f>
        <v>250267.2</v>
      </c>
      <c r="C39" s="495">
        <v>-460.41399999999999</v>
      </c>
      <c r="D39" s="495">
        <v>-8729.9</v>
      </c>
      <c r="E39" s="495">
        <f>B39+C39+D39</f>
        <v>241076.88600000003</v>
      </c>
      <c r="F39" s="495">
        <f>106212.1+321060.1</f>
        <v>427272.19999999995</v>
      </c>
      <c r="G39" s="495">
        <v>2259.027816541</v>
      </c>
      <c r="H39" s="495">
        <v>344738.5</v>
      </c>
      <c r="I39" s="495">
        <f>F39+G39+H39</f>
        <v>774269.72781654098</v>
      </c>
      <c r="J39" s="495">
        <f>1600.9+36852.3</f>
        <v>38453.200000000004</v>
      </c>
      <c r="K39" s="495">
        <v>1001.911885835</v>
      </c>
      <c r="L39" s="495">
        <f>J39+K39</f>
        <v>39455.111885835002</v>
      </c>
      <c r="M39" s="495">
        <f>5145+1629597.15</f>
        <v>1634742.15</v>
      </c>
      <c r="N39" s="495">
        <v>100120.863658676</v>
      </c>
      <c r="O39" s="495">
        <f>M39+N39</f>
        <v>1734863.0136586758</v>
      </c>
      <c r="P39" s="495">
        <f t="shared" si="14"/>
        <v>2548587.8533610515</v>
      </c>
      <c r="Q39" s="495">
        <v>-372448.4</v>
      </c>
      <c r="R39" s="495">
        <f t="shared" si="15"/>
        <v>2176139.4533610516</v>
      </c>
      <c r="S39" s="495">
        <f t="shared" si="16"/>
        <v>2417216.3393610516</v>
      </c>
      <c r="T39" s="349" t="s">
        <v>561</v>
      </c>
      <c r="U39" s="712"/>
      <c r="V39" s="712"/>
      <c r="W39" s="712"/>
      <c r="X39" s="712"/>
    </row>
    <row r="40" spans="1:24" s="159" customFormat="1" ht="10.5" customHeight="1">
      <c r="A40" s="1708" t="s">
        <v>562</v>
      </c>
      <c r="B40" s="225">
        <f>223881.5+22581.22</f>
        <v>246462.72</v>
      </c>
      <c r="C40" s="479">
        <v>-460.91840769999999</v>
      </c>
      <c r="D40" s="479">
        <v>-8531.9</v>
      </c>
      <c r="E40" s="479">
        <f t="shared" ref="E40:E56" si="17">B40+C40+D40</f>
        <v>237469.90159230001</v>
      </c>
      <c r="F40" s="479">
        <f>107981.5+330666.1</f>
        <v>438647.6</v>
      </c>
      <c r="G40" s="479">
        <v>2617.5483304159998</v>
      </c>
      <c r="H40" s="479">
        <v>341307.5</v>
      </c>
      <c r="I40" s="479">
        <f t="shared" ref="I40:I56" si="18">F40+G40+H40</f>
        <v>782572.64833041595</v>
      </c>
      <c r="J40" s="479">
        <f>1602.4+37234.3</f>
        <v>38836.700000000004</v>
      </c>
      <c r="K40" s="479">
        <v>1000.511885786</v>
      </c>
      <c r="L40" s="479">
        <f t="shared" ref="L40:L56" si="19">J40+K40</f>
        <v>39837.211885786004</v>
      </c>
      <c r="M40" s="479">
        <f>5167.5+1637369.41</f>
        <v>1642536.91</v>
      </c>
      <c r="N40" s="479">
        <v>100191.50705214</v>
      </c>
      <c r="O40" s="479">
        <f t="shared" ref="O40:O51" si="20">M40+N40</f>
        <v>1742728.41705214</v>
      </c>
      <c r="P40" s="479">
        <f t="shared" si="14"/>
        <v>2565138.2772683417</v>
      </c>
      <c r="Q40" s="479">
        <v>-379708.8</v>
      </c>
      <c r="R40" s="479">
        <f t="shared" si="15"/>
        <v>2185429.4772683419</v>
      </c>
      <c r="S40" s="479">
        <f t="shared" si="16"/>
        <v>2422899.3788606417</v>
      </c>
      <c r="T40" s="373" t="s">
        <v>562</v>
      </c>
      <c r="U40" s="712"/>
      <c r="V40" s="712"/>
      <c r="W40" s="712"/>
      <c r="X40" s="712"/>
    </row>
    <row r="41" spans="1:24" s="159" customFormat="1" ht="10.5" customHeight="1">
      <c r="A41" s="392" t="s">
        <v>555</v>
      </c>
      <c r="B41" s="283">
        <f>235750.8+19525.648</f>
        <v>255276.44799999997</v>
      </c>
      <c r="C41" s="495">
        <v>-463.88124669999996</v>
      </c>
      <c r="D41" s="495">
        <v>-8263.1</v>
      </c>
      <c r="E41" s="495">
        <f t="shared" si="17"/>
        <v>246549.46675329996</v>
      </c>
      <c r="F41" s="495">
        <f>89973.6+325599.5</f>
        <v>415573.1</v>
      </c>
      <c r="G41" s="495">
        <v>1976.6391142330001</v>
      </c>
      <c r="H41" s="495">
        <v>337386.3</v>
      </c>
      <c r="I41" s="495">
        <f t="shared" si="18"/>
        <v>754936.03911423299</v>
      </c>
      <c r="J41" s="495">
        <f>1604+37992.4</f>
        <v>39596.400000000001</v>
      </c>
      <c r="K41" s="495">
        <v>1036.2157977859999</v>
      </c>
      <c r="L41" s="495">
        <f t="shared" si="19"/>
        <v>40632.615797785998</v>
      </c>
      <c r="M41" s="495">
        <f>5256.2+1658046.8</f>
        <v>1663303</v>
      </c>
      <c r="N41" s="495">
        <v>102030.998823592</v>
      </c>
      <c r="O41" s="495">
        <f t="shared" si="20"/>
        <v>1765333.998823592</v>
      </c>
      <c r="P41" s="495">
        <f t="shared" si="14"/>
        <v>2560902.6537356111</v>
      </c>
      <c r="Q41" s="495">
        <v>-372875.1</v>
      </c>
      <c r="R41" s="495">
        <f t="shared" si="15"/>
        <v>2188027.553735611</v>
      </c>
      <c r="S41" s="495">
        <f t="shared" si="16"/>
        <v>2434577.0204889108</v>
      </c>
      <c r="T41" s="349" t="s">
        <v>555</v>
      </c>
      <c r="U41" s="712"/>
      <c r="V41" s="712"/>
      <c r="W41" s="712"/>
      <c r="X41" s="712"/>
    </row>
    <row r="42" spans="1:24" s="159" customFormat="1" ht="10.5" customHeight="1">
      <c r="A42" s="1779" t="s">
        <v>563</v>
      </c>
      <c r="B42" s="225">
        <f>238082.6+21792.32</f>
        <v>259874.92</v>
      </c>
      <c r="C42" s="479">
        <v>-489.46644450000002</v>
      </c>
      <c r="D42" s="479">
        <v>-8095.7</v>
      </c>
      <c r="E42" s="479">
        <f t="shared" si="17"/>
        <v>251289.75355550001</v>
      </c>
      <c r="F42" s="479">
        <f>88103.8+346257.4</f>
        <v>434361.2</v>
      </c>
      <c r="G42" s="479">
        <v>1456.4321638870001</v>
      </c>
      <c r="H42" s="479">
        <v>332617.3</v>
      </c>
      <c r="I42" s="479">
        <f t="shared" si="18"/>
        <v>768434.93216388696</v>
      </c>
      <c r="J42" s="479">
        <f>1594.5+37686.5</f>
        <v>39281</v>
      </c>
      <c r="K42" s="479">
        <v>1215.0874559860001</v>
      </c>
      <c r="L42" s="479">
        <f t="shared" si="19"/>
        <v>40496.087455986002</v>
      </c>
      <c r="M42" s="479">
        <f>5243.1+1653041.4</f>
        <v>1658284.5</v>
      </c>
      <c r="N42" s="479">
        <v>102427.80437568499</v>
      </c>
      <c r="O42" s="479">
        <f t="shared" si="20"/>
        <v>1760712.3043756851</v>
      </c>
      <c r="P42" s="479">
        <f t="shared" si="14"/>
        <v>2569643.3239955581</v>
      </c>
      <c r="Q42" s="479">
        <v>-389490.8</v>
      </c>
      <c r="R42" s="479">
        <f t="shared" si="15"/>
        <v>2180152.5239955583</v>
      </c>
      <c r="S42" s="479">
        <f t="shared" si="16"/>
        <v>2431442.2775510582</v>
      </c>
      <c r="T42" s="373" t="s">
        <v>563</v>
      </c>
      <c r="U42" s="712"/>
      <c r="V42" s="712"/>
      <c r="W42" s="712"/>
      <c r="X42" s="712"/>
    </row>
    <row r="43" spans="1:24" s="159" customFormat="1" ht="10.5" customHeight="1">
      <c r="A43" s="392" t="s">
        <v>564</v>
      </c>
      <c r="B43" s="283">
        <f>238118.4+26359.2</f>
        <v>264477.59999999998</v>
      </c>
      <c r="C43" s="495">
        <v>-467.8</v>
      </c>
      <c r="D43" s="495">
        <v>-7883.5</v>
      </c>
      <c r="E43" s="495">
        <f t="shared" si="17"/>
        <v>256126.3</v>
      </c>
      <c r="F43" s="495">
        <f>82947.7+350943.3</f>
        <v>433891</v>
      </c>
      <c r="G43" s="495">
        <v>1571.8</v>
      </c>
      <c r="H43" s="495">
        <v>330859.14490000001</v>
      </c>
      <c r="I43" s="495">
        <f t="shared" si="18"/>
        <v>766321.9449</v>
      </c>
      <c r="J43" s="495">
        <f>1597.6+37999.6</f>
        <v>39597.199999999997</v>
      </c>
      <c r="K43" s="495">
        <v>1215.0999999999999</v>
      </c>
      <c r="L43" s="495">
        <f t="shared" si="19"/>
        <v>40812.299999999996</v>
      </c>
      <c r="M43" s="495">
        <f>5260.7+1657008.2</f>
        <v>1662268.9</v>
      </c>
      <c r="N43" s="495">
        <v>102621.7</v>
      </c>
      <c r="O43" s="495">
        <f t="shared" si="20"/>
        <v>1764890.5999999999</v>
      </c>
      <c r="P43" s="495">
        <f t="shared" si="14"/>
        <v>2572024.8448999999</v>
      </c>
      <c r="Q43" s="495">
        <v>-389509.2</v>
      </c>
      <c r="R43" s="495">
        <f t="shared" si="15"/>
        <v>2182515.6448999997</v>
      </c>
      <c r="S43" s="495">
        <f t="shared" si="16"/>
        <v>2438641.9448999995</v>
      </c>
      <c r="T43" s="349" t="s">
        <v>564</v>
      </c>
      <c r="U43" s="712"/>
      <c r="V43" s="712"/>
      <c r="W43" s="712"/>
      <c r="X43" s="712"/>
    </row>
    <row r="44" spans="1:24" s="159" customFormat="1" ht="10.5" customHeight="1">
      <c r="A44" s="1619" t="s">
        <v>556</v>
      </c>
      <c r="B44" s="225">
        <f>240274.2+27069.1</f>
        <v>267343.3</v>
      </c>
      <c r="C44" s="479">
        <v>-470.3</v>
      </c>
      <c r="D44" s="479">
        <v>-7615.2</v>
      </c>
      <c r="E44" s="479">
        <f t="shared" si="17"/>
        <v>259257.8</v>
      </c>
      <c r="F44" s="479">
        <f>100124.7+353947.2</f>
        <v>454071.9</v>
      </c>
      <c r="G44" s="479">
        <v>6738.6</v>
      </c>
      <c r="H44" s="479">
        <v>330939.6949</v>
      </c>
      <c r="I44" s="479">
        <f t="shared" si="18"/>
        <v>791750.1949</v>
      </c>
      <c r="J44" s="479">
        <f>1599.2+37532.3</f>
        <v>39131.5</v>
      </c>
      <c r="K44" s="479">
        <v>55.9</v>
      </c>
      <c r="L44" s="479">
        <f t="shared" si="19"/>
        <v>39187.4</v>
      </c>
      <c r="M44" s="479">
        <f>5283.7+1692499.8</f>
        <v>1697783.5</v>
      </c>
      <c r="N44" s="479">
        <v>104865.3</v>
      </c>
      <c r="O44" s="479">
        <f t="shared" si="20"/>
        <v>1802648.8</v>
      </c>
      <c r="P44" s="479">
        <f t="shared" si="14"/>
        <v>2633586.3949000002</v>
      </c>
      <c r="Q44" s="479">
        <v>-404033.8</v>
      </c>
      <c r="R44" s="479">
        <f t="shared" si="15"/>
        <v>2229552.5949000004</v>
      </c>
      <c r="S44" s="479">
        <f t="shared" si="16"/>
        <v>2488810.3949000002</v>
      </c>
      <c r="T44" s="373" t="s">
        <v>556</v>
      </c>
      <c r="U44" s="712"/>
      <c r="V44" s="712"/>
      <c r="W44" s="712"/>
      <c r="X44" s="712"/>
    </row>
    <row r="45" spans="1:24" s="159" customFormat="1" ht="10.5" customHeight="1">
      <c r="A45" s="392" t="s">
        <v>565</v>
      </c>
      <c r="B45" s="283">
        <f>251508.2+27533.2</f>
        <v>279041.40000000002</v>
      </c>
      <c r="C45" s="495">
        <v>-472.7</v>
      </c>
      <c r="D45" s="495">
        <v>-7470.5</v>
      </c>
      <c r="E45" s="495">
        <f t="shared" si="17"/>
        <v>271098.2</v>
      </c>
      <c r="F45" s="495">
        <f>89111.6+368328</f>
        <v>457439.6</v>
      </c>
      <c r="G45" s="495">
        <v>7309.4</v>
      </c>
      <c r="H45" s="495">
        <v>332199.4449</v>
      </c>
      <c r="I45" s="495">
        <f t="shared" si="18"/>
        <v>796948.4449</v>
      </c>
      <c r="J45" s="495">
        <f>2976.2+37209.9</f>
        <v>40186.1</v>
      </c>
      <c r="K45" s="495">
        <v>43.5</v>
      </c>
      <c r="L45" s="495">
        <f t="shared" si="19"/>
        <v>40229.599999999999</v>
      </c>
      <c r="M45" s="495">
        <f>18818.4+1682771.4</f>
        <v>1701589.7999999998</v>
      </c>
      <c r="N45" s="495">
        <v>103431.7</v>
      </c>
      <c r="O45" s="495">
        <f t="shared" si="20"/>
        <v>1805021.4999999998</v>
      </c>
      <c r="P45" s="495">
        <f t="shared" si="14"/>
        <v>2642199.5448999996</v>
      </c>
      <c r="Q45" s="495">
        <v>-439306.1</v>
      </c>
      <c r="R45" s="495">
        <f t="shared" si="15"/>
        <v>2202893.4448999995</v>
      </c>
      <c r="S45" s="495">
        <f t="shared" si="16"/>
        <v>2473991.6448999997</v>
      </c>
      <c r="T45" s="349" t="s">
        <v>565</v>
      </c>
      <c r="U45" s="712"/>
      <c r="V45" s="712"/>
      <c r="W45" s="712"/>
      <c r="X45" s="712"/>
    </row>
    <row r="46" spans="1:24" s="159" customFormat="1" ht="10.5" customHeight="1">
      <c r="A46" s="1619" t="s">
        <v>566</v>
      </c>
      <c r="B46" s="225">
        <f>243726.7+31957.3</f>
        <v>275684</v>
      </c>
      <c r="C46" s="479">
        <v>-445.9</v>
      </c>
      <c r="D46" s="479">
        <v>-7258.8</v>
      </c>
      <c r="E46" s="479">
        <f t="shared" si="17"/>
        <v>267979.3</v>
      </c>
      <c r="F46" s="479">
        <f>92024.1+378257.9</f>
        <v>470282</v>
      </c>
      <c r="G46" s="479">
        <v>8332.4</v>
      </c>
      <c r="H46" s="479">
        <v>333736.7</v>
      </c>
      <c r="I46" s="479">
        <f t="shared" si="18"/>
        <v>812351.10000000009</v>
      </c>
      <c r="J46" s="479">
        <f>1602.5+38470.3</f>
        <v>40072.800000000003</v>
      </c>
      <c r="K46" s="479">
        <v>43.2</v>
      </c>
      <c r="L46" s="479">
        <f t="shared" si="19"/>
        <v>40116</v>
      </c>
      <c r="M46" s="479">
        <f>5318.5+1711758.2</f>
        <v>1717076.7</v>
      </c>
      <c r="N46" s="479">
        <v>105855.5</v>
      </c>
      <c r="O46" s="479">
        <f t="shared" si="20"/>
        <v>1822932.2</v>
      </c>
      <c r="P46" s="479">
        <f t="shared" si="14"/>
        <v>2675399.2999999998</v>
      </c>
      <c r="Q46" s="479">
        <v>-438531.5</v>
      </c>
      <c r="R46" s="479">
        <f t="shared" si="15"/>
        <v>2236867.7999999998</v>
      </c>
      <c r="S46" s="479">
        <f t="shared" si="16"/>
        <v>2504847.0999999996</v>
      </c>
      <c r="T46" s="1590" t="s">
        <v>566</v>
      </c>
      <c r="U46" s="712"/>
      <c r="V46" s="712"/>
      <c r="W46" s="712"/>
      <c r="X46" s="712"/>
    </row>
    <row r="47" spans="1:24" s="159" customFormat="1" ht="10.5" customHeight="1">
      <c r="A47" s="392" t="s">
        <v>557</v>
      </c>
      <c r="B47" s="283">
        <f>293917.8+22646.4</f>
        <v>316564.2</v>
      </c>
      <c r="C47" s="495">
        <v>-448.2</v>
      </c>
      <c r="D47" s="495">
        <v>-7094.4</v>
      </c>
      <c r="E47" s="495">
        <f t="shared" si="17"/>
        <v>309021.59999999998</v>
      </c>
      <c r="F47" s="495">
        <f>85426.8+402446.3</f>
        <v>487873.1</v>
      </c>
      <c r="G47" s="495">
        <v>8906.2999999999993</v>
      </c>
      <c r="H47" s="495">
        <v>333567.40000000002</v>
      </c>
      <c r="I47" s="495">
        <f t="shared" si="18"/>
        <v>830346.8</v>
      </c>
      <c r="J47" s="495">
        <f>1604+35992.1</f>
        <v>37596.1</v>
      </c>
      <c r="K47" s="495">
        <v>42.7</v>
      </c>
      <c r="L47" s="495">
        <f t="shared" si="19"/>
        <v>37638.799999999996</v>
      </c>
      <c r="M47" s="495">
        <f>5355.6+1720000.5</f>
        <v>1725356.1</v>
      </c>
      <c r="N47" s="495">
        <v>105453.4</v>
      </c>
      <c r="O47" s="495">
        <f t="shared" si="20"/>
        <v>1830809.5</v>
      </c>
      <c r="P47" s="495">
        <f t="shared" si="14"/>
        <v>2698795.1</v>
      </c>
      <c r="Q47" s="495">
        <v>-454915.9</v>
      </c>
      <c r="R47" s="495">
        <f t="shared" si="15"/>
        <v>2243879.2000000002</v>
      </c>
      <c r="S47" s="495">
        <f t="shared" si="16"/>
        <v>2552900.8000000003</v>
      </c>
      <c r="T47" s="1631" t="s">
        <v>557</v>
      </c>
      <c r="U47" s="712"/>
      <c r="V47" s="712"/>
      <c r="W47" s="712"/>
      <c r="X47" s="712"/>
    </row>
    <row r="48" spans="1:24" s="159" customFormat="1" ht="13.5" customHeight="1">
      <c r="A48" s="848" t="s">
        <v>2754</v>
      </c>
      <c r="B48" s="225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356" t="s">
        <v>2754</v>
      </c>
      <c r="U48" s="712"/>
      <c r="V48" s="712"/>
      <c r="W48" s="712"/>
      <c r="X48" s="712"/>
    </row>
    <row r="49" spans="1:24" s="159" customFormat="1" ht="10.5" customHeight="1">
      <c r="A49" s="392" t="s">
        <v>559</v>
      </c>
      <c r="B49" s="283">
        <f>284285.5+25789</f>
        <v>310074.5</v>
      </c>
      <c r="C49" s="495">
        <v>-450.5</v>
      </c>
      <c r="D49" s="495">
        <v>-7004.6</v>
      </c>
      <c r="E49" s="495">
        <f t="shared" si="17"/>
        <v>302619.40000000002</v>
      </c>
      <c r="F49" s="495">
        <f>86888.2+414200.3</f>
        <v>501088.5</v>
      </c>
      <c r="G49" s="495">
        <v>8410.9</v>
      </c>
      <c r="H49" s="495">
        <v>334860.79999999999</v>
      </c>
      <c r="I49" s="495">
        <f t="shared" si="18"/>
        <v>844360.2</v>
      </c>
      <c r="J49" s="495">
        <f>1896.1+35737.7</f>
        <v>37633.799999999996</v>
      </c>
      <c r="K49" s="495">
        <v>42.6</v>
      </c>
      <c r="L49" s="495">
        <f t="shared" si="19"/>
        <v>37676.399999999994</v>
      </c>
      <c r="M49" s="495">
        <f>5341.3+1715198.7</f>
        <v>1720540</v>
      </c>
      <c r="N49" s="495">
        <v>105404.4</v>
      </c>
      <c r="O49" s="495">
        <f t="shared" si="20"/>
        <v>1825944.4</v>
      </c>
      <c r="P49" s="495">
        <f t="shared" si="14"/>
        <v>2707981</v>
      </c>
      <c r="Q49" s="495">
        <v>-463745.6</v>
      </c>
      <c r="R49" s="495">
        <f t="shared" ref="R49" si="21">P49+Q49</f>
        <v>2244235.4</v>
      </c>
      <c r="S49" s="495">
        <f t="shared" ref="S49" si="22">E49+R49</f>
        <v>2546854.7999999998</v>
      </c>
      <c r="T49" s="349" t="s">
        <v>559</v>
      </c>
      <c r="U49" s="712"/>
      <c r="V49" s="712"/>
      <c r="W49" s="712"/>
      <c r="X49" s="712"/>
    </row>
    <row r="50" spans="1:24" s="159" customFormat="1" ht="10.5" customHeight="1">
      <c r="A50" s="1666" t="s">
        <v>560</v>
      </c>
      <c r="B50" s="225">
        <f>289617.3+27126</f>
        <v>316743.3</v>
      </c>
      <c r="C50" s="479">
        <v>-387.4</v>
      </c>
      <c r="D50" s="479">
        <v>-6814.8</v>
      </c>
      <c r="E50" s="479">
        <f t="shared" si="17"/>
        <v>309541.09999999998</v>
      </c>
      <c r="F50" s="479">
        <f>75256.9+421677.4</f>
        <v>496934.30000000005</v>
      </c>
      <c r="G50" s="479">
        <v>8797</v>
      </c>
      <c r="H50" s="479">
        <v>335139.59999999998</v>
      </c>
      <c r="I50" s="479">
        <f t="shared" si="18"/>
        <v>840870.9</v>
      </c>
      <c r="J50" s="479">
        <f>1597.7+35809.1</f>
        <v>37406.799999999996</v>
      </c>
      <c r="K50" s="479">
        <v>42.2</v>
      </c>
      <c r="L50" s="479">
        <f t="shared" si="19"/>
        <v>37448.999999999993</v>
      </c>
      <c r="M50" s="479">
        <f>5365.1+1720170.1</f>
        <v>1725535.2000000002</v>
      </c>
      <c r="N50" s="479">
        <v>105616.4</v>
      </c>
      <c r="O50" s="479">
        <f t="shared" si="20"/>
        <v>1831151.6</v>
      </c>
      <c r="P50" s="479">
        <f t="shared" si="14"/>
        <v>2709471.5</v>
      </c>
      <c r="Q50" s="479">
        <v>-458137.3</v>
      </c>
      <c r="R50" s="479">
        <f t="shared" ref="R50" si="23">P50+Q50</f>
        <v>2251334.2000000002</v>
      </c>
      <c r="S50" s="479">
        <f t="shared" ref="S50" si="24">E50+R50</f>
        <v>2560875.3000000003</v>
      </c>
      <c r="T50" s="373" t="s">
        <v>560</v>
      </c>
      <c r="U50" s="712"/>
      <c r="V50" s="712"/>
      <c r="W50" s="712"/>
      <c r="X50" s="712"/>
    </row>
    <row r="51" spans="1:24" s="159" customFormat="1" ht="10.5" customHeight="1">
      <c r="A51" s="392" t="s">
        <v>554</v>
      </c>
      <c r="B51" s="283">
        <f>302125.6+14256.5</f>
        <v>316382.09999999998</v>
      </c>
      <c r="C51" s="495">
        <v>-389.6</v>
      </c>
      <c r="D51" s="495">
        <v>-6581.6</v>
      </c>
      <c r="E51" s="495">
        <f t="shared" si="17"/>
        <v>309410.90000000002</v>
      </c>
      <c r="F51" s="495">
        <f>80684.3+436864.9</f>
        <v>517549.2</v>
      </c>
      <c r="G51" s="495">
        <v>8240.7000000000007</v>
      </c>
      <c r="H51" s="495">
        <v>335513</v>
      </c>
      <c r="I51" s="495">
        <f t="shared" si="18"/>
        <v>861302.9</v>
      </c>
      <c r="J51" s="495">
        <f>1599.3+34767.4</f>
        <v>36366.700000000004</v>
      </c>
      <c r="K51" s="495">
        <v>42.2</v>
      </c>
      <c r="L51" s="495">
        <f t="shared" si="19"/>
        <v>36408.9</v>
      </c>
      <c r="M51" s="495">
        <f>5370.2+1729164.5</f>
        <v>1734534.7</v>
      </c>
      <c r="N51" s="495">
        <v>106145.3</v>
      </c>
      <c r="O51" s="495">
        <f t="shared" si="20"/>
        <v>1840680</v>
      </c>
      <c r="P51" s="495">
        <f t="shared" si="14"/>
        <v>2738391.8</v>
      </c>
      <c r="Q51" s="495">
        <v>-478917.2</v>
      </c>
      <c r="R51" s="495">
        <f t="shared" ref="R51" si="25">P51+Q51</f>
        <v>2259474.5999999996</v>
      </c>
      <c r="S51" s="495">
        <f t="shared" ref="S51" si="26">E51+R51</f>
        <v>2568885.4999999995</v>
      </c>
      <c r="T51" s="349" t="s">
        <v>554</v>
      </c>
      <c r="U51" s="712"/>
      <c r="V51" s="712"/>
      <c r="W51" s="712"/>
      <c r="X51" s="712"/>
    </row>
    <row r="52" spans="1:24" s="159" customFormat="1" ht="10.5" customHeight="1">
      <c r="A52" s="1716" t="s">
        <v>561</v>
      </c>
      <c r="B52" s="1717">
        <v>316929.7</v>
      </c>
      <c r="C52" s="1718">
        <v>-392.1</v>
      </c>
      <c r="D52" s="1718">
        <v>-6437.8</v>
      </c>
      <c r="E52" s="1718">
        <f t="shared" si="17"/>
        <v>310099.80000000005</v>
      </c>
      <c r="F52" s="1718">
        <v>530278.9</v>
      </c>
      <c r="G52" s="1718">
        <v>8927.2999999999993</v>
      </c>
      <c r="H52" s="1718">
        <v>335936.9</v>
      </c>
      <c r="I52" s="1718">
        <f t="shared" si="18"/>
        <v>875143.10000000009</v>
      </c>
      <c r="J52" s="1718">
        <f>(16009+334637)/10</f>
        <v>35064.6</v>
      </c>
      <c r="K52" s="1718">
        <v>40.1</v>
      </c>
      <c r="L52" s="1718">
        <f t="shared" si="19"/>
        <v>35104.699999999997</v>
      </c>
      <c r="M52" s="1718">
        <f>(53837+17334389)/10</f>
        <v>1738822.6</v>
      </c>
      <c r="N52" s="1718">
        <v>107755.3</v>
      </c>
      <c r="O52" s="1718">
        <f t="shared" ref="O52:O56" si="27">M52+N52</f>
        <v>1846577.9000000001</v>
      </c>
      <c r="P52" s="1718">
        <f t="shared" ref="P52:P53" si="28">I52+L52+O52</f>
        <v>2756825.7</v>
      </c>
      <c r="Q52" s="1718">
        <v>-491485.5</v>
      </c>
      <c r="R52" s="1718">
        <f t="shared" ref="R52" si="29">P52+Q52</f>
        <v>2265340.2000000002</v>
      </c>
      <c r="S52" s="1718">
        <f t="shared" ref="S52" si="30">E52+R52</f>
        <v>2575440</v>
      </c>
      <c r="T52" s="1719" t="s">
        <v>561</v>
      </c>
      <c r="U52" s="712"/>
      <c r="V52" s="712"/>
      <c r="W52" s="712"/>
      <c r="X52" s="712"/>
    </row>
    <row r="53" spans="1:24" ht="10.5" customHeight="1">
      <c r="A53" s="392" t="s">
        <v>562</v>
      </c>
      <c r="B53" s="283">
        <v>321504.40000000002</v>
      </c>
      <c r="C53" s="1718">
        <v>-364</v>
      </c>
      <c r="D53" s="1718">
        <v>-6284</v>
      </c>
      <c r="E53" s="1718">
        <f t="shared" si="17"/>
        <v>314856.40000000002</v>
      </c>
      <c r="F53" s="1718">
        <v>553910.4</v>
      </c>
      <c r="G53" s="1718">
        <v>9306.2000000000007</v>
      </c>
      <c r="H53" s="1718">
        <v>335643.5</v>
      </c>
      <c r="I53" s="1718">
        <f t="shared" si="18"/>
        <v>898860.1</v>
      </c>
      <c r="J53" s="1718">
        <v>34500.300000000003</v>
      </c>
      <c r="K53" s="1718">
        <v>38.700000000000003</v>
      </c>
      <c r="L53" s="1718">
        <f t="shared" si="19"/>
        <v>34539</v>
      </c>
      <c r="M53" s="1718">
        <v>1753123.9</v>
      </c>
      <c r="N53" s="1718">
        <v>108020.4</v>
      </c>
      <c r="O53" s="1718">
        <f t="shared" si="27"/>
        <v>1861144.2999999998</v>
      </c>
      <c r="P53" s="1718">
        <f t="shared" si="28"/>
        <v>2794543.4</v>
      </c>
      <c r="Q53" s="1718">
        <v>-507495.4</v>
      </c>
      <c r="R53" s="1718">
        <f t="shared" ref="R53" si="31">P53+Q53</f>
        <v>2287048</v>
      </c>
      <c r="S53" s="1718">
        <f t="shared" ref="S53" si="32">E53+R53</f>
        <v>2601904.4</v>
      </c>
      <c r="T53" s="1838" t="s">
        <v>562</v>
      </c>
      <c r="U53" s="948"/>
      <c r="V53" s="779"/>
      <c r="W53" s="712"/>
      <c r="X53" s="779"/>
    </row>
    <row r="54" spans="1:24" ht="9" customHeight="1">
      <c r="A54" s="1779" t="s">
        <v>555</v>
      </c>
      <c r="B54" s="225">
        <v>330014.09999999998</v>
      </c>
      <c r="C54" s="479">
        <v>-366.2</v>
      </c>
      <c r="D54" s="479">
        <v>-6191.4</v>
      </c>
      <c r="E54" s="1718">
        <f t="shared" si="17"/>
        <v>323456.49999999994</v>
      </c>
      <c r="F54" s="479">
        <v>549325.69999999995</v>
      </c>
      <c r="G54" s="479">
        <v>9374.5</v>
      </c>
      <c r="H54" s="479">
        <v>336028.4</v>
      </c>
      <c r="I54" s="1718">
        <f t="shared" si="18"/>
        <v>894728.6</v>
      </c>
      <c r="J54" s="479">
        <v>36609.4</v>
      </c>
      <c r="K54" s="479">
        <v>38.700000000000003</v>
      </c>
      <c r="L54" s="1718">
        <f t="shared" si="19"/>
        <v>36648.1</v>
      </c>
      <c r="M54" s="479">
        <v>1758932.7</v>
      </c>
      <c r="N54" s="479">
        <v>106592.3</v>
      </c>
      <c r="O54" s="1718">
        <f t="shared" si="27"/>
        <v>1865525</v>
      </c>
      <c r="P54" s="1718">
        <f t="shared" ref="P54:P56" si="33">I54+L54+O54</f>
        <v>2796901.7</v>
      </c>
      <c r="Q54" s="479">
        <v>-488881.3</v>
      </c>
      <c r="R54" s="1718">
        <f t="shared" ref="R54:R55" si="34">P54+Q54</f>
        <v>2308020.4000000004</v>
      </c>
      <c r="S54" s="1718">
        <f t="shared" ref="S54:S55" si="35">E54+R54</f>
        <v>2631476.9000000004</v>
      </c>
      <c r="T54" s="1590" t="s">
        <v>555</v>
      </c>
      <c r="U54" s="239"/>
      <c r="V54" s="779"/>
      <c r="W54" s="779"/>
      <c r="X54" s="779"/>
    </row>
    <row r="55" spans="1:24" ht="9" customHeight="1">
      <c r="A55" s="392" t="s">
        <v>563</v>
      </c>
      <c r="B55" s="283">
        <v>342252.79999999999</v>
      </c>
      <c r="C55" s="495">
        <v>-368.3</v>
      </c>
      <c r="D55" s="495">
        <v>-6013.6</v>
      </c>
      <c r="E55" s="1718">
        <f>B55+C55+D55</f>
        <v>335870.9</v>
      </c>
      <c r="F55" s="495">
        <v>563207.80000000005</v>
      </c>
      <c r="G55" s="495">
        <v>9500.4</v>
      </c>
      <c r="H55" s="495">
        <v>334177.3</v>
      </c>
      <c r="I55" s="1718">
        <f t="shared" si="18"/>
        <v>906885.5</v>
      </c>
      <c r="J55" s="495">
        <v>36809.699999999997</v>
      </c>
      <c r="K55" s="495">
        <v>38.700000000000003</v>
      </c>
      <c r="L55" s="1718">
        <f t="shared" si="19"/>
        <v>36848.399999999994</v>
      </c>
      <c r="M55" s="495">
        <v>1752534.8</v>
      </c>
      <c r="N55" s="495">
        <v>106489.2</v>
      </c>
      <c r="O55" s="1718">
        <f t="shared" si="27"/>
        <v>1859024</v>
      </c>
      <c r="P55" s="1718">
        <f t="shared" si="33"/>
        <v>2802757.9</v>
      </c>
      <c r="Q55" s="495">
        <v>-509208.8</v>
      </c>
      <c r="R55" s="1718">
        <f t="shared" si="34"/>
        <v>2293549.1</v>
      </c>
      <c r="S55" s="1718">
        <f t="shared" si="35"/>
        <v>2629420</v>
      </c>
      <c r="T55" s="1631" t="s">
        <v>563</v>
      </c>
      <c r="U55" s="779"/>
      <c r="V55" s="779"/>
      <c r="W55" s="779"/>
      <c r="X55" s="779"/>
    </row>
    <row r="56" spans="1:24" ht="8.25" customHeight="1" thickBot="1">
      <c r="A56" s="1812" t="s">
        <v>564</v>
      </c>
      <c r="B56" s="1828">
        <v>354875.4</v>
      </c>
      <c r="C56" s="1829">
        <v>-307</v>
      </c>
      <c r="D56" s="1829">
        <v>-5916.4</v>
      </c>
      <c r="E56" s="1755">
        <f t="shared" si="17"/>
        <v>348652</v>
      </c>
      <c r="F56" s="1829">
        <v>579532.1</v>
      </c>
      <c r="G56" s="1829">
        <v>9420.4</v>
      </c>
      <c r="H56" s="1829">
        <v>333012.59999999998</v>
      </c>
      <c r="I56" s="1755">
        <f t="shared" si="18"/>
        <v>921965.1</v>
      </c>
      <c r="J56" s="1829">
        <v>36931.300000000003</v>
      </c>
      <c r="K56" s="1829">
        <v>38.5</v>
      </c>
      <c r="L56" s="1755">
        <f t="shared" si="19"/>
        <v>36969.800000000003</v>
      </c>
      <c r="M56" s="1829">
        <v>1757406.8</v>
      </c>
      <c r="N56" s="1829">
        <v>106458.9</v>
      </c>
      <c r="O56" s="1829">
        <f t="shared" si="27"/>
        <v>1863865.7</v>
      </c>
      <c r="P56" s="1755">
        <f t="shared" si="33"/>
        <v>2822800.6</v>
      </c>
      <c r="Q56" s="1829">
        <v>-511541.8</v>
      </c>
      <c r="R56" s="1755">
        <f t="shared" ref="R56" si="36">P56+Q56</f>
        <v>2311258.8000000003</v>
      </c>
      <c r="S56" s="1755">
        <f t="shared" ref="S56" si="37">E56+R56</f>
        <v>2659910.8000000003</v>
      </c>
      <c r="T56" s="1837" t="s">
        <v>564</v>
      </c>
      <c r="U56" s="171"/>
      <c r="V56" s="779"/>
      <c r="W56" s="779"/>
      <c r="X56" s="779"/>
    </row>
    <row r="57" spans="1:24" ht="12" customHeight="1">
      <c r="A57" s="186" t="s">
        <v>1345</v>
      </c>
      <c r="B57" s="2129" t="s">
        <v>1221</v>
      </c>
      <c r="C57" s="2129"/>
      <c r="D57" s="2129"/>
      <c r="E57" s="2129"/>
      <c r="F57" s="2129"/>
      <c r="G57" s="255"/>
      <c r="H57" s="1201" t="s">
        <v>1309</v>
      </c>
      <c r="I57" s="755"/>
      <c r="J57" s="805"/>
      <c r="K57" s="805"/>
      <c r="L57" s="805"/>
      <c r="M57" s="185" t="s">
        <v>211</v>
      </c>
      <c r="N57" s="2133" t="s">
        <v>1336</v>
      </c>
      <c r="O57" s="2133"/>
      <c r="P57" s="2133"/>
      <c r="Q57" s="2133"/>
      <c r="R57" s="2133"/>
      <c r="S57" s="2133"/>
      <c r="T57" s="2133"/>
      <c r="V57" s="779"/>
    </row>
    <row r="58" spans="1:24" ht="12" customHeight="1">
      <c r="B58" s="779"/>
      <c r="C58" s="779"/>
      <c r="D58" s="1059"/>
      <c r="E58" s="805"/>
      <c r="F58" s="1617"/>
      <c r="G58" s="516"/>
      <c r="H58" s="1319"/>
      <c r="I58" s="1122"/>
      <c r="J58" s="1123"/>
      <c r="K58" s="1123"/>
      <c r="L58" s="1123"/>
      <c r="M58" s="509"/>
      <c r="N58" s="2087" t="s">
        <v>1375</v>
      </c>
      <c r="O58" s="2087"/>
      <c r="P58" s="2087"/>
      <c r="Q58" s="2087"/>
      <c r="R58" s="2087"/>
      <c r="S58" s="2087"/>
      <c r="T58" s="2087"/>
    </row>
    <row r="59" spans="1:24" ht="9.75" customHeight="1">
      <c r="A59" s="779"/>
      <c r="D59" s="171"/>
      <c r="G59" s="171"/>
      <c r="J59" s="168"/>
      <c r="K59" s="171"/>
      <c r="L59" s="171"/>
      <c r="N59" s="1618" t="s">
        <v>1295</v>
      </c>
      <c r="O59" s="615"/>
      <c r="P59" s="615"/>
      <c r="Q59" s="255" t="s">
        <v>1294</v>
      </c>
      <c r="R59" s="615"/>
      <c r="S59" s="615"/>
      <c r="T59" s="1070"/>
    </row>
    <row r="60" spans="1:24">
      <c r="A60" s="171"/>
      <c r="B60" s="171"/>
      <c r="D60" s="171"/>
      <c r="G60" s="171"/>
      <c r="J60" s="168"/>
      <c r="M60" s="186"/>
      <c r="N60" s="2129" t="s">
        <v>1221</v>
      </c>
      <c r="O60" s="2129"/>
      <c r="P60" s="2129"/>
      <c r="Q60" s="2129"/>
      <c r="R60" s="2129"/>
      <c r="S60" s="2129"/>
      <c r="T60" s="2129"/>
      <c r="U60" s="171"/>
    </row>
    <row r="61" spans="1:24">
      <c r="B61" s="171"/>
      <c r="C61" s="171"/>
      <c r="D61" s="1242"/>
      <c r="E61" s="1243"/>
      <c r="G61" s="171"/>
      <c r="I61" s="171"/>
      <c r="L61" s="475"/>
      <c r="M61" s="475"/>
      <c r="N61" s="779"/>
      <c r="O61" s="171"/>
      <c r="P61" s="171"/>
      <c r="Q61" s="171"/>
      <c r="R61" s="1318"/>
      <c r="S61" s="171"/>
      <c r="T61" s="779"/>
    </row>
    <row r="62" spans="1:24" ht="12.75">
      <c r="B62" s="171"/>
      <c r="C62" s="171"/>
      <c r="D62" s="1242"/>
      <c r="E62" s="1073"/>
      <c r="G62" s="171"/>
      <c r="I62" s="171"/>
      <c r="K62" s="475"/>
      <c r="L62" s="475"/>
      <c r="M62" s="475"/>
      <c r="N62" s="171"/>
      <c r="O62" s="171"/>
      <c r="P62" s="171"/>
      <c r="Q62" s="171"/>
      <c r="R62" s="1318"/>
      <c r="S62" s="171"/>
      <c r="T62" s="160"/>
    </row>
    <row r="63" spans="1:24">
      <c r="B63" s="171"/>
      <c r="C63" s="171"/>
      <c r="D63" s="171"/>
      <c r="E63" s="171"/>
      <c r="F63" s="171"/>
      <c r="G63" s="171"/>
      <c r="H63" s="171"/>
      <c r="I63" s="171"/>
      <c r="J63" s="171"/>
      <c r="K63" s="475"/>
      <c r="L63" s="171"/>
      <c r="M63" s="475"/>
      <c r="N63" s="171"/>
      <c r="P63" s="171"/>
      <c r="Q63" s="171"/>
      <c r="R63" s="171"/>
      <c r="S63" s="171"/>
      <c r="T63" s="780"/>
    </row>
    <row r="64" spans="1:24">
      <c r="A64" s="1318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475"/>
      <c r="N64" s="475"/>
      <c r="O64" s="171"/>
      <c r="P64" s="171"/>
      <c r="Q64" s="171"/>
      <c r="R64" s="171"/>
      <c r="S64" s="171"/>
      <c r="T64" s="171"/>
    </row>
    <row r="65" spans="2:20"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475"/>
      <c r="N65" s="171"/>
      <c r="O65" s="171"/>
      <c r="P65" s="171"/>
      <c r="Q65" s="171"/>
      <c r="R65" s="171"/>
      <c r="S65" s="171"/>
    </row>
    <row r="66" spans="2:20">
      <c r="B66" s="171"/>
      <c r="C66" s="171"/>
      <c r="D66" s="171"/>
      <c r="E66" s="171"/>
      <c r="F66" s="171"/>
      <c r="G66" s="171"/>
      <c r="H66" s="171"/>
      <c r="I66" s="494"/>
      <c r="J66" s="171"/>
      <c r="K66" s="171"/>
      <c r="L66" s="171"/>
      <c r="M66" s="475"/>
      <c r="N66" s="475"/>
      <c r="O66" s="475"/>
      <c r="P66" s="475"/>
      <c r="Q66" s="475"/>
      <c r="R66" s="475"/>
      <c r="S66" s="171"/>
    </row>
    <row r="67" spans="2:20"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475"/>
      <c r="N67" s="475"/>
      <c r="O67" s="171"/>
      <c r="P67" s="171"/>
      <c r="Q67" s="475"/>
      <c r="R67" s="171"/>
      <c r="S67" s="171"/>
    </row>
    <row r="68" spans="2:20"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475"/>
      <c r="N68" s="475"/>
      <c r="O68" s="171"/>
      <c r="P68" s="171"/>
      <c r="Q68" s="475"/>
      <c r="R68" s="171"/>
      <c r="S68" s="171"/>
    </row>
    <row r="69" spans="2:20"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</row>
    <row r="70" spans="2:20"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</row>
    <row r="71" spans="2:20"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</row>
    <row r="72" spans="2:20">
      <c r="N72" s="171"/>
    </row>
    <row r="73" spans="2:20">
      <c r="N73" s="171"/>
    </row>
    <row r="74" spans="2:20"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</row>
    <row r="75" spans="2:20"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</row>
    <row r="76" spans="2:20"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</row>
    <row r="77" spans="2:20"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</row>
    <row r="78" spans="2:20"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</row>
    <row r="79" spans="2:20"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</row>
    <row r="80" spans="2:20"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</row>
    <row r="81" spans="6:20"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</row>
    <row r="82" spans="6:20"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</row>
    <row r="83" spans="6:20"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</row>
    <row r="84" spans="6:20"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R1:T1"/>
    <mergeCell ref="N60:T60"/>
    <mergeCell ref="C4:C6"/>
    <mergeCell ref="B4:B6"/>
    <mergeCell ref="M4:O4"/>
    <mergeCell ref="S3:S6"/>
    <mergeCell ref="S2:T2"/>
    <mergeCell ref="Q3:Q6"/>
    <mergeCell ref="M3:O3"/>
    <mergeCell ref="B57:F57"/>
    <mergeCell ref="N57:T57"/>
    <mergeCell ref="M5:M6"/>
    <mergeCell ref="N5:N6"/>
    <mergeCell ref="N58:T58"/>
    <mergeCell ref="H1:J1"/>
    <mergeCell ref="K1:N1"/>
    <mergeCell ref="T3:T7"/>
    <mergeCell ref="P4:P6"/>
    <mergeCell ref="O5:O6"/>
    <mergeCell ref="R3:R6"/>
    <mergeCell ref="A3:A7"/>
    <mergeCell ref="E4:E6"/>
    <mergeCell ref="F5:I5"/>
    <mergeCell ref="B3:E3"/>
    <mergeCell ref="F4:L4"/>
    <mergeCell ref="D4:D6"/>
    <mergeCell ref="J5:L5"/>
    <mergeCell ref="F3:L3"/>
  </mergeCells>
  <phoneticPr fontId="0" type="noConversion"/>
  <conditionalFormatting sqref="B8:T12 B35:S35 T8:T16 A8:A16 B8:B27 B8:S25 T46:T47 C57:D57 C8:S53 T53 C54:T56 O53:O56">
    <cfRule type="expression" dxfId="2" priority="90" stopIfTrue="1">
      <formula>MOD(ROW(),2)=1</formula>
    </cfRule>
  </conditionalFormatting>
  <conditionalFormatting sqref="T13:T16 A13:A16">
    <cfRule type="expression" dxfId="1" priority="84" stopIfTrue="1">
      <formula>MOD(ROW(),2)=1</formula>
    </cfRule>
    <cfRule type="expression" priority="85" stopIfTrue="1">
      <formula>MOD(ROW(),2)=1</formula>
    </cfRule>
  </conditionalFormatting>
  <conditionalFormatting sqref="T14:T16 A14:A16">
    <cfRule type="expression" priority="81" stopIfTrue="1">
      <formula>MOD(row,0)=0</formula>
    </cfRule>
  </conditionalFormatting>
  <conditionalFormatting sqref="T14:T15 A14:A16">
    <cfRule type="expression" priority="76" stopIfTrue="1">
      <formula>MOD((((#REF!))),0)=0</formula>
    </cfRule>
  </conditionalFormatting>
  <conditionalFormatting sqref="T16">
    <cfRule type="expression" priority="3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8</vt:i4>
      </vt:variant>
    </vt:vector>
  </HeadingPairs>
  <TitlesOfParts>
    <vt:vector size="53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VIA'!Print_Area</vt:lpstr>
      <vt:lpstr>'Table VIB'!Print_Area</vt:lpstr>
      <vt:lpstr>'Table VIII'!Print_Area</vt:lpstr>
      <vt:lpstr>'Table XIIB'!Print_Area</vt:lpstr>
      <vt:lpstr>'Table XXIV'!Print_Area</vt:lpstr>
      <vt:lpstr>'Table XXIX'!Print_Area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kabir993</cp:lastModifiedBy>
  <cp:lastPrinted>2026-04-28T05:05:14Z</cp:lastPrinted>
  <dcterms:created xsi:type="dcterms:W3CDTF">2007-04-10T13:42:14Z</dcterms:created>
  <dcterms:modified xsi:type="dcterms:W3CDTF">2026-04-28T05:24:27Z</dcterms:modified>
</cp:coreProperties>
</file>